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2024年\询价\昌平询价-门-昌平农行\"/>
    </mc:Choice>
  </mc:AlternateContent>
  <xr:revisionPtr revIDLastSave="0" documentId="13_ncr:1_{A5293672-C1A7-4692-BF30-BBC929743A71}" xr6:coauthVersionLast="47" xr6:coauthVersionMax="47" xr10:uidLastSave="{00000000-0000-0000-0000-000000000000}"/>
  <bookViews>
    <workbookView xWindow="-120" yWindow="-120" windowWidth="21840" windowHeight="13140" tabRatio="899" firstSheet="11"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比较法" sheetId="37" r:id="rId20"/>
    <sheet name="收益法" sheetId="15" r:id="rId21"/>
    <sheet name="成本法" sheetId="68" r:id="rId22"/>
    <sheet name="成本法 (元)" sheetId="69" state="hidden" r:id="rId23"/>
    <sheet name="假设开发法" sheetId="12" state="hidden" r:id="rId24"/>
    <sheet name="基准地价修正" sheetId="43"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信息" sheetId="80" r:id="rId47"/>
  </sheets>
  <externalReferences>
    <externalReference r:id="rId48"/>
  </externalReferences>
  <definedNames>
    <definedName name="_xlnm._FilterDatabase" localSheetId="19" hidden="1">比较法!$A$1:$L$43</definedName>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9">比较法!$A$1:$K$48,比较法!$A$51:$M$113</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8">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比较法!$B$95:$M$95</definedName>
    <definedName name="工业基础设施水平">比较法!$B$102:$M$102</definedName>
    <definedName name="工业建筑结构">比较法!$B$93:$M$93</definedName>
    <definedName name="工业建筑类型">比较法!$B$88:$M$88</definedName>
    <definedName name="工业交易情况">比较法!$A$55:$M$55</definedName>
    <definedName name="工业内部装修">比较法!$B$104:$M$104</definedName>
    <definedName name="工业物业管理">比较法!$B$100:$M$100</definedName>
    <definedName name="工业用途">比较法!$B$57:$M$57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D14" i="74"/>
  <c r="B14" i="74"/>
  <c r="D8" i="81"/>
  <c r="H8" i="81"/>
  <c r="H2" i="81"/>
  <c r="H3" i="81"/>
  <c r="I13" i="3"/>
  <c r="K13" i="3"/>
  <c r="G7" i="81"/>
  <c r="G6" i="81"/>
  <c r="H6" i="81" s="1"/>
  <c r="G5" i="81"/>
  <c r="H5" i="81" s="1"/>
  <c r="G4" i="81"/>
  <c r="H4" i="81" s="1"/>
  <c r="H7" i="81"/>
  <c r="N19" i="1"/>
  <c r="T32" i="80" l="1"/>
  <c r="T31" i="80"/>
  <c r="C33" i="37"/>
  <c r="F104" i="37"/>
  <c r="E104" i="37"/>
  <c r="D104" i="37"/>
  <c r="C104" i="37"/>
  <c r="G102" i="37"/>
  <c r="F102" i="37"/>
  <c r="E102" i="37"/>
  <c r="D102" i="37"/>
  <c r="C102" i="37"/>
  <c r="J22" i="9"/>
  <c r="D14" i="9" l="1"/>
  <c r="T20" i="1"/>
  <c r="S7" i="80"/>
  <c r="J52" i="15"/>
  <c r="J49" i="15"/>
  <c r="B59" i="1"/>
  <c r="B35" i="1"/>
  <c r="B21" i="1"/>
  <c r="Y6" i="1"/>
  <c r="D3" i="4"/>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N25" i="79"/>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N12" i="79"/>
  <c r="M12" i="79"/>
  <c r="T12" i="79" s="1"/>
  <c r="W12" i="79" s="1"/>
  <c r="L12" i="79"/>
  <c r="S12" i="79" s="1"/>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S28" i="79"/>
  <c r="T34" i="79"/>
  <c r="U35" i="79"/>
  <c r="AD36" i="79"/>
  <c r="Y3" i="79"/>
  <c r="AC3" i="79"/>
  <c r="U12" i="79"/>
  <c r="R13" i="79"/>
  <c r="V13" i="79"/>
  <c r="S14" i="79"/>
  <c r="S15" i="79"/>
  <c r="U25" i="79"/>
  <c r="T27" i="79"/>
  <c r="U28" i="79"/>
  <c r="AD34" i="79"/>
  <c r="S35" i="79"/>
  <c r="U37" i="79"/>
  <c r="AD38" i="79"/>
  <c r="V3" i="79"/>
  <c r="Z3" i="79"/>
  <c r="U3" i="79"/>
  <c r="R12" i="79"/>
  <c r="V12" i="79"/>
  <c r="U36" i="79"/>
  <c r="AD37" i="79"/>
  <c r="S38" i="79"/>
  <c r="D101" i="43"/>
  <c r="E93" i="43" s="1"/>
  <c r="B91" i="43" s="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F93" i="43"/>
  <c r="H100" i="43" s="1"/>
  <c r="G23" i="78"/>
  <c r="G24" i="78"/>
  <c r="G25" i="78"/>
  <c r="B15" i="78"/>
  <c r="B18" i="78"/>
  <c r="G16" i="73"/>
  <c r="F16" i="73"/>
  <c r="E16" i="73"/>
  <c r="H94" i="43" l="1"/>
  <c r="H99"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s="1"/>
  <c r="C88" i="71"/>
  <c r="D88" i="71"/>
  <c r="B88" i="71"/>
  <c r="B87" i="71" s="1"/>
  <c r="B86" i="71" s="1"/>
  <c r="F87" i="71"/>
  <c r="F86" i="71" s="1"/>
  <c r="D85" i="71"/>
  <c r="F84" i="71"/>
  <c r="E84" i="71"/>
  <c r="E83" i="71"/>
  <c r="E82" i="71" s="1"/>
  <c r="C84" i="71"/>
  <c r="D84" i="71"/>
  <c r="B84" i="71"/>
  <c r="B83" i="71" s="1"/>
  <c r="B82" i="71" s="1"/>
  <c r="F83" i="71"/>
  <c r="F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B71" i="71"/>
  <c r="B70" i="71"/>
  <c r="Q70" i="71"/>
  <c r="P70" i="71"/>
  <c r="O70" i="71"/>
  <c r="N70" i="71"/>
  <c r="Q69" i="71"/>
  <c r="P69" i="71"/>
  <c r="O69" i="71"/>
  <c r="N69" i="71"/>
  <c r="D69" i="71"/>
  <c r="F68" i="71"/>
  <c r="V68" i="71"/>
  <c r="E68" i="71"/>
  <c r="P68" i="71"/>
  <c r="C68" i="71"/>
  <c r="B68" i="71"/>
  <c r="S68" i="71"/>
  <c r="F67" i="71"/>
  <c r="B67" i="71"/>
  <c r="D65" i="71"/>
  <c r="Q64" i="71"/>
  <c r="P64" i="71"/>
  <c r="O64" i="71"/>
  <c r="N64" i="71"/>
  <c r="Q63" i="71"/>
  <c r="P63" i="71"/>
  <c r="O63" i="71"/>
  <c r="N63" i="71"/>
  <c r="Q62" i="71"/>
  <c r="P62" i="71"/>
  <c r="O62" i="71"/>
  <c r="N62" i="71"/>
  <c r="Q61" i="71"/>
  <c r="F62" i="71"/>
  <c r="F63" i="71"/>
  <c r="F64" i="71"/>
  <c r="V64" i="71" s="1"/>
  <c r="P61" i="71"/>
  <c r="E62" i="71"/>
  <c r="O61" i="71"/>
  <c r="C62" i="71" s="1"/>
  <c r="C63" i="71" s="1"/>
  <c r="N61" i="71"/>
  <c r="B62" i="71"/>
  <c r="B63" i="7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c r="Z39" i="71" s="1"/>
  <c r="N39" i="71"/>
  <c r="X39" i="71"/>
  <c r="Q38" i="71"/>
  <c r="AB38" i="71" s="1"/>
  <c r="P38" i="71"/>
  <c r="O38" i="71"/>
  <c r="Y38" i="71"/>
  <c r="Z38" i="71" s="1"/>
  <c r="N38" i="71"/>
  <c r="Q37" i="71"/>
  <c r="AB37" i="71" s="1"/>
  <c r="P37" i="71"/>
  <c r="O37" i="71"/>
  <c r="N37" i="71"/>
  <c r="D37" i="71"/>
  <c r="Q36" i="71"/>
  <c r="AB32" i="71" s="1"/>
  <c r="P36" i="71"/>
  <c r="O36" i="71"/>
  <c r="Y36" i="71"/>
  <c r="Z36" i="71" s="1"/>
  <c r="N36" i="71"/>
  <c r="Q35" i="71"/>
  <c r="AB35" i="71" s="1"/>
  <c r="P35" i="71"/>
  <c r="O35" i="71"/>
  <c r="Y35" i="71"/>
  <c r="Z35" i="71" s="1"/>
  <c r="N35" i="71"/>
  <c r="Q34" i="71"/>
  <c r="P34" i="71"/>
  <c r="O34" i="71"/>
  <c r="N34" i="71"/>
  <c r="Q33" i="71"/>
  <c r="F34" i="71" s="1"/>
  <c r="F35" i="71" s="1"/>
  <c r="F36" i="71" s="1"/>
  <c r="V36" i="71" s="1"/>
  <c r="P33" i="71"/>
  <c r="O33" i="71"/>
  <c r="N33" i="71"/>
  <c r="X31" i="71" s="1"/>
  <c r="D33" i="71"/>
  <c r="Q32" i="71"/>
  <c r="P32" i="71"/>
  <c r="AA32" i="71" s="1"/>
  <c r="O32" i="71"/>
  <c r="N32" i="71"/>
  <c r="Q31" i="71"/>
  <c r="P31" i="71"/>
  <c r="O31" i="71"/>
  <c r="Y31" i="71" s="1"/>
  <c r="Z31" i="71" s="1"/>
  <c r="N31" i="71"/>
  <c r="Q30" i="71"/>
  <c r="AB30" i="71" s="1"/>
  <c r="P30" i="71"/>
  <c r="O30" i="71"/>
  <c r="Y29" i="71" s="1"/>
  <c r="Z29" i="71" s="1"/>
  <c r="N30" i="71"/>
  <c r="F30" i="71"/>
  <c r="Q29" i="71"/>
  <c r="P29" i="71"/>
  <c r="E30" i="71" s="1"/>
  <c r="E31" i="71" s="1"/>
  <c r="E32" i="71" s="1"/>
  <c r="U32" i="71" s="1"/>
  <c r="O29" i="71"/>
  <c r="N29" i="71"/>
  <c r="D29" i="71"/>
  <c r="O28" i="71"/>
  <c r="Y26" i="71" s="1"/>
  <c r="N28" i="71"/>
  <c r="B30" i="71"/>
  <c r="B31" i="71"/>
  <c r="B32" i="71"/>
  <c r="S32" i="71" s="1"/>
  <c r="B34" i="71"/>
  <c r="B35" i="71" s="1"/>
  <c r="B36" i="71" s="1"/>
  <c r="S36" i="71" s="1"/>
  <c r="X33" i="71"/>
  <c r="B38" i="71"/>
  <c r="B39" i="71"/>
  <c r="B40" i="71"/>
  <c r="S40" i="71"/>
  <c r="X37" i="71"/>
  <c r="N68" i="71"/>
  <c r="E34" i="71"/>
  <c r="E35" i="71" s="1"/>
  <c r="E36" i="71" s="1"/>
  <c r="U36" i="71"/>
  <c r="AA33" i="71"/>
  <c r="C30" i="71"/>
  <c r="AB29" i="71"/>
  <c r="AA31" i="71"/>
  <c r="C34" i="71"/>
  <c r="D34" i="71" s="1"/>
  <c r="C35" i="71"/>
  <c r="AB33" i="71"/>
  <c r="X34" i="71"/>
  <c r="X35" i="71"/>
  <c r="AA35" i="71"/>
  <c r="X36" i="71"/>
  <c r="C38" i="71"/>
  <c r="Y37" i="71"/>
  <c r="Z37" i="71"/>
  <c r="X38" i="71"/>
  <c r="AA38" i="71"/>
  <c r="F51" i="71"/>
  <c r="F52" i="71" s="1"/>
  <c r="V52" i="71" s="1"/>
  <c r="C28" i="71"/>
  <c r="Z26" i="71"/>
  <c r="Y28" i="71"/>
  <c r="Z28" i="71" s="1"/>
  <c r="B28" i="71"/>
  <c r="B27" i="71" s="1"/>
  <c r="B26" i="71" s="1"/>
  <c r="X25" i="71"/>
  <c r="X26" i="71"/>
  <c r="X28" i="71"/>
  <c r="C31" i="71"/>
  <c r="D30" i="71"/>
  <c r="C39" i="71"/>
  <c r="D38" i="71"/>
  <c r="C47" i="71"/>
  <c r="D47" i="71" s="1"/>
  <c r="D46" i="71"/>
  <c r="D50" i="71"/>
  <c r="P28" i="71"/>
  <c r="AA26" i="71" s="1"/>
  <c r="E55" i="71"/>
  <c r="E56" i="71" s="1"/>
  <c r="U56" i="71" s="1"/>
  <c r="E59" i="71"/>
  <c r="E60" i="71"/>
  <c r="U60" i="71" s="1"/>
  <c r="E63" i="71"/>
  <c r="E64" i="71" s="1"/>
  <c r="U64" i="71" s="1"/>
  <c r="U68" i="71"/>
  <c r="E67" i="71"/>
  <c r="E66" i="71" s="1"/>
  <c r="Q28" i="71"/>
  <c r="F28" i="71" s="1"/>
  <c r="F27" i="71" s="1"/>
  <c r="F26" i="71" s="1"/>
  <c r="D62" i="71"/>
  <c r="N67" i="71"/>
  <c r="B66" i="71"/>
  <c r="N65" i="71" s="1"/>
  <c r="T68" i="71"/>
  <c r="O68" i="71"/>
  <c r="D68" i="71"/>
  <c r="C67" i="71"/>
  <c r="D67" i="71" s="1"/>
  <c r="Q68" i="71"/>
  <c r="C71" i="71"/>
  <c r="D71" i="71" s="1"/>
  <c r="E71" i="71"/>
  <c r="E70" i="71"/>
  <c r="D72" i="71"/>
  <c r="C75" i="71"/>
  <c r="E75" i="71"/>
  <c r="E74" i="71"/>
  <c r="D76" i="71"/>
  <c r="C79" i="71"/>
  <c r="E79" i="71"/>
  <c r="E78" i="71"/>
  <c r="D80" i="71"/>
  <c r="C83" i="71"/>
  <c r="C87" i="71"/>
  <c r="T28" i="71"/>
  <c r="C27" i="71"/>
  <c r="S28" i="71"/>
  <c r="AB25" i="71"/>
  <c r="AB27" i="71"/>
  <c r="AB28" i="71"/>
  <c r="E28" i="71"/>
  <c r="E27" i="71" s="1"/>
  <c r="E26" i="71" s="1"/>
  <c r="AA3" i="71"/>
  <c r="AA25" i="71"/>
  <c r="AA27" i="71"/>
  <c r="AA28" i="71"/>
  <c r="D28" i="71"/>
  <c r="U28" i="71" s="1"/>
  <c r="C66" i="71"/>
  <c r="D66" i="71" s="1"/>
  <c r="O67" i="71"/>
  <c r="C64" i="71"/>
  <c r="D63" i="71"/>
  <c r="D83" i="71"/>
  <c r="C82" i="71"/>
  <c r="D82" i="71" s="1"/>
  <c r="D75" i="71"/>
  <c r="C74" i="71"/>
  <c r="D74" i="71" s="1"/>
  <c r="N66" i="71"/>
  <c r="D87" i="71"/>
  <c r="C86" i="71"/>
  <c r="D86" i="71" s="1"/>
  <c r="D79" i="71"/>
  <c r="C78" i="71"/>
  <c r="D78" i="71" s="1"/>
  <c r="C70" i="71"/>
  <c r="D70" i="71" s="1"/>
  <c r="P67" i="71"/>
  <c r="C52" i="71"/>
  <c r="T52" i="71" s="1"/>
  <c r="D51" i="71"/>
  <c r="C40" i="71"/>
  <c r="T40" i="71" s="1"/>
  <c r="D39" i="71"/>
  <c r="C36" i="71"/>
  <c r="D35" i="71"/>
  <c r="C32" i="71"/>
  <c r="T32" i="71" s="1"/>
  <c r="D31" i="71"/>
  <c r="C26" i="71"/>
  <c r="D26" i="71" s="1"/>
  <c r="D27" i="71"/>
  <c r="V28" i="71"/>
  <c r="O66" i="71"/>
  <c r="D32" i="71"/>
  <c r="T36" i="71"/>
  <c r="D36" i="71"/>
  <c r="D40" i="71"/>
  <c r="D52"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8" i="43" s="1"/>
  <c r="C22" i="20"/>
  <c r="B100" i="43" s="1"/>
  <c r="B77" i="43"/>
  <c r="S25" i="40"/>
  <c r="S18" i="36"/>
  <c r="U18" i="36"/>
  <c r="S21" i="34"/>
  <c r="H25" i="40"/>
  <c r="U25" i="40" s="1"/>
  <c r="J25" i="40"/>
  <c r="H29" i="39"/>
  <c r="AB29" i="39" s="1"/>
  <c r="J29" i="39"/>
  <c r="AC29" i="39" s="1"/>
  <c r="J18" i="36"/>
  <c r="W18" i="36" s="1"/>
  <c r="F68" i="35"/>
  <c r="H18" i="35"/>
  <c r="U18" i="35" s="1"/>
  <c r="S18" i="35"/>
  <c r="G68" i="35"/>
  <c r="J18" i="35"/>
  <c r="H21" i="37"/>
  <c r="AB21" i="37" s="1"/>
  <c r="F21" i="37"/>
  <c r="AA21" i="37" s="1"/>
  <c r="H21" i="34"/>
  <c r="AB21" i="34" s="1"/>
  <c r="F83" i="33"/>
  <c r="G83" i="33" s="1"/>
  <c r="H21" i="33"/>
  <c r="F21" i="33"/>
  <c r="E83" i="21"/>
  <c r="F83" i="21" s="1"/>
  <c r="G83" i="21" s="1"/>
  <c r="S21" i="21"/>
  <c r="H1" i="69"/>
  <c r="AC25" i="40"/>
  <c r="W25" i="40"/>
  <c r="AB25" i="40"/>
  <c r="U29" i="39"/>
  <c r="W29" i="39"/>
  <c r="AC18" i="36"/>
  <c r="U21" i="34"/>
  <c r="U21" i="33"/>
  <c r="AB21" i="33"/>
  <c r="AA21" i="33"/>
  <c r="S21" i="33"/>
  <c r="AB18" i="35"/>
  <c r="AC18" i="35"/>
  <c r="W18" i="35"/>
  <c r="J21" i="37"/>
  <c r="W21" i="37" s="1"/>
  <c r="J21" i="34"/>
  <c r="AC21" i="34" s="1"/>
  <c r="J21" i="33"/>
  <c r="AC21" i="33" s="1"/>
  <c r="H21" i="21"/>
  <c r="AB21" i="21" s="1"/>
  <c r="F38" i="69"/>
  <c r="E37" i="69"/>
  <c r="F36" i="69"/>
  <c r="F35" i="69"/>
  <c r="F21" i="69"/>
  <c r="F40" i="69" s="1"/>
  <c r="F20" i="69"/>
  <c r="F39" i="69" s="1"/>
  <c r="E10" i="69"/>
  <c r="E9" i="69"/>
  <c r="C7" i="69"/>
  <c r="AC21" i="37"/>
  <c r="W21" i="34"/>
  <c r="W21" i="33"/>
  <c r="U21"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F3" i="35" s="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s="1"/>
  <c r="BK68" i="3"/>
  <c r="BJ68" i="3"/>
  <c r="BI68" i="3"/>
  <c r="BH68" i="3"/>
  <c r="BG68" i="3"/>
  <c r="BF68" i="3"/>
  <c r="BE68" i="3"/>
  <c r="BD68" i="3"/>
  <c r="BC68" i="3"/>
  <c r="BA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A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A206" i="3" s="1"/>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AZ247" i="3" s="1"/>
  <c r="BM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AZ244" i="3" s="1"/>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A435" i="3" s="1"/>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44" i="43" s="1"/>
  <c r="L21" i="4"/>
  <c r="F19" i="4"/>
  <c r="F2" i="52"/>
  <c r="B50" i="72"/>
  <c r="D2" i="52"/>
  <c r="B46" i="72"/>
  <c r="B8" i="53"/>
  <c r="B23" i="72"/>
  <c r="L4" i="9"/>
  <c r="B17" i="72"/>
  <c r="B15" i="72"/>
  <c r="A3" i="51"/>
  <c r="C8" i="11"/>
  <c r="B40" i="48"/>
  <c r="B3" i="72" s="1"/>
  <c r="F35" i="4"/>
  <c r="J55" i="39"/>
  <c r="H38" i="43"/>
  <c r="H39"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L15" i="3" s="1"/>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W42" i="34"/>
  <c r="F42" i="34"/>
  <c r="J38" i="34"/>
  <c r="W38" i="34" s="1"/>
  <c r="D114" i="34"/>
  <c r="F38" i="34"/>
  <c r="S38" i="34" s="1"/>
  <c r="D112" i="34"/>
  <c r="E112" i="34"/>
  <c r="F112" i="34"/>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F40" i="40" s="1"/>
  <c r="AA40" i="40" s="1"/>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D92" i="40"/>
  <c r="E92" i="40"/>
  <c r="F92" i="40" s="1"/>
  <c r="G92" i="40" s="1"/>
  <c r="D90" i="40"/>
  <c r="E90" i="40" s="1"/>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c r="J38" i="40"/>
  <c r="AC38" i="40" s="1"/>
  <c r="H38" i="40"/>
  <c r="AB38" i="40" s="1"/>
  <c r="Q37" i="40"/>
  <c r="Z37" i="40" s="1"/>
  <c r="Q36" i="40"/>
  <c r="Z36" i="40"/>
  <c r="Q35" i="40"/>
  <c r="Z35" i="40" s="1"/>
  <c r="Q34" i="40"/>
  <c r="Z34" i="40" s="1"/>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s="1"/>
  <c r="Q17" i="40"/>
  <c r="Z17" i="40" s="1"/>
  <c r="Q15" i="40"/>
  <c r="Z15" i="40"/>
  <c r="Q14" i="40"/>
  <c r="Z14" i="40" s="1"/>
  <c r="Q13" i="40"/>
  <c r="Z13" i="40" s="1"/>
  <c r="Q12" i="40"/>
  <c r="Z12" i="40" s="1"/>
  <c r="Q11" i="40"/>
  <c r="Z11" i="40"/>
  <c r="Q10" i="40"/>
  <c r="Z10" i="40" s="1"/>
  <c r="Q9" i="40"/>
  <c r="Z9" i="40" s="1"/>
  <c r="J9" i="40"/>
  <c r="W9" i="40" s="1"/>
  <c r="H9" i="40"/>
  <c r="AB9" i="40"/>
  <c r="F9" i="40"/>
  <c r="S9" i="40" s="1"/>
  <c r="J8" i="40"/>
  <c r="AC8" i="40" s="1"/>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J25" i="37" s="1"/>
  <c r="AC25" i="37" s="1"/>
  <c r="B110" i="37"/>
  <c r="J39" i="37"/>
  <c r="AC39" i="37" s="1"/>
  <c r="B108" i="37"/>
  <c r="H38" i="37" s="1"/>
  <c r="C23" i="37"/>
  <c r="C19" i="37"/>
  <c r="C17" i="37"/>
  <c r="C15" i="37"/>
  <c r="B112" i="37"/>
  <c r="D107" i="37"/>
  <c r="E107" i="37" s="1"/>
  <c r="F107" i="37" s="1"/>
  <c r="G107" i="37" s="1"/>
  <c r="H107" i="37" s="1"/>
  <c r="I107" i="37" s="1"/>
  <c r="J107" i="37" s="1"/>
  <c r="K107" i="37" s="1"/>
  <c r="L107" i="37" s="1"/>
  <c r="M107" i="37" s="1"/>
  <c r="D105" i="37"/>
  <c r="E105" i="37" s="1"/>
  <c r="F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W31" i="37" s="1"/>
  <c r="Q30" i="37"/>
  <c r="Z30" i="37"/>
  <c r="Q29" i="37"/>
  <c r="Z29" i="37" s="1"/>
  <c r="H29" i="37"/>
  <c r="AB29" i="37" s="1"/>
  <c r="Q28" i="37"/>
  <c r="Z28" i="37" s="1"/>
  <c r="Q27" i="37"/>
  <c r="Z27" i="37" s="1"/>
  <c r="Q26" i="37"/>
  <c r="Z26" i="37" s="1"/>
  <c r="J26" i="37"/>
  <c r="AC26" i="37" s="1"/>
  <c r="H26" i="37"/>
  <c r="AB26" i="37" s="1"/>
  <c r="F26" i="37"/>
  <c r="AA26" i="37" s="1"/>
  <c r="Q25" i="37"/>
  <c r="Z25" i="37"/>
  <c r="Q23" i="37"/>
  <c r="Z23" i="37" s="1"/>
  <c r="Q19" i="37"/>
  <c r="Z19" i="37"/>
  <c r="Q17" i="37"/>
  <c r="Z17" i="37" s="1"/>
  <c r="Q15" i="37"/>
  <c r="Z15" i="37"/>
  <c r="Q14" i="37"/>
  <c r="Z14" i="37" s="1"/>
  <c r="Q13" i="37"/>
  <c r="Z13" i="37" s="1"/>
  <c r="Q12" i="37"/>
  <c r="Z12" i="37" s="1"/>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c r="I81" i="36" s="1"/>
  <c r="J81" i="36" s="1"/>
  <c r="K81" i="36" s="1"/>
  <c r="L81" i="36" s="1"/>
  <c r="M81" i="36"/>
  <c r="F79" i="36"/>
  <c r="E79" i="36"/>
  <c r="D79" i="36"/>
  <c r="C79" i="36"/>
  <c r="B93" i="36"/>
  <c r="H33" i="36" s="1"/>
  <c r="B91" i="36"/>
  <c r="F32" i="36" s="1"/>
  <c r="B95" i="36"/>
  <c r="D83" i="36"/>
  <c r="E83" i="36"/>
  <c r="F83" i="36" s="1"/>
  <c r="G83" i="36" s="1"/>
  <c r="H83" i="36" s="1"/>
  <c r="I83" i="36" s="1"/>
  <c r="J83" i="36" s="1"/>
  <c r="K83" i="36" s="1"/>
  <c r="L83" i="36" s="1"/>
  <c r="M83" i="36" s="1"/>
  <c r="D78" i="36"/>
  <c r="E78" i="36" s="1"/>
  <c r="F78" i="36"/>
  <c r="G78" i="36" s="1"/>
  <c r="H78" i="36" s="1"/>
  <c r="I78" i="36" s="1"/>
  <c r="J78" i="36" s="1"/>
  <c r="K78" i="36" s="1"/>
  <c r="L78" i="36" s="1"/>
  <c r="M78" i="36" s="1"/>
  <c r="B75" i="36"/>
  <c r="B73" i="36"/>
  <c r="H24" i="36" s="1"/>
  <c r="J24" i="36"/>
  <c r="AC24" i="36" s="1"/>
  <c r="B71" i="36"/>
  <c r="D70" i="36"/>
  <c r="H22" i="36"/>
  <c r="AB22" i="36" s="1"/>
  <c r="D68" i="36"/>
  <c r="E68" i="36" s="1"/>
  <c r="F68" i="36" s="1"/>
  <c r="G68" i="36" s="1"/>
  <c r="D64" i="36"/>
  <c r="E64" i="36"/>
  <c r="F64" i="36" s="1"/>
  <c r="G64" i="36" s="1"/>
  <c r="J16" i="36"/>
  <c r="W16" i="36" s="1"/>
  <c r="D62" i="36"/>
  <c r="E62" i="36" s="1"/>
  <c r="F62" i="36" s="1"/>
  <c r="G62" i="36"/>
  <c r="B59" i="36"/>
  <c r="B57" i="36"/>
  <c r="J12" i="36"/>
  <c r="B55"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c r="H26" i="36"/>
  <c r="AB26" i="36" s="1"/>
  <c r="Q25" i="36"/>
  <c r="Z25" i="36"/>
  <c r="Q24" i="36"/>
  <c r="Z24" i="36" s="1"/>
  <c r="AB24" i="36"/>
  <c r="Q23" i="36"/>
  <c r="Z23" i="36"/>
  <c r="H23" i="36"/>
  <c r="AB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c r="H94" i="35" s="1"/>
  <c r="I94" i="35" s="1"/>
  <c r="J94" i="35" s="1"/>
  <c r="K94" i="35" s="1"/>
  <c r="L94" i="35"/>
  <c r="M94" i="35" s="1"/>
  <c r="D84" i="35"/>
  <c r="E84" i="35"/>
  <c r="F84" i="35"/>
  <c r="G84" i="35" s="1"/>
  <c r="H84" i="35" s="1"/>
  <c r="I84" i="35" s="1"/>
  <c r="J84" i="35" s="1"/>
  <c r="K84" i="35"/>
  <c r="L84" i="35" s="1"/>
  <c r="M84" i="35" s="1"/>
  <c r="D80" i="35"/>
  <c r="E80" i="35" s="1"/>
  <c r="F80" i="35" s="1"/>
  <c r="G80" i="35" s="1"/>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c r="Q34" i="35"/>
  <c r="Z34" i="35"/>
  <c r="Q33" i="35"/>
  <c r="Z33" i="35"/>
  <c r="Q32" i="35"/>
  <c r="Z32" i="35" s="1"/>
  <c r="H32" i="35"/>
  <c r="AB32" i="35" s="1"/>
  <c r="F32" i="35"/>
  <c r="AA32" i="35" s="1"/>
  <c r="Q31" i="35"/>
  <c r="Z31" i="35" s="1"/>
  <c r="AB31" i="35"/>
  <c r="AA31" i="35"/>
  <c r="Q30" i="35"/>
  <c r="Z30" i="35" s="1"/>
  <c r="Q29" i="35"/>
  <c r="Z29" i="35"/>
  <c r="Q28" i="35"/>
  <c r="Z28" i="35" s="1"/>
  <c r="J28" i="35"/>
  <c r="AC28" i="35" s="1"/>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c r="K90" i="34" s="1"/>
  <c r="L90" i="34" s="1"/>
  <c r="M90" i="34" s="1"/>
  <c r="C15" i="34"/>
  <c r="D126" i="34"/>
  <c r="E126" i="34"/>
  <c r="F126" i="34"/>
  <c r="G126" i="34" s="1"/>
  <c r="D124" i="34"/>
  <c r="E124" i="34"/>
  <c r="F124" i="34"/>
  <c r="G124" i="34" s="1"/>
  <c r="H124" i="34" s="1"/>
  <c r="I124" i="34"/>
  <c r="J124" i="34" s="1"/>
  <c r="K124" i="34" s="1"/>
  <c r="L124" i="34" s="1"/>
  <c r="M124" i="34" s="1"/>
  <c r="H43" i="34"/>
  <c r="AB43" i="34" s="1"/>
  <c r="D118" i="34"/>
  <c r="E118" i="34"/>
  <c r="F118" i="34"/>
  <c r="G118" i="34" s="1"/>
  <c r="D116" i="34"/>
  <c r="E116" i="34"/>
  <c r="F116" i="34"/>
  <c r="G116" i="34" s="1"/>
  <c r="H116" i="34" s="1"/>
  <c r="I116" i="34" s="1"/>
  <c r="J116" i="34" s="1"/>
  <c r="K116" i="34"/>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s="1"/>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c r="D79" i="33"/>
  <c r="E79" i="33" s="1"/>
  <c r="D77" i="33"/>
  <c r="E77" i="33" s="1"/>
  <c r="F77" i="33" s="1"/>
  <c r="G77" i="33" s="1"/>
  <c r="D69" i="33"/>
  <c r="E69" i="33"/>
  <c r="F69" i="33" s="1"/>
  <c r="G69" i="33" s="1"/>
  <c r="H69" i="33" s="1"/>
  <c r="I69" i="33" s="1"/>
  <c r="J69" i="33"/>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c r="Q42" i="33"/>
  <c r="Z42" i="33" s="1"/>
  <c r="J42" i="33"/>
  <c r="AC42" i="33" s="1"/>
  <c r="AC41" i="33"/>
  <c r="Q41" i="33"/>
  <c r="Z41" i="33"/>
  <c r="Q40" i="33"/>
  <c r="Z40" i="33" s="1"/>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c r="Q14" i="33"/>
  <c r="Z14" i="33" s="1"/>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s="1"/>
  <c r="C24" i="20"/>
  <c r="B97" i="43" s="1"/>
  <c r="C21" i="20"/>
  <c r="C20" i="20"/>
  <c r="B101" i="43" s="1"/>
  <c r="C18" i="20"/>
  <c r="B94" i="43" s="1"/>
  <c r="C17" i="20"/>
  <c r="C16" i="20"/>
  <c r="C17" i="39" s="1"/>
  <c r="C15" i="20"/>
  <c r="B72" i="43"/>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c r="J108" i="21" s="1"/>
  <c r="K108" i="21" s="1"/>
  <c r="L108" i="21" s="1"/>
  <c r="M108" i="21" s="1"/>
  <c r="D106" i="21"/>
  <c r="E106" i="2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F45" i="39"/>
  <c r="S45" i="39"/>
  <c r="J45" i="39"/>
  <c r="W45" i="39"/>
  <c r="J35" i="39"/>
  <c r="AC35" i="39"/>
  <c r="F35" i="39"/>
  <c r="AA35" i="39"/>
  <c r="U9" i="39"/>
  <c r="W40" i="39"/>
  <c r="E103" i="37"/>
  <c r="F39" i="37"/>
  <c r="S39" i="37" s="1"/>
  <c r="F29" i="36"/>
  <c r="AA29" i="36" s="1"/>
  <c r="F16" i="36"/>
  <c r="AA16" i="36" s="1"/>
  <c r="U9" i="36"/>
  <c r="W28" i="36"/>
  <c r="U31" i="36"/>
  <c r="J33" i="36"/>
  <c r="AC33" i="36" s="1"/>
  <c r="H22" i="35"/>
  <c r="AB22" i="35" s="1"/>
  <c r="AC27" i="35"/>
  <c r="U31" i="35"/>
  <c r="W22" i="35"/>
  <c r="S31" i="35"/>
  <c r="F36" i="34"/>
  <c r="J35" i="34"/>
  <c r="H39" i="33"/>
  <c r="AB39" i="33"/>
  <c r="F26" i="33"/>
  <c r="AA26" i="33"/>
  <c r="U33" i="33"/>
  <c r="U35" i="33"/>
  <c r="W33" i="33"/>
  <c r="W39" i="33"/>
  <c r="H39" i="37"/>
  <c r="AB39" i="37" s="1"/>
  <c r="F11" i="40"/>
  <c r="AA11" i="40" s="1"/>
  <c r="H11" i="40"/>
  <c r="AB11" i="40" s="1"/>
  <c r="W8" i="40"/>
  <c r="AB39" i="40"/>
  <c r="AC40" i="40"/>
  <c r="AA9" i="40"/>
  <c r="AC9" i="40"/>
  <c r="U9" i="40"/>
  <c r="S34" i="40"/>
  <c r="U38" i="40"/>
  <c r="S40" i="40"/>
  <c r="U34" i="40"/>
  <c r="S38"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F37" i="39"/>
  <c r="AA37" i="39"/>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24" i="36"/>
  <c r="AA24" i="36"/>
  <c r="F14" i="35"/>
  <c r="AA14" i="35"/>
  <c r="F23" i="35"/>
  <c r="AA23" i="35"/>
  <c r="J32" i="35"/>
  <c r="AC32" i="35" s="1"/>
  <c r="J16" i="35"/>
  <c r="AC16" i="35" s="1"/>
  <c r="H16" i="35"/>
  <c r="U16" i="35" s="1"/>
  <c r="F16" i="35"/>
  <c r="S16" i="35" s="1"/>
  <c r="H14" i="35"/>
  <c r="AB14" i="35" s="1"/>
  <c r="J29" i="35"/>
  <c r="H33" i="35"/>
  <c r="AB33" i="35"/>
  <c r="J20" i="35"/>
  <c r="W20" i="35"/>
  <c r="E101" i="37"/>
  <c r="F101" i="37" s="1"/>
  <c r="G101" i="37" s="1"/>
  <c r="H101" i="37" s="1"/>
  <c r="I101" i="37" s="1"/>
  <c r="J101" i="37" s="1"/>
  <c r="K101" i="37" s="1"/>
  <c r="L101" i="37" s="1"/>
  <c r="M101" i="37" s="1"/>
  <c r="J34" i="37"/>
  <c r="W34"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AA34" i="37"/>
  <c r="J43" i="34"/>
  <c r="AB42" i="34"/>
  <c r="J40" i="34"/>
  <c r="F114" i="34"/>
  <c r="G114" i="34" s="1"/>
  <c r="H114" i="34" s="1"/>
  <c r="I114" i="34" s="1"/>
  <c r="J114" i="34" s="1"/>
  <c r="K114" i="34" s="1"/>
  <c r="L114" i="34" s="1"/>
  <c r="M114" i="34" s="1"/>
  <c r="H38" i="34"/>
  <c r="AB38" i="34"/>
  <c r="J36" i="34"/>
  <c r="W36" i="34" s="1"/>
  <c r="H37" i="34"/>
  <c r="U37" i="34" s="1"/>
  <c r="H25" i="34"/>
  <c r="AB25" i="34"/>
  <c r="J25" i="34"/>
  <c r="AC25" i="34" s="1"/>
  <c r="F23" i="34"/>
  <c r="AA23" i="34"/>
  <c r="J19" i="34"/>
  <c r="AC19" i="34" s="1"/>
  <c r="F17" i="34"/>
  <c r="AA17" i="34"/>
  <c r="J17" i="34"/>
  <c r="W17" i="34" s="1"/>
  <c r="AB17" i="34"/>
  <c r="AA15" i="34"/>
  <c r="S15" i="34"/>
  <c r="S41" i="33"/>
  <c r="H37" i="33"/>
  <c r="AB37" i="33"/>
  <c r="H15" i="33"/>
  <c r="AB15" i="33" s="1"/>
  <c r="H11" i="33"/>
  <c r="AB11" i="33" s="1"/>
  <c r="F28" i="40"/>
  <c r="AA28" i="40" s="1"/>
  <c r="AA42" i="34"/>
  <c r="S42" i="34"/>
  <c r="AC38" i="34"/>
  <c r="AA38" i="34"/>
  <c r="J37" i="34"/>
  <c r="AC37" i="34" s="1"/>
  <c r="J11" i="33"/>
  <c r="W11" i="33" s="1"/>
  <c r="U23" i="40"/>
  <c r="G123" i="21"/>
  <c r="H123" i="21"/>
  <c r="I123" i="21" s="1"/>
  <c r="J123" i="21" s="1"/>
  <c r="K123" i="21" s="1"/>
  <c r="L123" i="21" s="1"/>
  <c r="M123" i="21" s="1"/>
  <c r="J42" i="21"/>
  <c r="AC42" i="21"/>
  <c r="H42" i="21"/>
  <c r="U42" i="21" s="1"/>
  <c r="J44" i="34"/>
  <c r="F44" i="34"/>
  <c r="AA44" i="34"/>
  <c r="J10" i="35"/>
  <c r="AC10" i="35" s="1"/>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AC29" i="33" s="1"/>
  <c r="H29" i="33"/>
  <c r="U29" i="33"/>
  <c r="F29" i="33"/>
  <c r="S29" i="33" s="1"/>
  <c r="J31" i="33"/>
  <c r="W31" i="33"/>
  <c r="H31" i="33"/>
  <c r="U31" i="33" s="1"/>
  <c r="F31" i="33"/>
  <c r="H45" i="33"/>
  <c r="U45" i="33"/>
  <c r="J45" i="33"/>
  <c r="W45" i="33" s="1"/>
  <c r="F45" i="33"/>
  <c r="AA45" i="33"/>
  <c r="J14" i="34"/>
  <c r="W14" i="34" s="1"/>
  <c r="F14" i="34"/>
  <c r="AA14" i="34" s="1"/>
  <c r="S14" i="34"/>
  <c r="H14" i="34"/>
  <c r="H30" i="34"/>
  <c r="F30" i="34"/>
  <c r="S30" i="34"/>
  <c r="J30" i="34"/>
  <c r="W30" i="34" s="1"/>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W13" i="36" s="1"/>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AC12" i="40"/>
  <c r="W12" i="40"/>
  <c r="H14" i="33"/>
  <c r="U14" i="33"/>
  <c r="F14" i="33"/>
  <c r="S14" i="33" s="1"/>
  <c r="J14" i="33"/>
  <c r="H30" i="33"/>
  <c r="AB30" i="33"/>
  <c r="F30" i="33"/>
  <c r="J30" i="33"/>
  <c r="H44" i="33"/>
  <c r="J44" i="33"/>
  <c r="W44" i="33" s="1"/>
  <c r="F44" i="33"/>
  <c r="S44" i="33"/>
  <c r="J46" i="33"/>
  <c r="AC46" i="33" s="1"/>
  <c r="F46" i="33"/>
  <c r="AA46" i="33"/>
  <c r="H46" i="33"/>
  <c r="U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s="1"/>
  <c r="J28" i="37"/>
  <c r="AC28" i="37" s="1"/>
  <c r="H28" i="37"/>
  <c r="U28" i="37" s="1"/>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F27" i="37"/>
  <c r="AA27" i="37" s="1"/>
  <c r="F13" i="39"/>
  <c r="J13" i="39"/>
  <c r="W13" i="39" s="1"/>
  <c r="H13" i="39"/>
  <c r="H14" i="40"/>
  <c r="AB14" i="40" s="1"/>
  <c r="J14" i="40"/>
  <c r="W14" i="40"/>
  <c r="F14" i="40"/>
  <c r="AA14" i="40" s="1"/>
  <c r="J14" i="37"/>
  <c r="AC14" i="37" s="1"/>
  <c r="J27" i="37"/>
  <c r="AC27" i="37" s="1"/>
  <c r="AA44" i="33"/>
  <c r="AA13" i="35"/>
  <c r="U31" i="34"/>
  <c r="AA14" i="33"/>
  <c r="J10" i="36"/>
  <c r="AC10" i="36" s="1"/>
  <c r="AB26" i="33"/>
  <c r="AB30" i="21"/>
  <c r="W31" i="34"/>
  <c r="AC13" i="36"/>
  <c r="S11" i="36"/>
  <c r="AB46" i="34"/>
  <c r="AC30" i="34"/>
  <c r="S45" i="33"/>
  <c r="AB45" i="33"/>
  <c r="AB31" i="33"/>
  <c r="W29" i="33"/>
  <c r="AC28" i="21"/>
  <c r="S44" i="34"/>
  <c r="BA586" i="3"/>
  <c r="BA585" i="3"/>
  <c r="F17" i="21"/>
  <c r="AA17" i="21" s="1"/>
  <c r="H17" i="21"/>
  <c r="AB17" i="2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AZ572" i="3" s="1"/>
  <c r="BL568" i="3"/>
  <c r="BL564" i="3"/>
  <c r="BL560" i="3"/>
  <c r="BL554" i="3"/>
  <c r="BL546" i="3"/>
  <c r="BL542" i="3"/>
  <c r="BL538" i="3"/>
  <c r="BL534" i="3"/>
  <c r="BL530" i="3"/>
  <c r="BL526" i="3"/>
  <c r="BL522" i="3"/>
  <c r="AZ522" i="3" s="1"/>
  <c r="BL516" i="3"/>
  <c r="AZ516" i="3" s="1"/>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s="1"/>
  <c r="BA576" i="3"/>
  <c r="BA574" i="3"/>
  <c r="AZ574" i="3" s="1"/>
  <c r="BA572" i="3"/>
  <c r="BA570" i="3"/>
  <c r="AZ570" i="3" s="1"/>
  <c r="BA568" i="3"/>
  <c r="AZ568" i="3"/>
  <c r="BA566" i="3"/>
  <c r="AZ566" i="3" s="1"/>
  <c r="BA564" i="3"/>
  <c r="AZ564" i="3"/>
  <c r="BA562" i="3"/>
  <c r="AZ562" i="3" s="1"/>
  <c r="BA560" i="3"/>
  <c r="BA558" i="3"/>
  <c r="AZ558" i="3"/>
  <c r="BA556" i="3"/>
  <c r="AZ556" i="3" s="1"/>
  <c r="BA554" i="3"/>
  <c r="AZ554" i="3"/>
  <c r="BA552" i="3"/>
  <c r="AZ552" i="3" s="1"/>
  <c r="BA548" i="3"/>
  <c r="BA546" i="3"/>
  <c r="AZ546" i="3" s="1"/>
  <c r="BA544" i="3"/>
  <c r="AZ544" i="3" s="1"/>
  <c r="BA542" i="3"/>
  <c r="AZ542" i="3"/>
  <c r="BA540" i="3"/>
  <c r="AZ540" i="3" s="1"/>
  <c r="BA538" i="3"/>
  <c r="AZ538" i="3"/>
  <c r="BA536" i="3"/>
  <c r="AZ536" i="3" s="1"/>
  <c r="BA534" i="3"/>
  <c r="AZ534" i="3"/>
  <c r="BA532" i="3"/>
  <c r="AZ532" i="3" s="1"/>
  <c r="BA530" i="3"/>
  <c r="BA528" i="3"/>
  <c r="AZ528" i="3" s="1"/>
  <c r="BA526" i="3"/>
  <c r="AZ526" i="3"/>
  <c r="BA524" i="3"/>
  <c r="AZ524" i="3" s="1"/>
  <c r="BA522" i="3"/>
  <c r="BA520" i="3"/>
  <c r="AZ520" i="3" s="1"/>
  <c r="BA518" i="3"/>
  <c r="AZ518" i="3" s="1"/>
  <c r="BA516" i="3"/>
  <c r="BA514" i="3"/>
  <c r="BA512" i="3"/>
  <c r="AZ512" i="3" s="1"/>
  <c r="BA510" i="3"/>
  <c r="AZ510" i="3"/>
  <c r="BA508" i="3"/>
  <c r="BA506" i="3"/>
  <c r="BA504" i="3"/>
  <c r="AZ504" i="3"/>
  <c r="BA502" i="3"/>
  <c r="BA500" i="3"/>
  <c r="BA498" i="3"/>
  <c r="AZ498" i="3"/>
  <c r="BA496" i="3"/>
  <c r="BA494" i="3"/>
  <c r="BA587" i="3"/>
  <c r="AZ587" i="3"/>
  <c r="BA583" i="3"/>
  <c r="BA581" i="3"/>
  <c r="BA579" i="3"/>
  <c r="BA577" i="3"/>
  <c r="AZ577" i="3" s="1"/>
  <c r="BA575" i="3"/>
  <c r="BA573" i="3"/>
  <c r="BA571" i="3"/>
  <c r="BA569" i="3"/>
  <c r="BA567" i="3"/>
  <c r="BA565" i="3"/>
  <c r="BA563" i="3"/>
  <c r="BA561" i="3"/>
  <c r="BA559" i="3"/>
  <c r="BA555" i="3"/>
  <c r="BA553" i="3"/>
  <c r="BA549" i="3"/>
  <c r="BA547" i="3"/>
  <c r="BA545" i="3"/>
  <c r="BA543" i="3"/>
  <c r="BA541" i="3"/>
  <c r="AZ541" i="3" s="1"/>
  <c r="BA539" i="3"/>
  <c r="BA537" i="3"/>
  <c r="BA535" i="3"/>
  <c r="BA533" i="3"/>
  <c r="AZ533" i="3" s="1"/>
  <c r="BA531" i="3"/>
  <c r="BA529" i="3"/>
  <c r="BA527" i="3"/>
  <c r="BA525" i="3"/>
  <c r="AZ525" i="3" s="1"/>
  <c r="BA523" i="3"/>
  <c r="BA519" i="3"/>
  <c r="BA517" i="3"/>
  <c r="AZ517" i="3" s="1"/>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s="1"/>
  <c r="BQ575" i="3"/>
  <c r="BL575" i="3"/>
  <c r="AZ575" i="3" s="1"/>
  <c r="BQ573" i="3"/>
  <c r="BL573" i="3"/>
  <c r="AZ573" i="3"/>
  <c r="BQ571" i="3"/>
  <c r="BL571" i="3" s="1"/>
  <c r="BQ569" i="3"/>
  <c r="BL569" i="3" s="1"/>
  <c r="BQ567" i="3"/>
  <c r="BL567" i="3"/>
  <c r="AZ567" i="3" s="1"/>
  <c r="BQ565" i="3"/>
  <c r="BL565" i="3"/>
  <c r="AZ565" i="3"/>
  <c r="BQ563" i="3"/>
  <c r="BL563" i="3" s="1"/>
  <c r="AZ563" i="3" s="1"/>
  <c r="BQ561" i="3"/>
  <c r="BL561" i="3"/>
  <c r="AZ561" i="3" s="1"/>
  <c r="BQ559" i="3"/>
  <c r="BL559" i="3"/>
  <c r="AZ559" i="3"/>
  <c r="G559" i="3"/>
  <c r="G555" i="3"/>
  <c r="G553" i="3"/>
  <c r="G549" i="3"/>
  <c r="G547" i="3"/>
  <c r="G545" i="3"/>
  <c r="G543" i="3"/>
  <c r="G541" i="3"/>
  <c r="G539" i="3"/>
  <c r="G537" i="3"/>
  <c r="BQ555" i="3"/>
  <c r="BL555" i="3"/>
  <c r="AZ555" i="3" s="1"/>
  <c r="BQ553" i="3"/>
  <c r="BL553" i="3"/>
  <c r="AZ553" i="3"/>
  <c r="BQ551" i="3"/>
  <c r="BL551" i="3" s="1"/>
  <c r="BQ549" i="3"/>
  <c r="BQ547" i="3"/>
  <c r="BL547" i="3" s="1"/>
  <c r="AZ547" i="3" s="1"/>
  <c r="BQ545" i="3"/>
  <c r="BL545" i="3"/>
  <c r="AZ545" i="3" s="1"/>
  <c r="BQ543" i="3"/>
  <c r="BL543" i="3"/>
  <c r="AZ543" i="3"/>
  <c r="BQ541" i="3"/>
  <c r="BL541" i="3" s="1"/>
  <c r="BQ539" i="3"/>
  <c r="BL539" i="3" s="1"/>
  <c r="AZ539" i="3" s="1"/>
  <c r="BQ537" i="3"/>
  <c r="BL537" i="3"/>
  <c r="AZ537" i="3" s="1"/>
  <c r="BQ535" i="3"/>
  <c r="BL535" i="3"/>
  <c r="AZ535" i="3"/>
  <c r="BQ533" i="3"/>
  <c r="BL533" i="3" s="1"/>
  <c r="BQ531" i="3"/>
  <c r="BL531" i="3" s="1"/>
  <c r="AZ531" i="3" s="1"/>
  <c r="BQ529" i="3"/>
  <c r="BL529" i="3"/>
  <c r="AZ529" i="3" s="1"/>
  <c r="BQ527" i="3"/>
  <c r="BL527" i="3"/>
  <c r="AZ527" i="3"/>
  <c r="BQ525" i="3"/>
  <c r="BL525" i="3" s="1"/>
  <c r="BQ523" i="3"/>
  <c r="BL523" i="3" s="1"/>
  <c r="AZ523" i="3" s="1"/>
  <c r="BA521" i="3"/>
  <c r="AC521" i="3"/>
  <c r="G521" i="3" s="1"/>
  <c r="BQ521" i="3"/>
  <c r="BL521" i="3"/>
  <c r="AZ521" i="3" s="1"/>
  <c r="BL520" i="3"/>
  <c r="G519" i="3"/>
  <c r="G517" i="3"/>
  <c r="G515" i="3"/>
  <c r="G513" i="3"/>
  <c r="G511" i="3"/>
  <c r="BQ519" i="3"/>
  <c r="BL519" i="3" s="1"/>
  <c r="BQ517" i="3"/>
  <c r="BL517" i="3"/>
  <c r="BQ515" i="3"/>
  <c r="BL515" i="3"/>
  <c r="AZ515" i="3"/>
  <c r="BQ513" i="3"/>
  <c r="BL513" i="3" s="1"/>
  <c r="AZ513" i="3" s="1"/>
  <c r="BQ511" i="3"/>
  <c r="BL511" i="3" s="1"/>
  <c r="BA509" i="3"/>
  <c r="AC509" i="3"/>
  <c r="G509" i="3" s="1"/>
  <c r="BQ509" i="3"/>
  <c r="BL509" i="3" s="1"/>
  <c r="AZ509" i="3" s="1"/>
  <c r="BL508" i="3"/>
  <c r="AZ508" i="3"/>
  <c r="G507" i="3"/>
  <c r="G505" i="3"/>
  <c r="G503" i="3"/>
  <c r="G501" i="3"/>
  <c r="G499" i="3"/>
  <c r="G497" i="3"/>
  <c r="G495" i="3"/>
  <c r="BQ507" i="3"/>
  <c r="BQ5" i="3" s="1"/>
  <c r="F28" i="6" s="1"/>
  <c r="BQ505" i="3"/>
  <c r="BL505" i="3"/>
  <c r="AZ505" i="3" s="1"/>
  <c r="BQ503" i="3"/>
  <c r="BL503" i="3"/>
  <c r="AZ503" i="3"/>
  <c r="BQ501" i="3"/>
  <c r="BL501" i="3" s="1"/>
  <c r="AZ501" i="3" s="1"/>
  <c r="BQ499" i="3"/>
  <c r="BL499" i="3"/>
  <c r="BQ497" i="3"/>
  <c r="BL497" i="3" s="1"/>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H43" i="33"/>
  <c r="AB43" i="33" s="1"/>
  <c r="AB27" i="37"/>
  <c r="U32" i="33"/>
  <c r="F39" i="33"/>
  <c r="AA39" i="33" s="1"/>
  <c r="E123" i="33"/>
  <c r="F42" i="33"/>
  <c r="AA42" i="33" s="1"/>
  <c r="H28" i="34"/>
  <c r="AB28" i="34"/>
  <c r="F14" i="36"/>
  <c r="AA14" i="36" s="1"/>
  <c r="F22" i="36"/>
  <c r="S22" i="36"/>
  <c r="F26" i="36"/>
  <c r="AA26" i="36" s="1"/>
  <c r="H27" i="34"/>
  <c r="AB27" i="34"/>
  <c r="H35" i="34"/>
  <c r="U35" i="34" s="1"/>
  <c r="F41" i="34"/>
  <c r="S41" i="34"/>
  <c r="H41" i="34"/>
  <c r="U41" i="34" s="1"/>
  <c r="J41" i="34"/>
  <c r="AC41" i="34"/>
  <c r="F10" i="35"/>
  <c r="S10" i="35" s="1"/>
  <c r="F24" i="35"/>
  <c r="AA24" i="35" s="1"/>
  <c r="H24" i="35"/>
  <c r="AB24" i="35"/>
  <c r="H23" i="37"/>
  <c r="AB23" i="37" s="1"/>
  <c r="J32" i="37"/>
  <c r="AC32" i="37" s="1"/>
  <c r="F37" i="37"/>
  <c r="AA37" i="37" s="1"/>
  <c r="F31" i="40"/>
  <c r="AA31" i="40" s="1"/>
  <c r="H31" i="40"/>
  <c r="U31" i="40"/>
  <c r="F32" i="40"/>
  <c r="S32" i="40" s="1"/>
  <c r="H32" i="40"/>
  <c r="AB32" i="40"/>
  <c r="J36" i="40"/>
  <c r="AC36" i="40" s="1"/>
  <c r="AA41" i="34"/>
  <c r="F123" i="33"/>
  <c r="G123" i="33"/>
  <c r="H123" i="33" s="1"/>
  <c r="I123" i="33" s="1"/>
  <c r="J123" i="33" s="1"/>
  <c r="K123" i="33" s="1"/>
  <c r="L123" i="33" s="1"/>
  <c r="M123" i="33" s="1"/>
  <c r="H42" i="33"/>
  <c r="AB42" i="33"/>
  <c r="G125" i="33"/>
  <c r="J43" i="33"/>
  <c r="AC43" i="33" s="1"/>
  <c r="U43" i="33"/>
  <c r="S28" i="31"/>
  <c r="S27" i="31"/>
  <c r="S26" i="31"/>
  <c r="U14" i="40"/>
  <c r="U35" i="35"/>
  <c r="AA12" i="35"/>
  <c r="W23" i="35"/>
  <c r="W14" i="37"/>
  <c r="AB28" i="37"/>
  <c r="U39" i="37"/>
  <c r="W26" i="37"/>
  <c r="U26" i="37"/>
  <c r="AB13" i="34"/>
  <c r="AA13" i="33"/>
  <c r="AC31" i="33"/>
  <c r="AC45" i="33"/>
  <c r="U11" i="33"/>
  <c r="U19" i="21"/>
  <c r="W44" i="21"/>
  <c r="U26" i="21"/>
  <c r="AC46" i="21"/>
  <c r="U12" i="21"/>
  <c r="AB38" i="21"/>
  <c r="F43" i="33"/>
  <c r="AA43" i="33"/>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AB31" i="37" s="1"/>
  <c r="J15" i="37"/>
  <c r="W15" i="37" s="1"/>
  <c r="AT6" i="3"/>
  <c r="AA25" i="21"/>
  <c r="H19" i="40"/>
  <c r="U19" i="40"/>
  <c r="F88" i="40"/>
  <c r="G88" i="40"/>
  <c r="F19" i="40"/>
  <c r="S19" i="40"/>
  <c r="AC13" i="40"/>
  <c r="AB33" i="40"/>
  <c r="W23" i="39"/>
  <c r="AC43" i="39"/>
  <c r="W43" i="39"/>
  <c r="U45" i="39"/>
  <c r="AB45" i="39"/>
  <c r="AB44" i="39"/>
  <c r="U44" i="39"/>
  <c r="G100" i="39"/>
  <c r="H37" i="39"/>
  <c r="AB37" i="39" s="1"/>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AC11" i="39" s="1"/>
  <c r="F11" i="39"/>
  <c r="AA11" i="39"/>
  <c r="S11" i="39"/>
  <c r="G4" i="4"/>
  <c r="I4" i="4"/>
  <c r="F61" i="43"/>
  <c r="H64" i="43" s="1"/>
  <c r="AZ20" i="3"/>
  <c r="AZ24" i="3"/>
  <c r="AZ28" i="3"/>
  <c r="AZ32" i="3"/>
  <c r="BL549" i="3"/>
  <c r="AZ494" i="3"/>
  <c r="AZ514" i="3"/>
  <c r="AZ530"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AZ140" i="3"/>
  <c r="G141" i="3"/>
  <c r="BA143" i="3"/>
  <c r="AZ143" i="3"/>
  <c r="BL144" i="3"/>
  <c r="AZ144" i="3" s="1"/>
  <c r="G145" i="3"/>
  <c r="BA147" i="3"/>
  <c r="AZ147" i="3"/>
  <c r="BL148" i="3"/>
  <c r="AZ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c r="G181" i="3"/>
  <c r="BA183" i="3"/>
  <c r="AZ183" i="3"/>
  <c r="BL184" i="3"/>
  <c r="AZ184" i="3" s="1"/>
  <c r="G185" i="3"/>
  <c r="BA187" i="3"/>
  <c r="BL188" i="3"/>
  <c r="AZ188" i="3" s="1"/>
  <c r="G189" i="3"/>
  <c r="BA191" i="3"/>
  <c r="AZ191" i="3"/>
  <c r="BL192" i="3"/>
  <c r="G193" i="3"/>
  <c r="BA195" i="3"/>
  <c r="AZ195" i="3"/>
  <c r="BL196" i="3"/>
  <c r="AZ196" i="3"/>
  <c r="G197" i="3"/>
  <c r="BA199" i="3"/>
  <c r="AZ199" i="3" s="1"/>
  <c r="BL200" i="3"/>
  <c r="G201" i="3"/>
  <c r="BA203" i="3"/>
  <c r="AZ203" i="3" s="1"/>
  <c r="BL204" i="3"/>
  <c r="AZ204" i="3"/>
  <c r="AZ39" i="3"/>
  <c r="AZ43" i="3"/>
  <c r="AZ47" i="3"/>
  <c r="AZ51" i="3"/>
  <c r="AZ55" i="3"/>
  <c r="AZ59" i="3"/>
  <c r="AZ63" i="3"/>
  <c r="AZ67" i="3"/>
  <c r="AZ71" i="3"/>
  <c r="AZ79" i="3"/>
  <c r="AZ83" i="3"/>
  <c r="AZ136" i="3"/>
  <c r="AZ160" i="3"/>
  <c r="AZ168" i="3"/>
  <c r="AZ200" i="3"/>
  <c r="AZ85" i="3"/>
  <c r="AZ93" i="3"/>
  <c r="AZ97" i="3"/>
  <c r="AZ101" i="3"/>
  <c r="AZ105" i="3"/>
  <c r="AZ109"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86" i="3"/>
  <c r="AZ194" i="3"/>
  <c r="AZ198" i="3"/>
  <c r="AZ202" i="3"/>
  <c r="AZ206" i="3"/>
  <c r="BA16" i="3"/>
  <c r="AZ16" i="3"/>
  <c r="BL303" i="3"/>
  <c r="G304" i="3"/>
  <c r="BA306" i="3"/>
  <c r="AZ306" i="3"/>
  <c r="BL307" i="3"/>
  <c r="AZ307" i="3"/>
  <c r="G308" i="3"/>
  <c r="BA310" i="3"/>
  <c r="AZ310" i="3" s="1"/>
  <c r="BL311" i="3"/>
  <c r="AZ311" i="3"/>
  <c r="G312" i="3"/>
  <c r="BA314" i="3"/>
  <c r="AZ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17" i="3"/>
  <c r="AZ325" i="3"/>
  <c r="AZ333" i="3"/>
  <c r="AC5" i="3"/>
  <c r="AZ549" i="3"/>
  <c r="AZ506" i="3"/>
  <c r="AZ496" i="3"/>
  <c r="G548" i="3"/>
  <c r="G538" i="3"/>
  <c r="G520" i="3"/>
  <c r="G502" i="3"/>
  <c r="BS5" i="3"/>
  <c r="BP5" i="3"/>
  <c r="BN5" i="3"/>
  <c r="AZ343" i="3"/>
  <c r="BK5" i="3"/>
  <c r="BI5" i="3"/>
  <c r="BG5" i="3"/>
  <c r="BE5" i="3"/>
  <c r="BC5" i="3"/>
  <c r="G17" i="3"/>
  <c r="BA17" i="3"/>
  <c r="BT5" i="3"/>
  <c r="AZ350" i="3"/>
  <c r="AZ360" i="3"/>
  <c r="AZ364" i="3"/>
  <c r="AZ368" i="3"/>
  <c r="BA15" i="3"/>
  <c r="AZ15" i="3"/>
  <c r="BR5" i="3"/>
  <c r="AZ384" i="3"/>
  <c r="AZ388" i="3"/>
  <c r="AZ392" i="3"/>
  <c r="AZ396" i="3"/>
  <c r="BL493" i="3"/>
  <c r="AZ491" i="3"/>
  <c r="AZ376" i="3"/>
  <c r="AZ382" i="3"/>
  <c r="AZ493" i="3"/>
  <c r="U36" i="40"/>
  <c r="F83" i="43"/>
  <c r="H85" i="43" s="1"/>
  <c r="F50" i="43"/>
  <c r="H54" i="43" s="1"/>
  <c r="F72" i="43"/>
  <c r="H75" i="43" s="1"/>
  <c r="U17" i="39"/>
  <c r="S14" i="35"/>
  <c r="U43" i="21"/>
  <c r="U35" i="21"/>
  <c r="AC35" i="21"/>
  <c r="G8" i="1"/>
  <c r="G10" i="1"/>
  <c r="W44" i="34"/>
  <c r="AC44" i="34"/>
  <c r="U13" i="37"/>
  <c r="U12" i="40"/>
  <c r="AA12" i="40"/>
  <c r="J37" i="33"/>
  <c r="W37" i="33"/>
  <c r="AC17" i="34"/>
  <c r="F106" i="33"/>
  <c r="G106" i="33"/>
  <c r="H106" i="33"/>
  <c r="I106" i="33" s="1"/>
  <c r="J106" i="33" s="1"/>
  <c r="K106" i="33" s="1"/>
  <c r="L106" i="33" s="1"/>
  <c r="M106" i="33" s="1"/>
  <c r="J34" i="33"/>
  <c r="W34" i="33"/>
  <c r="F33" i="34"/>
  <c r="AA33" i="34" s="1"/>
  <c r="W12" i="36"/>
  <c r="AC12" i="36"/>
  <c r="H20" i="36"/>
  <c r="AB20" i="36" s="1"/>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AA39" i="34" s="1"/>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82" i="3"/>
  <c r="AZ102" i="3"/>
  <c r="AZ110" i="3"/>
  <c r="F23" i="39"/>
  <c r="AA23" i="39" s="1"/>
  <c r="H27" i="36"/>
  <c r="U27" i="36" s="1"/>
  <c r="F27" i="36"/>
  <c r="AA27" i="36" s="1"/>
  <c r="H33" i="34"/>
  <c r="U33" i="34" s="1"/>
  <c r="F32" i="37"/>
  <c r="AA32" i="37" s="1"/>
  <c r="F20" i="36"/>
  <c r="AA20" i="36"/>
  <c r="J33" i="34"/>
  <c r="AC33" i="34"/>
  <c r="H23" i="39"/>
  <c r="U23" i="39" s="1"/>
  <c r="D48" i="9"/>
  <c r="M52" i="9" s="1"/>
  <c r="K9" i="1"/>
  <c r="M9" i="1" s="1"/>
  <c r="D93" i="9"/>
  <c r="G29" i="6"/>
  <c r="AC26" i="33"/>
  <c r="W26" i="33"/>
  <c r="W27" i="34"/>
  <c r="AC27" i="34"/>
  <c r="AB33" i="36"/>
  <c r="U33" i="36"/>
  <c r="AC12" i="39"/>
  <c r="W12" i="39"/>
  <c r="AC39" i="40"/>
  <c r="W39" i="40"/>
  <c r="AZ401" i="3"/>
  <c r="AZ412" i="3"/>
  <c r="AZ417" i="3"/>
  <c r="AZ428" i="3"/>
  <c r="AZ433" i="3"/>
  <c r="AZ465" i="3"/>
  <c r="AZ586" i="3"/>
  <c r="W12" i="33"/>
  <c r="AC12" i="33"/>
  <c r="AA32" i="36"/>
  <c r="S32" i="36"/>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97" i="3"/>
  <c r="AZ19" i="3"/>
  <c r="AZ26" i="3"/>
  <c r="AZ35" i="3"/>
  <c r="AZ41" i="3"/>
  <c r="B12" i="1"/>
  <c r="E12" i="1" s="1"/>
  <c r="B10" i="1"/>
  <c r="E10" i="1" s="1"/>
  <c r="AZ111" i="3"/>
  <c r="K12" i="1"/>
  <c r="M12" i="1" s="1"/>
  <c r="S13" i="1"/>
  <c r="AR13" i="1" s="1"/>
  <c r="R13" i="1"/>
  <c r="J51" i="67"/>
  <c r="C42" i="1"/>
  <c r="AC34" i="33"/>
  <c r="AA34" i="33"/>
  <c r="B41" i="1"/>
  <c r="F48" i="9" s="1"/>
  <c r="O52" i="9" s="1"/>
  <c r="AB37" i="40"/>
  <c r="S35" i="40"/>
  <c r="W38"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9" i="39"/>
  <c r="U14" i="39"/>
  <c r="AC13" i="39"/>
  <c r="U12" i="39"/>
  <c r="U13" i="36"/>
  <c r="U26" i="36"/>
  <c r="S33" i="36"/>
  <c r="AC26" i="36"/>
  <c r="AA22" i="36"/>
  <c r="W14" i="36"/>
  <c r="AB14" i="36"/>
  <c r="U22" i="36"/>
  <c r="S16" i="36"/>
  <c r="AA25" i="36"/>
  <c r="S24" i="36"/>
  <c r="U24" i="36"/>
  <c r="U23" i="36"/>
  <c r="U16"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S26" i="37"/>
  <c r="AC15" i="37"/>
  <c r="F23" i="37"/>
  <c r="S23" i="37" s="1"/>
  <c r="U23" i="37"/>
  <c r="U15" i="37"/>
  <c r="AC13" i="37"/>
  <c r="AA13" i="37"/>
  <c r="H10" i="37"/>
  <c r="AB10" i="37" s="1"/>
  <c r="F63" i="37"/>
  <c r="F11" i="37"/>
  <c r="S11" i="37" s="1"/>
  <c r="S27" i="34"/>
  <c r="W25" i="34"/>
  <c r="AB8" i="34"/>
  <c r="U44" i="34"/>
  <c r="U43" i="34"/>
  <c r="AC39" i="34"/>
  <c r="W41"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F36" i="33"/>
  <c r="AA36" i="33" s="1"/>
  <c r="G111" i="33"/>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M20" i="67"/>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AB37" i="37"/>
  <c r="AC34"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AB45" i="21" s="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W12" i="21"/>
  <c r="AB36" i="21"/>
  <c r="C15" i="40"/>
  <c r="C17" i="40"/>
  <c r="C23"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J23" i="37"/>
  <c r="AC23" i="37" s="1"/>
  <c r="J10" i="37"/>
  <c r="W10" i="37" s="1"/>
  <c r="G63" i="37"/>
  <c r="H63" i="37" s="1"/>
  <c r="I63" i="37" s="1"/>
  <c r="J63" i="37" s="1"/>
  <c r="K63" i="37" s="1"/>
  <c r="L63" i="37" s="1"/>
  <c r="M63" i="37" s="1"/>
  <c r="H11" i="37"/>
  <c r="AB11" i="37" s="1"/>
  <c r="H11" i="34"/>
  <c r="U11" i="34" s="1"/>
  <c r="J10" i="34"/>
  <c r="AC10" i="34" s="1"/>
  <c r="AB41" i="33"/>
  <c r="H111" i="33"/>
  <c r="I111" i="33" s="1"/>
  <c r="J111" i="33" s="1"/>
  <c r="K111" i="33" s="1"/>
  <c r="L111" i="33" s="1"/>
  <c r="M111" i="33" s="1"/>
  <c r="J36" i="33"/>
  <c r="W36" i="33" s="1"/>
  <c r="H36" i="33"/>
  <c r="U36" i="33" s="1"/>
  <c r="S36" i="33"/>
  <c r="U27" i="33"/>
  <c r="AB27" i="33"/>
  <c r="J27" i="33"/>
  <c r="AC27" i="33" s="1"/>
  <c r="U25" i="33"/>
  <c r="AB25" i="33"/>
  <c r="AA25" i="33"/>
  <c r="G87" i="33"/>
  <c r="H87" i="33"/>
  <c r="I87" i="33"/>
  <c r="J87" i="33"/>
  <c r="K87" i="33" s="1"/>
  <c r="L87" i="33" s="1"/>
  <c r="M87" i="33" s="1"/>
  <c r="J25" i="33"/>
  <c r="AC25" i="33" s="1"/>
  <c r="AB23" i="33"/>
  <c r="U23" i="33"/>
  <c r="F23" i="33"/>
  <c r="S23" i="33" s="1"/>
  <c r="G85" i="33"/>
  <c r="AC23" i="33"/>
  <c r="W23" i="33"/>
  <c r="AA19" i="33"/>
  <c r="H19" i="33"/>
  <c r="U19" i="33" s="1"/>
  <c r="G79" i="33"/>
  <c r="H17" i="33"/>
  <c r="AB17" i="33" s="1"/>
  <c r="F17" i="33"/>
  <c r="S17" i="33" s="1"/>
  <c r="AA23" i="21"/>
  <c r="AB15" i="21"/>
  <c r="J23" i="21"/>
  <c r="AC23" i="21" s="1"/>
  <c r="H23" i="21"/>
  <c r="S13" i="21"/>
  <c r="D6" i="52"/>
  <c r="AP7" i="1"/>
  <c r="AB9" i="21"/>
  <c r="U9" i="21"/>
  <c r="AA32" i="21"/>
  <c r="S32" i="21"/>
  <c r="AC9" i="21"/>
  <c r="AB32" i="21"/>
  <c r="U32" i="21"/>
  <c r="U32" i="39"/>
  <c r="AC32" i="39"/>
  <c r="W32" i="39"/>
  <c r="J11" i="37"/>
  <c r="AC11" i="37" s="1"/>
  <c r="J11" i="34"/>
  <c r="W11" i="34" s="1"/>
  <c r="AB36" i="33"/>
  <c r="W27" i="33"/>
  <c r="AA23" i="33"/>
  <c r="U23" i="21"/>
  <c r="AB23" i="21"/>
  <c r="W23" i="21"/>
  <c r="H109" i="9"/>
  <c r="D16" i="53" s="1"/>
  <c r="B34" i="72" s="1"/>
  <c r="H112" i="9"/>
  <c r="H111" i="9"/>
  <c r="D126" i="9" s="1"/>
  <c r="AD3" i="71"/>
  <c r="J1" i="73"/>
  <c r="H69" i="43"/>
  <c r="H50" i="43"/>
  <c r="C22" i="71"/>
  <c r="C21" i="71" s="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M9" i="15"/>
  <c r="M26" i="15"/>
  <c r="F20" i="31"/>
  <c r="M26" i="67"/>
  <c r="L47" i="67"/>
  <c r="E12" i="76"/>
  <c r="M29" i="67"/>
  <c r="B8" i="76"/>
  <c r="F42" i="15"/>
  <c r="L48" i="67"/>
  <c r="E11" i="76"/>
  <c r="F13" i="15"/>
  <c r="M23" i="15"/>
  <c r="E10" i="76"/>
  <c r="E8" i="76"/>
  <c r="E9" i="76"/>
  <c r="B13" i="76"/>
  <c r="F8" i="67"/>
  <c r="F9" i="67"/>
  <c r="F26" i="67"/>
  <c r="B11" i="76"/>
  <c r="F36" i="15"/>
  <c r="M24" i="67"/>
  <c r="F7" i="73"/>
  <c r="F43" i="67"/>
  <c r="M22" i="67"/>
  <c r="B9" i="76"/>
  <c r="J15" i="67"/>
  <c r="M28" i="15"/>
  <c r="F6" i="73"/>
  <c r="M28" i="67"/>
  <c r="F16" i="67"/>
  <c r="F42" i="67"/>
  <c r="E13" i="76"/>
  <c r="F36" i="67"/>
  <c r="C76" i="15"/>
  <c r="F26" i="15"/>
  <c r="M8" i="67"/>
  <c r="F6" i="15"/>
  <c r="F38" i="15"/>
  <c r="F37" i="67"/>
  <c r="F3" i="73"/>
  <c r="D5" i="73"/>
  <c r="F16" i="15"/>
  <c r="M6" i="67"/>
  <c r="B7" i="76"/>
  <c r="J15" i="15"/>
  <c r="M22" i="15"/>
  <c r="M9" i="67"/>
  <c r="F7" i="67"/>
  <c r="E7" i="76"/>
  <c r="M8" i="15"/>
  <c r="M23" i="67"/>
  <c r="M24" i="15"/>
  <c r="F37" i="15"/>
  <c r="L47" i="15"/>
  <c r="B12" i="76"/>
  <c r="L48" i="15"/>
  <c r="C76" i="67"/>
  <c r="F38" i="67"/>
  <c r="F40" i="67"/>
  <c r="E2" i="69"/>
  <c r="F13" i="67"/>
  <c r="F4" i="73"/>
  <c r="F6" i="67"/>
  <c r="E2" i="68"/>
  <c r="F9" i="15"/>
  <c r="F8" i="15"/>
  <c r="M6" i="15"/>
  <c r="B10" i="76"/>
  <c r="D7" i="73"/>
  <c r="F40" i="15"/>
  <c r="AO13" i="1"/>
  <c r="F5" i="73"/>
  <c r="D4" i="73"/>
  <c r="H5" i="3" l="1"/>
  <c r="AZ569" i="3"/>
  <c r="AZ571" i="3"/>
  <c r="AZ579" i="3"/>
  <c r="C20" i="71"/>
  <c r="D21" i="71"/>
  <c r="AZ511" i="3"/>
  <c r="AZ519" i="3"/>
  <c r="AZ583" i="3"/>
  <c r="AC35" i="33"/>
  <c r="U17" i="33"/>
  <c r="AB19" i="33"/>
  <c r="W25" i="33"/>
  <c r="S42" i="33"/>
  <c r="S20" i="35"/>
  <c r="AA36" i="35"/>
  <c r="AA12" i="39"/>
  <c r="U35" i="40"/>
  <c r="AA29" i="35"/>
  <c r="AB23" i="34"/>
  <c r="U34" i="34"/>
  <c r="U14" i="37"/>
  <c r="B99" i="43"/>
  <c r="B76" i="43"/>
  <c r="AA40" i="33"/>
  <c r="S40" i="33"/>
  <c r="AA17" i="33"/>
  <c r="E15" i="71"/>
  <c r="E14" i="71" s="1"/>
  <c r="E13" i="71" s="1"/>
  <c r="E12" i="71" s="1"/>
  <c r="V16" i="71"/>
  <c r="S37" i="21"/>
  <c r="AC17" i="33"/>
  <c r="W32" i="33"/>
  <c r="W30" i="40"/>
  <c r="AA15" i="21"/>
  <c r="AA29" i="21"/>
  <c r="W25" i="21"/>
  <c r="AB35" i="34"/>
  <c r="S14" i="36"/>
  <c r="S15" i="39"/>
  <c r="U37" i="39"/>
  <c r="AA32" i="40"/>
  <c r="U20" i="36"/>
  <c r="S33" i="34"/>
  <c r="F29" i="6"/>
  <c r="W11" i="39"/>
  <c r="AB25" i="39"/>
  <c r="S14" i="40"/>
  <c r="W47" i="34"/>
  <c r="W36" i="40"/>
  <c r="S26" i="36"/>
  <c r="BL507" i="3"/>
  <c r="AZ507" i="3" s="1"/>
  <c r="AB46" i="33"/>
  <c r="AC44" i="33"/>
  <c r="AC11" i="35"/>
  <c r="S28" i="34"/>
  <c r="BL585" i="3"/>
  <c r="AZ585" i="3" s="1"/>
  <c r="C19" i="39"/>
  <c r="B61" i="43"/>
  <c r="F12" i="34"/>
  <c r="H12" i="34"/>
  <c r="J12" i="34"/>
  <c r="H36" i="39"/>
  <c r="F36" i="39"/>
  <c r="J36" i="39"/>
  <c r="F103" i="37"/>
  <c r="G103" i="37" s="1"/>
  <c r="H103" i="37" s="1"/>
  <c r="I103" i="37" s="1"/>
  <c r="J103" i="37" s="1"/>
  <c r="K103" i="37" s="1"/>
  <c r="L103" i="37" s="1"/>
  <c r="M103" i="37" s="1"/>
  <c r="F35" i="37"/>
  <c r="S35" i="37" s="1"/>
  <c r="W31" i="40"/>
  <c r="AC31" i="40"/>
  <c r="AC36" i="34"/>
  <c r="H34" i="35"/>
  <c r="J34" i="35"/>
  <c r="F34" i="35"/>
  <c r="H34" i="36"/>
  <c r="J34" i="36"/>
  <c r="W34" i="36" s="1"/>
  <c r="F34" i="36"/>
  <c r="BL548" i="3"/>
  <c r="AZ548" i="3" s="1"/>
  <c r="BL550" i="3"/>
  <c r="AZ550" i="3" s="1"/>
  <c r="S27" i="35"/>
  <c r="W9" i="34"/>
  <c r="W25" i="37"/>
  <c r="J12" i="35"/>
  <c r="H36" i="35"/>
  <c r="J36" i="35"/>
  <c r="H40" i="40"/>
  <c r="W31" i="35"/>
  <c r="AC31" i="35"/>
  <c r="G556" i="3"/>
  <c r="BA551" i="3"/>
  <c r="AZ551" i="3" s="1"/>
  <c r="E19" i="6"/>
  <c r="K6" i="1" s="1"/>
  <c r="H16" i="1" s="1"/>
  <c r="AZ405" i="3"/>
  <c r="C21" i="39"/>
  <c r="W28" i="35"/>
  <c r="J44" i="39"/>
  <c r="B73" i="43"/>
  <c r="B75" i="43"/>
  <c r="F9" i="33"/>
  <c r="AA9" i="33" s="1"/>
  <c r="F9" i="34"/>
  <c r="AA9" i="34" s="1"/>
  <c r="J23" i="36"/>
  <c r="F23" i="36"/>
  <c r="F25" i="37"/>
  <c r="H25" i="37"/>
  <c r="F44" i="39"/>
  <c r="G570" i="3"/>
  <c r="BL399" i="3"/>
  <c r="AZ399" i="3" s="1"/>
  <c r="BL400" i="3"/>
  <c r="AZ400" i="3" s="1"/>
  <c r="G401" i="3"/>
  <c r="BA404" i="3"/>
  <c r="AZ404" i="3" s="1"/>
  <c r="G408" i="3"/>
  <c r="BL409" i="3"/>
  <c r="AZ409" i="3" s="1"/>
  <c r="AZ442" i="3"/>
  <c r="AZ443" i="3"/>
  <c r="AZ448" i="3"/>
  <c r="BB5" i="3"/>
  <c r="E14" i="6" s="1"/>
  <c r="E63" i="39" s="1"/>
  <c r="BL402" i="3"/>
  <c r="AZ429" i="3"/>
  <c r="AZ220" i="3"/>
  <c r="AZ221" i="3"/>
  <c r="AZ228" i="3"/>
  <c r="AZ230" i="3"/>
  <c r="AZ242" i="3"/>
  <c r="BL403" i="3"/>
  <c r="AZ407" i="3"/>
  <c r="AZ415" i="3"/>
  <c r="AZ418" i="3"/>
  <c r="AZ419" i="3"/>
  <c r="AZ426" i="3"/>
  <c r="AZ430" i="3"/>
  <c r="AZ434" i="3"/>
  <c r="AZ477" i="3"/>
  <c r="AZ481" i="3"/>
  <c r="AZ485" i="3"/>
  <c r="AZ488" i="3"/>
  <c r="AZ217" i="3"/>
  <c r="AZ219" i="3"/>
  <c r="AZ231" i="3"/>
  <c r="AZ236" i="3"/>
  <c r="BA402" i="3"/>
  <c r="AZ402" i="3" s="1"/>
  <c r="BA403" i="3"/>
  <c r="G405" i="3"/>
  <c r="BA406" i="3"/>
  <c r="AZ406" i="3" s="1"/>
  <c r="AZ413" i="3"/>
  <c r="AZ416" i="3"/>
  <c r="AZ424" i="3"/>
  <c r="AZ427" i="3"/>
  <c r="AZ435" i="3"/>
  <c r="AZ444" i="3"/>
  <c r="AZ454" i="3"/>
  <c r="AZ455" i="3"/>
  <c r="AZ469" i="3"/>
  <c r="AZ470" i="3"/>
  <c r="AZ489" i="3"/>
  <c r="AZ397" i="3"/>
  <c r="AZ210" i="3"/>
  <c r="AZ212" i="3"/>
  <c r="AZ216" i="3"/>
  <c r="BL246" i="3"/>
  <c r="AZ246" i="3" s="1"/>
  <c r="AZ272" i="3"/>
  <c r="AZ289" i="3"/>
  <c r="AZ292" i="3"/>
  <c r="AZ298" i="3"/>
  <c r="AZ301" i="3"/>
  <c r="AZ118" i="3"/>
  <c r="AZ121" i="3"/>
  <c r="AZ153" i="3"/>
  <c r="BA249" i="3"/>
  <c r="AZ249" i="3" s="1"/>
  <c r="BL253" i="3"/>
  <c r="AZ253" i="3" s="1"/>
  <c r="AZ264" i="3"/>
  <c r="AZ267" i="3"/>
  <c r="AZ284" i="3"/>
  <c r="AZ290" i="3"/>
  <c r="AZ293" i="3"/>
  <c r="AZ294" i="3"/>
  <c r="AZ122" i="3"/>
  <c r="AZ185" i="3"/>
  <c r="G252" i="3"/>
  <c r="G257" i="3"/>
  <c r="AZ262" i="3"/>
  <c r="AZ276" i="3"/>
  <c r="AZ282" i="3"/>
  <c r="AZ285" i="3"/>
  <c r="AZ113" i="3"/>
  <c r="AZ134" i="3"/>
  <c r="AZ145" i="3"/>
  <c r="BL190" i="3"/>
  <c r="AZ190" i="3" s="1"/>
  <c r="AZ193" i="3"/>
  <c r="AZ201" i="3"/>
  <c r="AZ18" i="3"/>
  <c r="AZ23" i="3"/>
  <c r="AZ27" i="3"/>
  <c r="AZ38" i="3"/>
  <c r="AZ46" i="3"/>
  <c r="AZ64" i="3"/>
  <c r="AZ68" i="3"/>
  <c r="AZ76" i="3"/>
  <c r="AZ78" i="3"/>
  <c r="BL187" i="3"/>
  <c r="AZ187" i="3" s="1"/>
  <c r="BA192" i="3"/>
  <c r="AZ192" i="3" s="1"/>
  <c r="BA181" i="3"/>
  <c r="AZ181" i="3" s="1"/>
  <c r="BL189" i="3"/>
  <c r="AZ189" i="3" s="1"/>
  <c r="AZ205" i="3"/>
  <c r="AZ36" i="3"/>
  <c r="AZ48" i="3"/>
  <c r="AZ52" i="3"/>
  <c r="AZ57" i="3"/>
  <c r="AZ62" i="3"/>
  <c r="AZ73" i="3"/>
  <c r="BA80" i="3"/>
  <c r="AZ80" i="3" s="1"/>
  <c r="BL86" i="3"/>
  <c r="AZ86" i="3" s="1"/>
  <c r="BL96" i="3"/>
  <c r="BL107" i="3"/>
  <c r="AZ107" i="3" s="1"/>
  <c r="P65" i="71"/>
  <c r="P66" i="71"/>
  <c r="BA75" i="3"/>
  <c r="AZ75" i="3" s="1"/>
  <c r="G79" i="3"/>
  <c r="BL84" i="3"/>
  <c r="AZ84" i="3" s="1"/>
  <c r="AZ92" i="3"/>
  <c r="AZ96" i="3"/>
  <c r="AZ103" i="3"/>
  <c r="AZ106" i="3"/>
  <c r="AZ112" i="3"/>
  <c r="D42" i="71"/>
  <c r="C43" i="71"/>
  <c r="BL90" i="3"/>
  <c r="AZ90" i="3" s="1"/>
  <c r="BL94" i="3"/>
  <c r="AZ94" i="3" s="1"/>
  <c r="BA100" i="3"/>
  <c r="AZ100" i="3" s="1"/>
  <c r="C55" i="71"/>
  <c r="D54" i="71"/>
  <c r="D58" i="71"/>
  <c r="C59" i="71"/>
  <c r="BL77" i="3"/>
  <c r="AZ77" i="3" s="1"/>
  <c r="G81" i="3"/>
  <c r="BA87" i="3"/>
  <c r="AZ87" i="3" s="1"/>
  <c r="BA88" i="3"/>
  <c r="AZ88" i="3" s="1"/>
  <c r="BA89" i="3"/>
  <c r="AZ89" i="3" s="1"/>
  <c r="BL99" i="3"/>
  <c r="AZ99" i="3" s="1"/>
  <c r="W21" i="21"/>
  <c r="B57" i="43"/>
  <c r="X22" i="71"/>
  <c r="AB23" i="71"/>
  <c r="X12" i="71"/>
  <c r="X17" i="71"/>
  <c r="AB26" i="71"/>
  <c r="Y27" i="71"/>
  <c r="Z27" i="71" s="1"/>
  <c r="AA29" i="71"/>
  <c r="Y30" i="71"/>
  <c r="Z30" i="71" s="1"/>
  <c r="X30" i="71"/>
  <c r="X27" i="71"/>
  <c r="X29" i="71"/>
  <c r="X32" i="71"/>
  <c r="Y33" i="71"/>
  <c r="Z33" i="71" s="1"/>
  <c r="Y32" i="71"/>
  <c r="Z32" i="71" s="1"/>
  <c r="AA34" i="71"/>
  <c r="Y34" i="71"/>
  <c r="Z34" i="71" s="1"/>
  <c r="AB10" i="71"/>
  <c r="AB9" i="71"/>
  <c r="X24" i="71"/>
  <c r="AA22" i="71"/>
  <c r="AA21" i="71"/>
  <c r="Y11" i="71"/>
  <c r="Z11" i="71" s="1"/>
  <c r="J51" i="15"/>
  <c r="O65" i="71"/>
  <c r="F31" i="71"/>
  <c r="F32" i="71" s="1"/>
  <c r="V32" i="71" s="1"/>
  <c r="AB34" i="71"/>
  <c r="AB31" i="71"/>
  <c r="F38" i="71"/>
  <c r="F39" i="71" s="1"/>
  <c r="F40" i="71" s="1"/>
  <c r="V40" i="71" s="1"/>
  <c r="E47" i="71"/>
  <c r="E48" i="71" s="1"/>
  <c r="U48" i="71" s="1"/>
  <c r="F71" i="71"/>
  <c r="F70" i="71" s="1"/>
  <c r="AA24" i="71"/>
  <c r="Y24" i="71"/>
  <c r="Z24" i="71" s="1"/>
  <c r="Y21" i="71"/>
  <c r="Z21" i="71" s="1"/>
  <c r="X21" i="71"/>
  <c r="AA18" i="71"/>
  <c r="X18" i="71"/>
  <c r="AA17" i="71"/>
  <c r="C29" i="39"/>
  <c r="Y25" i="71"/>
  <c r="Z25" i="71" s="1"/>
  <c r="AA30" i="71"/>
  <c r="AB36" i="71"/>
  <c r="AA36" i="71"/>
  <c r="E38" i="71"/>
  <c r="E39" i="71" s="1"/>
  <c r="E40" i="71" s="1"/>
  <c r="U40" i="71" s="1"/>
  <c r="AA37" i="71"/>
  <c r="Y9" i="71"/>
  <c r="Z9" i="71" s="1"/>
  <c r="Y10" i="71"/>
  <c r="Z10" i="71" s="1"/>
  <c r="F66" i="71"/>
  <c r="Q67" i="71"/>
  <c r="AB24" i="71"/>
  <c r="AB21" i="71"/>
  <c r="Y18" i="71"/>
  <c r="Z18" i="71" s="1"/>
  <c r="Y17" i="71"/>
  <c r="Z17" i="71" s="1"/>
  <c r="AB18" i="71"/>
  <c r="AB14" i="71"/>
  <c r="Y23" i="71"/>
  <c r="Z23" i="71" s="1"/>
  <c r="AA23" i="71"/>
  <c r="AA15" i="71"/>
  <c r="AA13" i="71"/>
  <c r="Y12" i="71"/>
  <c r="Z12" i="71" s="1"/>
  <c r="X10" i="71"/>
  <c r="X9" i="71"/>
  <c r="K56" i="9"/>
  <c r="AB15" i="71"/>
  <c r="AB17" i="71"/>
  <c r="AB13" i="71"/>
  <c r="AA12" i="71"/>
  <c r="AA14" i="71"/>
  <c r="Y13" i="71"/>
  <c r="Z13" i="71" s="1"/>
  <c r="AA9" i="71"/>
  <c r="N56" i="9"/>
  <c r="Y22" i="71"/>
  <c r="Z22" i="71" s="1"/>
  <c r="X15" i="71"/>
  <c r="AB12" i="71"/>
  <c r="AA11" i="71"/>
  <c r="Y14" i="71"/>
  <c r="Z14" i="71" s="1"/>
  <c r="X13" i="71"/>
  <c r="AB11" i="71"/>
  <c r="AA10" i="71"/>
  <c r="X11" i="71"/>
  <c r="X14" i="71"/>
  <c r="AB38" i="37"/>
  <c r="U38" i="37"/>
  <c r="F38" i="37"/>
  <c r="J38" i="37"/>
  <c r="AC38" i="37" s="1"/>
  <c r="S37" i="37"/>
  <c r="W39" i="37"/>
  <c r="W40" i="37"/>
  <c r="J36" i="37"/>
  <c r="AC36" i="37" s="1"/>
  <c r="F36" i="37"/>
  <c r="AA36" i="37" s="1"/>
  <c r="H36" i="37"/>
  <c r="AB36" i="37" s="1"/>
  <c r="G105" i="37"/>
  <c r="J35" i="37"/>
  <c r="W35" i="37" s="1"/>
  <c r="F33" i="37"/>
  <c r="AA33" i="37" s="1"/>
  <c r="G99" i="37"/>
  <c r="H99" i="37" s="1"/>
  <c r="I99" i="37" s="1"/>
  <c r="J99" i="37" s="1"/>
  <c r="K99" i="37" s="1"/>
  <c r="L99" i="37" s="1"/>
  <c r="M99" i="37" s="1"/>
  <c r="J33" i="37"/>
  <c r="AC33" i="37" s="1"/>
  <c r="F19" i="37"/>
  <c r="AA19" i="37" s="1"/>
  <c r="J19" i="37"/>
  <c r="AC19" i="37" s="1"/>
  <c r="H19" i="37"/>
  <c r="F75" i="37"/>
  <c r="G75" i="37" s="1"/>
  <c r="F73" i="37"/>
  <c r="G73" i="37" s="1"/>
  <c r="H17" i="37"/>
  <c r="J17" i="37"/>
  <c r="W17" i="37" s="1"/>
  <c r="F17" i="37"/>
  <c r="AA17" i="37" s="1"/>
  <c r="AA39" i="37"/>
  <c r="W37" i="37"/>
  <c r="S36" i="37"/>
  <c r="W32" i="37"/>
  <c r="AA29" i="37"/>
  <c r="U29" i="37"/>
  <c r="AA23" i="37"/>
  <c r="S21" i="37"/>
  <c r="S14" i="37"/>
  <c r="AC12" i="37"/>
  <c r="U36" i="37"/>
  <c r="AB35" i="37"/>
  <c r="AA35" i="37"/>
  <c r="S32" i="37"/>
  <c r="AC31" i="37"/>
  <c r="W23" i="37"/>
  <c r="AC29" i="37"/>
  <c r="U31" i="37"/>
  <c r="U21" i="37"/>
  <c r="U32" i="37"/>
  <c r="S15" i="37"/>
  <c r="S19" i="37"/>
  <c r="S17" i="37"/>
  <c r="C40" i="68"/>
  <c r="C21" i="40"/>
  <c r="C25" i="40"/>
  <c r="B79" i="43"/>
  <c r="B68" i="43"/>
  <c r="F34" i="67"/>
  <c r="F62" i="67" s="1"/>
  <c r="F34" i="15"/>
  <c r="F62" i="15" s="1"/>
  <c r="C24" i="12"/>
  <c r="F30" i="69"/>
  <c r="F48" i="69" s="1"/>
  <c r="D68" i="9"/>
  <c r="F31" i="12"/>
  <c r="F28" i="15"/>
  <c r="C28" i="15" s="1"/>
  <c r="F32" i="67"/>
  <c r="F60" i="67" s="1"/>
  <c r="F28" i="67"/>
  <c r="C28" i="67" s="1"/>
  <c r="M18" i="15"/>
  <c r="M18" i="67"/>
  <c r="F30" i="11"/>
  <c r="C48" i="11" s="1"/>
  <c r="F54" i="9"/>
  <c r="F32" i="15"/>
  <c r="F60" i="15" s="1"/>
  <c r="F52" i="9"/>
  <c r="F30" i="68"/>
  <c r="F48" i="68" s="1"/>
  <c r="C21" i="68"/>
  <c r="C40" i="69"/>
  <c r="D22" i="15"/>
  <c r="D23" i="15"/>
  <c r="G6" i="1"/>
  <c r="I24" i="43"/>
  <c r="C24" i="43" s="1"/>
  <c r="BA13" i="3"/>
  <c r="BA5" i="3" s="1"/>
  <c r="G5" i="3"/>
  <c r="B3" i="3" s="1"/>
  <c r="E277" i="3" s="1"/>
  <c r="G28" i="6"/>
  <c r="A15" i="62"/>
  <c r="B61" i="72" s="1"/>
  <c r="A2" i="9"/>
  <c r="A4" i="52"/>
  <c r="B41" i="72" s="1"/>
  <c r="A118" i="9"/>
  <c r="D21" i="53"/>
  <c r="B39" i="72" s="1"/>
  <c r="D19" i="53"/>
  <c r="B38"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AJ6" i="3"/>
  <c r="E570" i="3"/>
  <c r="E278" i="3"/>
  <c r="E263" i="3"/>
  <c r="E13" i="6"/>
  <c r="P11" i="1"/>
  <c r="K14" i="1"/>
  <c r="D9" i="11"/>
  <c r="C9" i="11" s="1"/>
  <c r="D19" i="12"/>
  <c r="C19" i="12" s="1"/>
  <c r="AZ13" i="3"/>
  <c r="O9" i="1"/>
  <c r="P9" i="1" s="1"/>
  <c r="O12" i="1"/>
  <c r="P12" i="1" s="1"/>
  <c r="O8" i="1"/>
  <c r="P8" i="1" s="1"/>
  <c r="H73" i="43"/>
  <c r="H90" i="43"/>
  <c r="C23" i="43"/>
  <c r="O23" i="43"/>
  <c r="I18" i="43"/>
  <c r="E17" i="43" s="1"/>
  <c r="C17" i="43" s="1"/>
  <c r="A1" i="79"/>
  <c r="H55" i="43"/>
  <c r="H86" i="43"/>
  <c r="H87" i="43"/>
  <c r="N370"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6" i="73"/>
  <c r="C16" i="67"/>
  <c r="D3" i="73"/>
  <c r="G1" i="73"/>
  <c r="F43" i="15"/>
  <c r="M29" i="15"/>
  <c r="F7" i="15"/>
  <c r="E26" i="43" l="1"/>
  <c r="E347" i="3"/>
  <c r="E135" i="3"/>
  <c r="E189" i="3"/>
  <c r="E311" i="3"/>
  <c r="E268" i="3"/>
  <c r="E480" i="3"/>
  <c r="E404" i="3"/>
  <c r="E150" i="3"/>
  <c r="E121" i="3"/>
  <c r="E397" i="3"/>
  <c r="F26" i="43"/>
  <c r="D26" i="43" s="1"/>
  <c r="C25" i="43" s="1"/>
  <c r="E246" i="3"/>
  <c r="E535" i="3"/>
  <c r="E335" i="3"/>
  <c r="E247" i="3"/>
  <c r="E217" i="3"/>
  <c r="M6" i="1"/>
  <c r="E334" i="3"/>
  <c r="E547" i="3"/>
  <c r="E529" i="3"/>
  <c r="AI6" i="3"/>
  <c r="E172" i="3"/>
  <c r="AB6" i="3"/>
  <c r="E579" i="3"/>
  <c r="E295" i="3"/>
  <c r="AG6" i="3"/>
  <c r="AA6" i="3"/>
  <c r="E353" i="3"/>
  <c r="E402" i="3"/>
  <c r="E159" i="3"/>
  <c r="E221" i="3"/>
  <c r="E17" i="3"/>
  <c r="E565" i="3"/>
  <c r="E237" i="3"/>
  <c r="E298" i="3"/>
  <c r="E338" i="3"/>
  <c r="E506" i="3"/>
  <c r="S6" i="3"/>
  <c r="E97" i="3"/>
  <c r="E359" i="3"/>
  <c r="O6" i="3"/>
  <c r="E426" i="3"/>
  <c r="E501" i="3"/>
  <c r="E53" i="3"/>
  <c r="E29" i="3"/>
  <c r="E317" i="3"/>
  <c r="E272" i="3"/>
  <c r="E92" i="3"/>
  <c r="E546" i="3"/>
  <c r="E367" i="3"/>
  <c r="E379" i="3"/>
  <c r="E31" i="3"/>
  <c r="E73" i="3"/>
  <c r="E13" i="3"/>
  <c r="E352" i="3"/>
  <c r="E133" i="3"/>
  <c r="E472" i="3"/>
  <c r="E577" i="3"/>
  <c r="E55" i="3"/>
  <c r="E111" i="3"/>
  <c r="E208" i="3"/>
  <c r="E274" i="3"/>
  <c r="E318" i="3"/>
  <c r="E93" i="3"/>
  <c r="I6" i="3"/>
  <c r="E269" i="3"/>
  <c r="E145" i="3"/>
  <c r="E576" i="3"/>
  <c r="E515" i="3"/>
  <c r="E548" i="3"/>
  <c r="E443" i="3"/>
  <c r="E558" i="3"/>
  <c r="E581" i="3"/>
  <c r="E568" i="3"/>
  <c r="AK6" i="3"/>
  <c r="E313" i="3"/>
  <c r="E438" i="3"/>
  <c r="E468" i="3"/>
  <c r="E72" i="3"/>
  <c r="E168" i="3"/>
  <c r="E256" i="3"/>
  <c r="E351" i="3"/>
  <c r="E14" i="3"/>
  <c r="E32" i="3"/>
  <c r="E549" i="3"/>
  <c r="E207" i="3"/>
  <c r="E164" i="3"/>
  <c r="E585" i="3"/>
  <c r="E411" i="3"/>
  <c r="P6" i="3"/>
  <c r="E477" i="3"/>
  <c r="E505" i="3"/>
  <c r="AS6" i="3"/>
  <c r="E476" i="3"/>
  <c r="E447" i="3"/>
  <c r="E27" i="3"/>
  <c r="E162" i="3"/>
  <c r="E186" i="3"/>
  <c r="E210" i="3"/>
  <c r="E331" i="3"/>
  <c r="E384" i="3"/>
  <c r="E44" i="3"/>
  <c r="E441"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30" i="3"/>
  <c r="E508" i="3"/>
  <c r="E388" i="3"/>
  <c r="E410" i="3"/>
  <c r="E143" i="3"/>
  <c r="E270" i="3"/>
  <c r="AR6" i="3"/>
  <c r="E538" i="3"/>
  <c r="E439" i="3"/>
  <c r="E231" i="3"/>
  <c r="E185" i="3"/>
  <c r="E528" i="3"/>
  <c r="E183" i="3"/>
  <c r="E503" i="3"/>
  <c r="E91" i="3"/>
  <c r="E134" i="3"/>
  <c r="E350" i="3"/>
  <c r="E495" i="3"/>
  <c r="E124" i="3"/>
  <c r="E461" i="3"/>
  <c r="E228" i="3"/>
  <c r="E560" i="3"/>
  <c r="E465" i="3"/>
  <c r="E471" i="3"/>
  <c r="E54" i="3"/>
  <c r="E203" i="3"/>
  <c r="E279" i="3"/>
  <c r="E357" i="3"/>
  <c r="E580" i="3"/>
  <c r="E567" i="3"/>
  <c r="E196" i="3"/>
  <c r="E252" i="3"/>
  <c r="E107" i="3"/>
  <c r="U6" i="3"/>
  <c r="E448" i="3"/>
  <c r="E414" i="3"/>
  <c r="E345" i="3"/>
  <c r="E557" i="3"/>
  <c r="E531" i="3"/>
  <c r="E489" i="3"/>
  <c r="E28" i="3"/>
  <c r="E70" i="3"/>
  <c r="E182" i="3"/>
  <c r="E211" i="3"/>
  <c r="E273" i="3"/>
  <c r="E377" i="3"/>
  <c r="E572" i="3"/>
  <c r="E109" i="3"/>
  <c r="E175" i="3"/>
  <c r="E343" i="3"/>
  <c r="E305" i="3"/>
  <c r="E555" i="3"/>
  <c r="E337" i="3"/>
  <c r="E533" i="3"/>
  <c r="E561" i="3"/>
  <c r="E380" i="3"/>
  <c r="E216" i="3"/>
  <c r="E261" i="3"/>
  <c r="E361" i="3"/>
  <c r="E180" i="3"/>
  <c r="E301" i="3"/>
  <c r="E586" i="3"/>
  <c r="E399" i="3"/>
  <c r="X6" i="3"/>
  <c r="E385" i="3"/>
  <c r="E423" i="3"/>
  <c r="E191" i="3"/>
  <c r="E161" i="3"/>
  <c r="E445" i="3"/>
  <c r="E563" i="3"/>
  <c r="E69" i="3"/>
  <c r="E215" i="3"/>
  <c r="E387" i="3"/>
  <c r="M6" i="3"/>
  <c r="E514" i="3"/>
  <c r="E201" i="3"/>
  <c r="E431" i="3"/>
  <c r="E509" i="3"/>
  <c r="E322" i="3"/>
  <c r="E526" i="3"/>
  <c r="E30" i="3"/>
  <c r="E316" i="3"/>
  <c r="E166" i="3"/>
  <c r="E88" i="3"/>
  <c r="E444" i="3"/>
  <c r="E432" i="3"/>
  <c r="E271" i="3"/>
  <c r="E394" i="3"/>
  <c r="E475" i="3"/>
  <c r="E181" i="3"/>
  <c r="E280" i="3"/>
  <c r="AN6" i="3"/>
  <c r="E303" i="3"/>
  <c r="E254" i="3"/>
  <c r="E302" i="3"/>
  <c r="E213" i="3"/>
  <c r="E304" i="3"/>
  <c r="E169" i="3"/>
  <c r="E321" i="3"/>
  <c r="E418" i="3"/>
  <c r="E523" i="3"/>
  <c r="E390" i="3"/>
  <c r="E285" i="3"/>
  <c r="E574" i="3"/>
  <c r="E328" i="3"/>
  <c r="E153" i="3"/>
  <c r="E319" i="3"/>
  <c r="AM6" i="3"/>
  <c r="E291" i="3"/>
  <c r="E126" i="3"/>
  <c r="E71" i="3"/>
  <c r="E403" i="3"/>
  <c r="E478" i="3"/>
  <c r="E236" i="3"/>
  <c r="E257" i="3"/>
  <c r="E587" i="3"/>
  <c r="H26" i="43"/>
  <c r="K16" i="1"/>
  <c r="V21" i="1" s="1"/>
  <c r="E10" i="6"/>
  <c r="Q16" i="1"/>
  <c r="F27" i="69" s="1"/>
  <c r="C47" i="69" s="1"/>
  <c r="D45" i="69" s="1"/>
  <c r="E11" i="6"/>
  <c r="E60" i="39" s="1"/>
  <c r="G16" i="1"/>
  <c r="F10" i="39" s="1"/>
  <c r="E15" i="6"/>
  <c r="E64" i="39" s="1"/>
  <c r="E12" i="6"/>
  <c r="E57" i="40" s="1"/>
  <c r="E400" i="3"/>
  <c r="E485" i="3"/>
  <c r="AO6" i="3"/>
  <c r="Z6" i="3"/>
  <c r="E327" i="3"/>
  <c r="E204" i="3"/>
  <c r="E89" i="3"/>
  <c r="E368" i="3"/>
  <c r="E227" i="3"/>
  <c r="E74" i="3"/>
  <c r="E362" i="3"/>
  <c r="E315" i="3"/>
  <c r="E214" i="3"/>
  <c r="E171" i="3"/>
  <c r="E146" i="3"/>
  <c r="E106" i="3"/>
  <c r="E496" i="3"/>
  <c r="W6" i="3"/>
  <c r="E406" i="3"/>
  <c r="K6" i="3"/>
  <c r="E157" i="3"/>
  <c r="E545" i="3"/>
  <c r="E77" i="3"/>
  <c r="F50" i="15"/>
  <c r="C49" i="15" s="1"/>
  <c r="C6" i="15"/>
  <c r="C32" i="15" s="1"/>
  <c r="M7" i="15"/>
  <c r="J6" i="15" s="1"/>
  <c r="J18" i="15" s="1"/>
  <c r="F71" i="15"/>
  <c r="U25" i="37"/>
  <c r="AB25" i="37"/>
  <c r="W44" i="39"/>
  <c r="AC44" i="39"/>
  <c r="AP6" i="1"/>
  <c r="C36" i="69" s="1"/>
  <c r="W12" i="35"/>
  <c r="AC12" i="35"/>
  <c r="U34" i="36"/>
  <c r="AB34" i="36"/>
  <c r="S36" i="39"/>
  <c r="AA36" i="39"/>
  <c r="S12" i="34"/>
  <c r="AA12" i="34"/>
  <c r="E11" i="71"/>
  <c r="E10" i="71" s="1"/>
  <c r="E9" i="71" s="1"/>
  <c r="E8" i="71" s="1"/>
  <c r="E7" i="71" s="1"/>
  <c r="E6" i="71" s="1"/>
  <c r="E5" i="71" s="1"/>
  <c r="V12" i="71"/>
  <c r="D55" i="71"/>
  <c r="C56" i="71"/>
  <c r="C44" i="71"/>
  <c r="D43" i="71"/>
  <c r="AA25" i="37"/>
  <c r="S25" i="37"/>
  <c r="AB40" i="40"/>
  <c r="U40" i="40"/>
  <c r="AA34" i="35"/>
  <c r="S34" i="35"/>
  <c r="U36" i="39"/>
  <c r="AB36" i="39"/>
  <c r="C19" i="71"/>
  <c r="T20" i="71"/>
  <c r="D20" i="71"/>
  <c r="U20" i="71" s="1"/>
  <c r="B15" i="71"/>
  <c r="B14" i="71" s="1"/>
  <c r="B13" i="71" s="1"/>
  <c r="B12" i="71" s="1"/>
  <c r="S16" i="71"/>
  <c r="C60" i="71"/>
  <c r="D59" i="71"/>
  <c r="AA23" i="36"/>
  <c r="S23" i="36"/>
  <c r="W36" i="35"/>
  <c r="AC36" i="35"/>
  <c r="AA34" i="36"/>
  <c r="S34" i="36"/>
  <c r="W34" i="35"/>
  <c r="AC34" i="35"/>
  <c r="BL5" i="3"/>
  <c r="W12" i="34"/>
  <c r="AC12" i="34"/>
  <c r="V20" i="1"/>
  <c r="D40" i="43"/>
  <c r="H40" i="43" s="1"/>
  <c r="E454" i="3"/>
  <c r="E537" i="3"/>
  <c r="E288" i="3"/>
  <c r="E474" i="3"/>
  <c r="E532" i="3"/>
  <c r="E224" i="3"/>
  <c r="E306" i="3"/>
  <c r="E136" i="3"/>
  <c r="E122" i="3"/>
  <c r="Q65" i="71"/>
  <c r="Q66" i="71"/>
  <c r="AZ403" i="3"/>
  <c r="AZ5" i="3" s="1"/>
  <c r="AA44" i="39"/>
  <c r="S44" i="39"/>
  <c r="AC23" i="36"/>
  <c r="W23" i="36"/>
  <c r="AB36" i="35"/>
  <c r="U36" i="35"/>
  <c r="AB34" i="35"/>
  <c r="U34" i="35"/>
  <c r="AC36" i="39"/>
  <c r="W36" i="39"/>
  <c r="U12" i="34"/>
  <c r="AB12" i="34"/>
  <c r="W38" i="37"/>
  <c r="S38" i="37"/>
  <c r="AA38" i="37"/>
  <c r="W36" i="37"/>
  <c r="AC35" i="37"/>
  <c r="H33" i="37"/>
  <c r="AB19" i="37"/>
  <c r="U19" i="37"/>
  <c r="W19" i="37"/>
  <c r="AC17" i="37"/>
  <c r="U17" i="37"/>
  <c r="AB17" i="37"/>
  <c r="C30" i="68"/>
  <c r="C48" i="68"/>
  <c r="C30" i="11"/>
  <c r="P6" i="1"/>
  <c r="C13" i="12" s="1"/>
  <c r="G26" i="43"/>
  <c r="N94" i="46"/>
  <c r="E59" i="40"/>
  <c r="E433" i="3"/>
  <c r="E450" i="3"/>
  <c r="E571" i="3"/>
  <c r="E562" i="3"/>
  <c r="E457" i="3"/>
  <c r="E527" i="3"/>
  <c r="E458" i="3"/>
  <c r="E573" i="3"/>
  <c r="E519" i="3"/>
  <c r="E193" i="3"/>
  <c r="E45" i="3"/>
  <c r="E99" i="3"/>
  <c r="E511" i="3"/>
  <c r="E314" i="3"/>
  <c r="E85" i="3"/>
  <c r="E453" i="3"/>
  <c r="E253" i="3"/>
  <c r="E429" i="3"/>
  <c r="AE6" i="3"/>
  <c r="E344" i="3"/>
  <c r="E424" i="3"/>
  <c r="E481" i="3"/>
  <c r="E437" i="3"/>
  <c r="Q6" i="3"/>
  <c r="E330" i="3"/>
  <c r="E177" i="3"/>
  <c r="E120" i="3"/>
  <c r="E262" i="3"/>
  <c r="E128" i="3"/>
  <c r="E434" i="3"/>
  <c r="E238" i="3"/>
  <c r="E156"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 i="3"/>
  <c r="E564" i="3"/>
  <c r="E543" i="3"/>
  <c r="E427" i="3"/>
  <c r="E486" i="3"/>
  <c r="E507" i="3"/>
  <c r="E422" i="3"/>
  <c r="E440" i="3"/>
  <c r="E490" i="3"/>
  <c r="AH6" i="3"/>
  <c r="J6" i="3"/>
  <c r="E498" i="3"/>
  <c r="E419" i="3"/>
  <c r="E329" i="3"/>
  <c r="E188" i="3"/>
  <c r="E223" i="3"/>
  <c r="E116" i="3"/>
  <c r="E105" i="3"/>
  <c r="E393" i="3"/>
  <c r="E493" i="3"/>
  <c r="E376" i="3"/>
  <c r="E296" i="3"/>
  <c r="E197" i="3"/>
  <c r="E369" i="3"/>
  <c r="E534" i="3"/>
  <c r="E405" i="3"/>
  <c r="E469" i="3"/>
  <c r="E408" i="3"/>
  <c r="E360" i="3"/>
  <c r="E497" i="3"/>
  <c r="E494" i="3"/>
  <c r="E491" i="3"/>
  <c r="E420" i="3"/>
  <c r="E40" i="3"/>
  <c r="E37" i="3"/>
  <c r="E115" i="3"/>
  <c r="E119" i="3"/>
  <c r="E192" i="3"/>
  <c r="E281" i="3"/>
  <c r="E276" i="3"/>
  <c r="E363" i="3"/>
  <c r="E356" i="3"/>
  <c r="L6" i="3"/>
  <c r="E76" i="3"/>
  <c r="E75" i="3"/>
  <c r="E473" i="3"/>
  <c r="E425" i="3"/>
  <c r="E18" i="3"/>
  <c r="E38" i="3"/>
  <c r="E103" i="3"/>
  <c r="E190" i="3"/>
  <c r="E194" i="3"/>
  <c r="E267" i="3"/>
  <c r="E235" i="3"/>
  <c r="E339" i="3"/>
  <c r="E310" i="3"/>
  <c r="E522" i="3"/>
  <c r="E52" i="3"/>
  <c r="E67" i="3"/>
  <c r="E49" i="3"/>
  <c r="E147" i="3"/>
  <c r="E233" i="3"/>
  <c r="E370" i="3"/>
  <c r="E50" i="3"/>
  <c r="E63" i="3"/>
  <c r="E113" i="3"/>
  <c r="E218" i="3"/>
  <c r="E283" i="3"/>
  <c r="E326" i="3"/>
  <c r="E101" i="3"/>
  <c r="E539" i="3"/>
  <c r="E148" i="3"/>
  <c r="E199" i="3"/>
  <c r="E575" i="3"/>
  <c r="R6" i="3"/>
  <c r="E442" i="3"/>
  <c r="E541" i="3"/>
  <c r="E449" i="3"/>
  <c r="I3" i="6"/>
  <c r="E554" i="3"/>
  <c r="E435" i="3"/>
  <c r="E470" i="3"/>
  <c r="E463" i="3"/>
  <c r="E56" i="3"/>
  <c r="E41" i="3"/>
  <c r="E178" i="3"/>
  <c r="E132" i="3"/>
  <c r="E225" i="3"/>
  <c r="E226" i="3"/>
  <c r="E292" i="3"/>
  <c r="E391" i="3"/>
  <c r="E372" i="3"/>
  <c r="E544" i="3"/>
  <c r="E94" i="3"/>
  <c r="E540" i="3"/>
  <c r="E484" i="3"/>
  <c r="E412" i="3"/>
  <c r="E79" i="3"/>
  <c r="E46" i="3"/>
  <c r="E129" i="3"/>
  <c r="E137" i="3"/>
  <c r="E200" i="3"/>
  <c r="E275" i="3"/>
  <c r="E299" i="3"/>
  <c r="E371" i="3"/>
  <c r="E342" i="3"/>
  <c r="AQ6" i="3"/>
  <c r="E84" i="3"/>
  <c r="E34" i="3"/>
  <c r="E123" i="3"/>
  <c r="E184" i="3"/>
  <c r="E251" i="3"/>
  <c r="E364" i="3"/>
  <c r="E68" i="3"/>
  <c r="E80" i="3"/>
  <c r="E176" i="3"/>
  <c r="E264" i="3"/>
  <c r="E308" i="3"/>
  <c r="E524" i="3"/>
  <c r="E21" i="3"/>
  <c r="E205" i="3"/>
  <c r="E140" i="3"/>
  <c r="E173" i="3"/>
  <c r="E525" i="3"/>
  <c r="T6" i="3"/>
  <c r="E456" i="3"/>
  <c r="E512" i="3"/>
  <c r="E451" i="3"/>
  <c r="E556" i="3"/>
  <c r="E452" i="3"/>
  <c r="E401" i="3"/>
  <c r="E479" i="3"/>
  <c r="E104" i="3"/>
  <c r="E108" i="3"/>
  <c r="E152" i="3"/>
  <c r="E139" i="3"/>
  <c r="E242" i="3"/>
  <c r="E241" i="3"/>
  <c r="E332" i="3"/>
  <c r="E333" i="3"/>
  <c r="E389" i="3"/>
  <c r="E42" i="3"/>
  <c r="E43" i="3"/>
  <c r="E409" i="3"/>
  <c r="E482" i="3"/>
  <c r="E455" i="3"/>
  <c r="E64" i="3"/>
  <c r="E78" i="3"/>
  <c r="E170" i="3"/>
  <c r="E142" i="3"/>
  <c r="E220" i="3"/>
  <c r="E219" i="3"/>
  <c r="E300" i="3"/>
  <c r="E383" i="3"/>
  <c r="E536" i="3"/>
  <c r="E502" i="3"/>
  <c r="AP6" i="3"/>
  <c r="E26" i="3"/>
  <c r="E202" i="3"/>
  <c r="E349" i="3"/>
  <c r="E428" i="3"/>
  <c r="E100" i="3"/>
  <c r="E249" i="3"/>
  <c r="E492" i="3"/>
  <c r="E36" i="3"/>
  <c r="E206" i="3"/>
  <c r="E355" i="3"/>
  <c r="E20" i="3"/>
  <c r="E158" i="3"/>
  <c r="E309" i="3"/>
  <c r="E286" i="3"/>
  <c r="E430" i="3"/>
  <c r="E483" i="3"/>
  <c r="E95" i="3"/>
  <c r="E243" i="3"/>
  <c r="E60" i="3"/>
  <c r="E467" i="3"/>
  <c r="E174" i="3"/>
  <c r="E325" i="3"/>
  <c r="E35" i="3"/>
  <c r="E33" i="3"/>
  <c r="E289" i="3"/>
  <c r="AF6" i="3"/>
  <c r="E81" i="3"/>
  <c r="E265" i="3"/>
  <c r="E499" i="3"/>
  <c r="E255" i="3"/>
  <c r="E417" i="3"/>
  <c r="E198" i="3"/>
  <c r="E346" i="3"/>
  <c r="E59" i="3"/>
  <c r="E96" i="3"/>
  <c r="E234" i="3"/>
  <c r="E392" i="3"/>
  <c r="E86" i="3"/>
  <c r="E144" i="3"/>
  <c r="E340" i="3"/>
  <c r="E102" i="3"/>
  <c r="E118" i="3"/>
  <c r="E365" i="3"/>
  <c r="E83" i="3"/>
  <c r="E212" i="3"/>
  <c r="E466" i="3"/>
  <c r="E517" i="3"/>
  <c r="E25" i="3"/>
  <c r="E258" i="3"/>
  <c r="AL6" i="3"/>
  <c r="E15" i="3"/>
  <c r="E160" i="3"/>
  <c r="E324" i="3"/>
  <c r="E23" i="3"/>
  <c r="E112" i="3"/>
  <c r="E232" i="3"/>
  <c r="E381" i="3"/>
  <c r="E62" i="3"/>
  <c r="E287" i="3"/>
  <c r="E513" i="3"/>
  <c r="E22"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C9" i="69"/>
  <c r="C9" i="68"/>
  <c r="E72" i="43"/>
  <c r="B70" i="43" s="1"/>
  <c r="F27" i="11"/>
  <c r="C29" i="11" s="1"/>
  <c r="D27" i="11" s="1"/>
  <c r="E60" i="40"/>
  <c r="E27" i="6"/>
  <c r="K26" i="6" s="1"/>
  <c r="M26" i="6" s="1"/>
  <c r="I26" i="6" s="1"/>
  <c r="S26" i="6" s="1"/>
  <c r="F31" i="6"/>
  <c r="E51" i="40"/>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C16" i="15"/>
  <c r="AE6" i="1"/>
  <c r="F41" i="67"/>
  <c r="F45" i="69" l="1"/>
  <c r="O6" i="1"/>
  <c r="C29" i="69"/>
  <c r="D27" i="69" s="1"/>
  <c r="F27" i="68"/>
  <c r="C29" i="68" s="1"/>
  <c r="D27" i="68" s="1"/>
  <c r="F28" i="12"/>
  <c r="C29" i="12" s="1"/>
  <c r="D28" i="12" s="1"/>
  <c r="E61" i="39"/>
  <c r="E65" i="39" s="1"/>
  <c r="E16" i="6"/>
  <c r="AC6" i="3"/>
  <c r="E56" i="40"/>
  <c r="J5" i="15"/>
  <c r="J24" i="15" s="1"/>
  <c r="AY6" i="3"/>
  <c r="E3" i="6"/>
  <c r="C30" i="37" s="1"/>
  <c r="V19" i="1"/>
  <c r="D33" i="43"/>
  <c r="D1" i="43" s="1"/>
  <c r="C18" i="71"/>
  <c r="D19" i="71"/>
  <c r="X20" i="1"/>
  <c r="S20" i="1"/>
  <c r="B11" i="71"/>
  <c r="B10" i="71" s="1"/>
  <c r="B9" i="71" s="1"/>
  <c r="B8" i="71" s="1"/>
  <c r="B7" i="71" s="1"/>
  <c r="B6" i="71" s="1"/>
  <c r="B5" i="71" s="1"/>
  <c r="S12" i="71"/>
  <c r="T60" i="71"/>
  <c r="D60" i="71"/>
  <c r="T44" i="71"/>
  <c r="D44" i="71"/>
  <c r="T56" i="71"/>
  <c r="D56" i="71"/>
  <c r="AB33" i="37"/>
  <c r="U33" i="37"/>
  <c r="H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47" i="68" l="1"/>
  <c r="D45" i="68" s="1"/>
  <c r="X19" i="1"/>
  <c r="X21" i="1" s="1"/>
  <c r="W21" i="1" s="1"/>
  <c r="S19" i="1"/>
  <c r="S21" i="1" s="1"/>
  <c r="R21" i="1" s="1"/>
  <c r="B1" i="74"/>
  <c r="F30" i="37"/>
  <c r="H30" i="37"/>
  <c r="J30" i="37"/>
  <c r="C17" i="71"/>
  <c r="D18"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AA30" i="37" l="1"/>
  <c r="R42" i="37" s="1"/>
  <c r="S30" i="37"/>
  <c r="C16" i="71"/>
  <c r="D17" i="71"/>
  <c r="AC30" i="37"/>
  <c r="V42" i="37" s="1"/>
  <c r="I42" i="37" s="1"/>
  <c r="I46" i="37" s="1"/>
  <c r="J46" i="37" s="1"/>
  <c r="W30" i="37"/>
  <c r="AB30" i="37"/>
  <c r="T42" i="37" s="1"/>
  <c r="G42" i="37" s="1"/>
  <c r="U30" i="37"/>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C48" i="33"/>
  <c r="C49" i="33"/>
  <c r="H58" i="21"/>
  <c r="E53" i="33"/>
  <c r="F53" i="33" s="1"/>
  <c r="E52" i="33"/>
  <c r="F52" i="33" s="1"/>
  <c r="C33" i="15"/>
  <c r="C22" i="11"/>
  <c r="C31" i="11" s="1"/>
  <c r="C33" i="67"/>
  <c r="J19" i="67"/>
  <c r="C34" i="68"/>
  <c r="C14" i="15"/>
  <c r="B6" i="76"/>
  <c r="E6" i="76"/>
  <c r="G46" i="37" l="1"/>
  <c r="H46" i="37" s="1"/>
  <c r="G47" i="37"/>
  <c r="H47" i="37" s="1"/>
  <c r="C15" i="71"/>
  <c r="T16" i="71"/>
  <c r="D16" i="71"/>
  <c r="U16" i="71" s="1"/>
  <c r="R43" i="37"/>
  <c r="E42" i="37"/>
  <c r="B3" i="43"/>
  <c r="C6" i="68"/>
  <c r="C7" i="68" s="1"/>
  <c r="C5" i="68" s="1"/>
  <c r="C23" i="68"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E46" i="37" l="1"/>
  <c r="F46" i="37" s="1"/>
  <c r="E47" i="37"/>
  <c r="F47" i="37" s="1"/>
  <c r="I47" i="37"/>
  <c r="J47" i="37" s="1"/>
  <c r="C14" i="71"/>
  <c r="D15" i="71"/>
  <c r="C43" i="37"/>
  <c r="C42" i="37"/>
  <c r="C21" i="12"/>
  <c r="C22" i="12" s="1"/>
  <c r="F7" i="21"/>
  <c r="S7" i="21" s="1"/>
  <c r="J7" i="2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30" i="12" l="1"/>
  <c r="C28" i="12" s="1"/>
  <c r="D14" i="71"/>
  <c r="C13" i="71"/>
  <c r="C27" i="12"/>
  <c r="C25" i="1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C32" i="12" l="1"/>
  <c r="B2" i="12" s="1"/>
  <c r="B3" i="12" s="1"/>
  <c r="W7" i="35"/>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1" i="71" l="1"/>
  <c r="C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D10" i="71" l="1"/>
  <c r="C9" i="71"/>
  <c r="Q69" i="15"/>
  <c r="Q68" i="15" s="1"/>
  <c r="H40" i="15"/>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7"/>
  <c r="L51" i="15"/>
  <c r="D2" i="34"/>
  <c r="D2" i="35"/>
  <c r="D2" i="36"/>
  <c r="C8" i="71" l="1"/>
  <c r="D9" i="71"/>
  <c r="C46" i="15"/>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2" i="1"/>
  <c r="AO10" i="1"/>
  <c r="AO9" i="1"/>
  <c r="AO11" i="1"/>
  <c r="C19" i="9"/>
  <c r="D8" i="71" l="1"/>
  <c r="C7" i="71"/>
  <c r="C102" i="9"/>
  <c r="C21" i="9"/>
  <c r="B3" i="37"/>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19" i="9"/>
  <c r="D35" i="9"/>
  <c r="AO6" i="1"/>
  <c r="C20" i="9"/>
  <c r="D20" i="9"/>
  <c r="C6" i="71" l="1"/>
  <c r="D7" i="71"/>
  <c r="C103" i="9"/>
  <c r="D103" i="9"/>
  <c r="G20" i="9"/>
  <c r="D102" i="9"/>
  <c r="D21" i="9"/>
  <c r="D22" i="9"/>
  <c r="G19" i="9"/>
  <c r="L25" i="1"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G21" i="9"/>
  <c r="C32" i="9"/>
  <c r="C35" i="9" s="1"/>
  <c r="C42" i="40"/>
  <c r="C43" i="40"/>
  <c r="E47" i="40"/>
  <c r="F47" i="40" s="1"/>
  <c r="E46" i="40"/>
  <c r="F46" i="40" s="1"/>
  <c r="I47" i="40"/>
  <c r="J47" i="40" s="1"/>
  <c r="C34" i="9" l="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I118" i="9" s="1"/>
  <c r="G118" i="9" l="1"/>
  <c r="G4" i="52" s="1"/>
  <c r="B52" i="72" s="1"/>
  <c r="H101" i="9"/>
  <c r="I4" i="52"/>
  <c r="C105" i="9"/>
  <c r="H102" i="9"/>
  <c r="D5" i="53"/>
  <c r="H119" i="9"/>
  <c r="H5" i="52" s="1"/>
  <c r="C104" i="9"/>
  <c r="F119" i="9"/>
  <c r="F5" i="52" s="1"/>
  <c r="B53" i="72" s="1"/>
  <c r="D4" i="52"/>
  <c r="B47" i="72" s="1"/>
  <c r="H4" i="52"/>
  <c r="E118" i="9" l="1"/>
  <c r="E4" i="52" s="1"/>
  <c r="B48" i="72" s="1"/>
  <c r="M48" i="9"/>
  <c r="H107" i="9"/>
  <c r="B6" i="74" s="1"/>
  <c r="D6" i="74" s="1"/>
  <c r="D45" i="9"/>
  <c r="B20" i="72"/>
  <c r="D6" i="53"/>
  <c r="B22" i="72" s="1"/>
  <c r="D7" i="53"/>
  <c r="B21" i="72" s="1"/>
  <c r="E14" i="74" l="1"/>
  <c r="F14" i="74"/>
  <c r="B5" i="74"/>
  <c r="C72" i="9"/>
  <c r="D55" i="9"/>
  <c r="M53" i="9" s="1"/>
  <c r="D53" i="9"/>
  <c r="C64" i="9"/>
  <c r="C63" i="9" s="1"/>
  <c r="C67" i="9" s="1"/>
  <c r="D52" i="9"/>
  <c r="C78" i="9"/>
  <c r="C73" i="9" s="1"/>
  <c r="C93" i="9"/>
  <c r="C86" i="9" s="1"/>
  <c r="C85" i="9"/>
  <c r="D122" i="9"/>
  <c r="M49" i="9"/>
  <c r="D13" i="53"/>
  <c r="H108" i="9"/>
  <c r="C79" i="9" l="1"/>
  <c r="D5" i="74"/>
  <c r="C5" i="74"/>
  <c r="C95" i="9"/>
  <c r="C96" i="9" s="1"/>
  <c r="E96" i="9" s="1"/>
  <c r="E97" i="9" s="1"/>
  <c r="D59" i="9"/>
  <c r="M55" i="9" s="1"/>
  <c r="C68" i="9"/>
  <c r="D54" i="9" s="1"/>
  <c r="B30" i="72"/>
  <c r="D14" i="53"/>
  <c r="B32" i="72" s="1"/>
  <c r="L65" i="9"/>
  <c r="M65" i="9" s="1"/>
  <c r="L66" i="9"/>
  <c r="M66" i="9" s="1"/>
  <c r="L63" i="9"/>
  <c r="M63" i="9" s="1"/>
  <c r="L64" i="9"/>
  <c r="M64" i="9" s="1"/>
  <c r="L68" i="9"/>
  <c r="M68" i="9" s="1"/>
  <c r="L67" i="9"/>
  <c r="M67" i="9" s="1"/>
  <c r="D15" i="53"/>
  <c r="B31" i="72" s="1"/>
  <c r="C6" i="74"/>
  <c r="C80" i="9"/>
  <c r="E80" i="9" s="1"/>
  <c r="E81" i="9" s="1"/>
  <c r="D123" i="9"/>
  <c r="D9" i="52" s="1"/>
  <c r="D8" i="52"/>
  <c r="C97" i="9"/>
  <c r="D58" i="9" s="1"/>
  <c r="D56" i="9" s="1"/>
  <c r="M54" i="9" s="1"/>
  <c r="N57" i="9" l="1"/>
  <c r="P57" i="9" s="1"/>
  <c r="M69" i="9"/>
  <c r="N69" i="9" s="1"/>
  <c r="C81" i="9"/>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在建项目均选择“是”</t>
        </r>
      </text>
    </comment>
    <comment ref="F59" authorId="1" shapeId="0" xr:uid="{00000000-0006-0000-1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300-000006000000}">
      <text>
        <r>
          <rPr>
            <sz val="10"/>
            <color indexed="81"/>
            <rFont val="宋体"/>
            <family val="3"/>
            <charset val="134"/>
          </rPr>
          <t xml:space="preserve">在建
</t>
        </r>
      </text>
    </comment>
    <comment ref="N59" authorId="0" shapeId="0" xr:uid="{00000000-0006-0000-13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<sst xmlns="http://schemas.openxmlformats.org/spreadsheetml/2006/main" count="7944" uniqueCount="3460">
  <si>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</si>
  <si>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</si>
  <si>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</si>
  <si>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</si>
  <si>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</si>
  <si>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</si>
  <si>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</si>
  <si>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</si>
  <si>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</si>
  <si>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</si>
  <si>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</si>
  <si>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</si>
  <si>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</si>
  <si>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</si>
  <si>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</si>
  <si>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</si>
  <si>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</si>
  <si>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</si>
  <si>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</si>
  <si>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</si>
  <si>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</si>
  <si>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</si>
  <si>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</si>
  <si>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</si>
  <si>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</si>
  <si>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</si>
  <si>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</si>
  <si>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</si>
  <si>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</si>
  <si>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</si>
  <si>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</si>
  <si>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</si>
  <si>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</si>
  <si>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</si>
  <si>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</si>
  <si>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</si>
  <si>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</si>
  <si>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</si>
  <si>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</si>
  <si>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</si>
  <si>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</si>
  <si>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</si>
  <si>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</si>
  <si>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</si>
  <si>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</si>
  <si>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</si>
  <si>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</si>
  <si>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</si>
  <si>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</si>
  <si>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</si>
  <si>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</si>
  <si>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</si>
  <si>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</si>
  <si>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</si>
  <si>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</si>
  <si>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</si>
  <si>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</si>
  <si>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</si>
  <si>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</si>
  <si>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</si>
  <si>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</si>
  <si>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</si>
  <si>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</si>
  <si>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</si>
  <si>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</si>
  <si>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</si>
  <si>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</si>
  <si>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</si>
  <si>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</si>
  <si>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</si>
  <si>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</si>
  <si>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</si>
  <si>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</si>
  <si>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</si>
  <si>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</si>
  <si>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</si>
  <si>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</si>
  <si>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</si>
  <si>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</si>
  <si>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</si>
  <si>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</si>
  <si>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</si>
  <si>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</si>
  <si>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</si>
  <si>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</si>
  <si>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</si>
  <si>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</si>
  <si>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</si>
  <si>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</si>
  <si>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</si>
  <si>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</si>
  <si>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</si>
  <si>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</si>
  <si>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</si>
  <si>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</si>
  <si>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</si>
  <si>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</si>
  <si>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</si>
  <si>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</si>
  <si>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</si>
  <si>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</si>
  <si>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</si>
  <si>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</si>
  <si>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</si>
  <si>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</si>
  <si>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</si>
  <si>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</si>
  <si>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</si>
  <si>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</si>
  <si>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</si>
  <si>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</si>
  <si>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</si>
  <si>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</si>
  <si>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</si>
  <si>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</si>
  <si>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</si>
  <si>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</si>
  <si>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</si>
  <si>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</si>
  <si>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</si>
  <si>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</si>
  <si>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</si>
  <si>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</si>
  <si>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</si>
  <si>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</si>
  <si>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</si>
  <si>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</si>
  <si>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</si>
  <si>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</si>
  <si>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</si>
  <si>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</si>
  <si>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</si>
  <si>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</si>
  <si>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</si>
  <si>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</si>
  <si>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</si>
  <si>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</si>
  <si>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</si>
  <si>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</si>
  <si>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</si>
  <si>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</si>
  <si>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</si>
  <si>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</si>
  <si>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</si>
  <si>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</si>
  <si>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</si>
  <si>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</si>
  <si>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</si>
  <si>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</si>
  <si>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</si>
  <si>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</si>
  <si>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</si>
  <si>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</si>
  <si>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</si>
  <si>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</si>
  <si>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</si>
  <si>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</si>
  <si>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</si>
  <si>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</si>
  <si>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</si>
  <si>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</si>
  <si>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</si>
  <si>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</si>
  <si>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</si>
  <si>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</si>
  <si>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</si>
  <si>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</si>
  <si>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</si>
  <si>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</si>
  <si>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</si>
  <si>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</si>
  <si>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</si>
  <si>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</si>
  <si>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</si>
  <si>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</si>
  <si>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</si>
  <si>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</si>
  <si>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</si>
  <si>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</si>
  <si>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</si>
  <si>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</si>
  <si>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</si>
  <si>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</si>
  <si>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</si>
  <si>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</si>
  <si>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</si>
  <si>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</si>
  <si>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</si>
  <si>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</si>
  <si>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</si>
  <si>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</si>
  <si>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</si>
  <si>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</si>
  <si>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</si>
  <si>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</si>
  <si>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</si>
  <si>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</si>
  <si>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</si>
  <si>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</si>
  <si>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</si>
  <si>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</si>
  <si>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</si>
  <si>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</si>
  <si>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</si>
  <si>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</si>
  <si>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</si>
  <si>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</si>
  <si>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</si>
  <si>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</si>
  <si>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</si>
  <si>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</si>
  <si>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</si>
  <si>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</si>
  <si>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</si>
  <si>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</si>
  <si>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</si>
  <si>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</si>
  <si>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</si>
  <si>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</si>
  <si>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</si>
  <si>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</si>
  <si>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</si>
  <si>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</si>
  <si>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</si>
  <si>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</si>
  <si>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</si>
  <si>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</si>
  <si>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</si>
  <si>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</si>
  <si>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</si>
  <si>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</si>
  <si>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</si>
  <si>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</si>
  <si>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</si>
  <si>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</si>
  <si>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</si>
  <si>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</si>
  <si>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</si>
  <si>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</si>
  <si>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</si>
  <si>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</si>
  <si>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</si>
  <si>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</si>
  <si>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</si>
  <si>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</si>
  <si>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</si>
  <si>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</si>
  <si>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</si>
  <si>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</si>
  <si>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</si>
  <si>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</si>
  <si>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</si>
  <si>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</si>
  <si>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</si>
  <si>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</si>
  <si>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</si>
  <si>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</si>
  <si>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</si>
  <si>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</si>
  <si>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</si>
  <si>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</si>
  <si>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</si>
  <si>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</si>
  <si>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</si>
  <si>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</si>
  <si>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</si>
  <si>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</si>
  <si>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</si>
  <si>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</si>
  <si>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</si>
  <si>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</si>
  <si>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</si>
  <si>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</si>
  <si>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</si>
  <si>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</si>
  <si>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</si>
  <si>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</si>
  <si>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</si>
  <si>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</si>
  <si>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</si>
  <si>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</si>
  <si>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</si>
  <si>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</si>
  <si>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</si>
  <si>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</si>
  <si>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</si>
  <si>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</si>
  <si>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</si>
  <si>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</si>
  <si>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</si>
  <si>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</si>
  <si>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</si>
  <si>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</si>
  <si>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</si>
  <si>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</si>
  <si>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</si>
  <si>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</si>
  <si>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</si>
  <si>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</si>
  <si>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</si>
  <si>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</si>
  <si>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</si>
  <si>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</si>
  <si>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</si>
  <si>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</si>
  <si>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</si>
  <si>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</si>
  <si>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</si>
  <si>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</si>
  <si>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</si>
  <si>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</si>
  <si>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</si>
  <si>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</si>
  <si>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</si>
  <si>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</si>
  <si>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</si>
  <si>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</si>
  <si>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</si>
  <si>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</si>
  <si>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</si>
  <si>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</si>
  <si>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</si>
  <si>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</si>
  <si>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</si>
  <si>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</si>
  <si>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</si>
  <si>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</si>
  <si>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</si>
  <si>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</si>
  <si>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</si>
  <si>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</si>
  <si>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</si>
  <si>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</si>
  <si>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</si>
  <si>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</si>
  <si>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</si>
  <si>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</si>
  <si>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</si>
  <si>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</si>
  <si>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</si>
  <si>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</si>
  <si>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</si>
  <si>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</si>
  <si>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</si>
  <si>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</si>
  <si>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</si>
  <si>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</si>
  <si>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</si>
  <si>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</si>
  <si>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</si>
  <si>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</si>
  <si>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</si>
  <si>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</si>
  <si>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</si>
  <si>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</si>
  <si>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</si>
  <si>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</si>
  <si>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</si>
  <si>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</si>
  <si>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</si>
  <si>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</si>
  <si>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</si>
  <si>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</si>
  <si>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</si>
  <si>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</si>
  <si>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</si>
  <si>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</si>
  <si>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</si>
  <si>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</si>
  <si>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</si>
  <si>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</si>
  <si>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</si>
  <si>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</si>
  <si>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</si>
  <si>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</si>
  <si>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</si>
  <si>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</si>
  <si>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</si>
  <si>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</si>
  <si>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</si>
  <si>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</si>
  <si>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</si>
  <si>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</si>
  <si>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</si>
  <si>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</si>
  <si>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</si>
  <si>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</si>
  <si>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</si>
  <si>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</si>
  <si>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</si>
  <si>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</si>
  <si>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</si>
  <si>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</si>
  <si>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</si>
  <si>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</si>
  <si>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</si>
  <si>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</si>
  <si>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</si>
  <si>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</si>
  <si>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</si>
  <si>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</si>
  <si>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</si>
  <si>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</si>
  <si>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</si>
  <si>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</si>
  <si>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</si>
  <si>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</si>
  <si>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</si>
  <si>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</si>
  <si>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</si>
  <si>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</si>
  <si>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</si>
  <si>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</si>
  <si>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</si>
  <si>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</si>
  <si>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</si>
  <si>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</si>
  <si>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</si>
  <si>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</si>
  <si>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</si>
  <si>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</si>
  <si>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</si>
  <si>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</si>
  <si>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</si>
  <si>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</si>
  <si>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</si>
  <si>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</si>
  <si>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</si>
  <si>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</si>
  <si>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</si>
  <si>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</si>
  <si>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</si>
  <si>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</si>
  <si>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</si>
  <si>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</si>
  <si>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</si>
  <si>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</si>
  <si>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</si>
  <si>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</si>
  <si>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</si>
  <si>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</si>
  <si>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</si>
  <si>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</si>
  <si>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</si>
  <si>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</si>
  <si>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</si>
  <si>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</si>
  <si>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</si>
  <si>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</si>
  <si>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</si>
  <si>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</si>
  <si>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</si>
  <si>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</si>
  <si>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</si>
  <si>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</si>
  <si>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</si>
  <si>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</si>
  <si>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</si>
  <si>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</si>
  <si>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</si>
  <si>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</si>
  <si>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</si>
  <si>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</si>
  <si>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</si>
  <si>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</si>
  <si>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</si>
  <si>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</si>
  <si>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</si>
  <si>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</si>
  <si>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</si>
  <si>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</si>
  <si>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</si>
  <si>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</si>
  <si>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</si>
  <si>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</si>
  <si>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</si>
  <si>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</si>
  <si>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</si>
  <si>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</si>
  <si>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</si>
  <si>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</si>
  <si>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</si>
  <si>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</si>
  <si>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</si>
  <si>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</si>
  <si>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</si>
  <si>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</si>
  <si>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</si>
  <si>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</si>
  <si>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</si>
  <si>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</si>
  <si>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</si>
  <si>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</si>
  <si>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</si>
  <si>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</si>
  <si>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</si>
  <si>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</si>
  <si>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</si>
  <si>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</si>
  <si>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</si>
  <si>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</si>
  <si>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</si>
  <si>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</si>
  <si>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</si>
  <si>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</si>
  <si>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</si>
  <si>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</si>
  <si>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</si>
  <si>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</si>
  <si>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</si>
  <si>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</si>
  <si>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</si>
  <si>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</si>
  <si>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</si>
  <si>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</si>
  <si>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</si>
  <si>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</si>
  <si>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</si>
  <si>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</si>
  <si>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</si>
  <si>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</si>
  <si>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</si>
  <si>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</si>
  <si>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</si>
  <si>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</si>
  <si>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</si>
  <si>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</si>
  <si>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</si>
  <si>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</si>
  <si>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</si>
  <si>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</si>
  <si>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</si>
  <si>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</si>
  <si>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</si>
  <si>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</si>
  <si>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</si>
  <si>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</si>
  <si>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</si>
  <si>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</si>
  <si>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</si>
  <si>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</si>
  <si>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</si>
  <si>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</si>
  <si>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</si>
  <si>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</si>
  <si>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</si>
  <si>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</si>
  <si>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</si>
  <si>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</si>
  <si>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</si>
  <si>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</si>
  <si>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</si>
  <si>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</si>
  <si>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</si>
  <si>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</si>
  <si>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</si>
  <si>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</si>
  <si>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</si>
  <si>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</si>
  <si>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</si>
  <si>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</si>
  <si>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</si>
  <si>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</si>
  <si>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</si>
  <si>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</si>
  <si>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</si>
  <si>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</si>
  <si>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</si>
  <si>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</si>
  <si>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</si>
  <si>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</si>
  <si>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</si>
  <si>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</si>
  <si>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</si>
  <si>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</si>
  <si>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</si>
  <si>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</si>
  <si>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</si>
  <si>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</si>
  <si>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</si>
  <si>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</si>
  <si>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</si>
  <si>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</si>
  <si>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</si>
  <si>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</si>
  <si>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</si>
  <si>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</si>
  <si>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</si>
  <si>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</si>
  <si>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</si>
  <si>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</si>
  <si>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</si>
  <si>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</si>
  <si>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</si>
  <si>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</si>
  <si>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</si>
  <si>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</si>
  <si>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</si>
  <si>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</si>
  <si>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</si>
  <si>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</si>
  <si>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</si>
  <si>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</si>
  <si>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</si>
  <si>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</si>
  <si>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</si>
  <si>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</si>
  <si>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</si>
  <si>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</si>
  <si>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</si>
  <si>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</si>
  <si>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</si>
  <si>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</si>
  <si>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</si>
  <si>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</si>
  <si>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</si>
  <si>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</si>
  <si>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</si>
  <si>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</si>
  <si>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</si>
  <si>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</si>
  <si>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</si>
  <si>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</si>
  <si>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</si>
  <si>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</si>
  <si>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</si>
  <si>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</si>
  <si>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</si>
  <si>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</si>
  <si>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</si>
  <si>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</si>
  <si>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</si>
  <si>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</si>
  <si>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</si>
  <si>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</si>
  <si>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</si>
  <si>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</si>
  <si>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</si>
  <si>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</si>
  <si>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</si>
  <si>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</si>
  <si>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</si>
  <si>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</si>
  <si>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</si>
  <si>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</si>
  <si>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</si>
  <si>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</si>
  <si>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</si>
  <si>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</si>
  <si>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</si>
  <si>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</si>
  <si>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</si>
  <si>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</si>
  <si>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</si>
  <si>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</si>
  <si>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</si>
  <si>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</si>
  <si>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</si>
  <si>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</si>
  <si>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</si>
  <si>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</si>
  <si>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</si>
  <si>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</si>
  <si>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</si>
  <si>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</si>
  <si>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</si>
  <si>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</si>
  <si>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</si>
  <si>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</si>
  <si>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</si>
  <si>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</si>
  <si>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</si>
  <si>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</si>
  <si>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</si>
  <si>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</si>
  <si>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</si>
  <si>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</si>
  <si>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</si>
  <si>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</si>
  <si>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</si>
  <si>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</si>
  <si>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</si>
  <si>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</si>
  <si>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</si>
  <si>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</si>
  <si>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</si>
  <si>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</si>
  <si>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</si>
  <si>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</si>
  <si>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</si>
  <si>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</si>
  <si>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</si>
  <si>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</si>
  <si>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</si>
  <si>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</si>
  <si>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</si>
  <si>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</si>
  <si>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</si>
  <si>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</si>
  <si>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</si>
  <si>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</si>
  <si>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</si>
  <si>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</si>
  <si>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</si>
  <si>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</si>
  <si>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</si>
  <si>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</si>
  <si>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</si>
  <si>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</si>
  <si>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</si>
  <si>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</si>
  <si>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</si>
  <si>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</si>
  <si>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</si>
  <si>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</si>
  <si>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</si>
  <si>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</si>
  <si>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</si>
  <si>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</si>
  <si>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</si>
  <si>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</si>
  <si>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</si>
  <si>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</si>
  <si>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</si>
  <si>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</si>
  <si>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</si>
  <si>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</si>
  <si>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</si>
  <si>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</si>
  <si>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</si>
  <si>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</si>
  <si>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</si>
  <si>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</si>
  <si>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</si>
  <si>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</si>
  <si>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</si>
  <si>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</si>
  <si>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</si>
  <si>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</si>
  <si>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</si>
  <si>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</si>
  <si>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</si>
  <si>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</si>
  <si>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</si>
  <si>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</si>
  <si>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</si>
  <si>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</si>
  <si>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</si>
  <si>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</si>
  <si>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</si>
  <si>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</si>
  <si>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</si>
  <si>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</si>
  <si>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</si>
  <si>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</si>
  <si>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</si>
  <si>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</si>
  <si>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</si>
  <si>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</si>
  <si>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</si>
  <si>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</si>
  <si>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</si>
  <si>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</si>
  <si>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</si>
  <si>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</si>
  <si>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</si>
  <si>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</si>
  <si>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</si>
  <si>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</si>
  <si>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</si>
  <si>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</si>
  <si>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</si>
  <si>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</si>
  <si>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</si>
  <si>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</si>
  <si>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</si>
  <si>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</si>
  <si>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</si>
  <si>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</si>
  <si>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</si>
  <si>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</si>
  <si>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</si>
  <si>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</si>
  <si>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</si>
  <si>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</si>
  <si>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</si>
  <si>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</si>
  <si>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</si>
  <si>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</si>
  <si>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</si>
  <si>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</si>
  <si>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</si>
  <si>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</si>
  <si>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</si>
  <si>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</si>
  <si>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</si>
  <si>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</si>
  <si>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</si>
  <si>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</si>
  <si>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</si>
  <si>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</si>
  <si>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</si>
  <si>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</si>
  <si>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</si>
  <si>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</si>
  <si>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</si>
  <si>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</si>
  <si>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</si>
  <si>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</si>
  <si>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</si>
  <si>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</si>
  <si>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</si>
  <si>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</si>
  <si>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</si>
  <si>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</si>
  <si>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</si>
  <si>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</si>
  <si>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</si>
  <si>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</si>
  <si>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</si>
  <si>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</si>
  <si>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</si>
  <si>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</si>
  <si>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</si>
  <si>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</si>
  <si>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</si>
  <si>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</si>
  <si>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</si>
  <si>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</si>
  <si>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</si>
  <si>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</si>
  <si>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</si>
  <si>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</si>
  <si>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</si>
  <si>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</si>
  <si>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</si>
  <si>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</si>
  <si>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</si>
  <si>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</si>
  <si>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</si>
  <si>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</si>
  <si>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</si>
  <si>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</si>
  <si>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</si>
  <si>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</si>
  <si>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</si>
  <si>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</si>
  <si>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</si>
  <si>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</si>
  <si>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</si>
  <si>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</si>
  <si>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</si>
  <si>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</si>
  <si>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</si>
  <si>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</si>
  <si>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</si>
  <si>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</si>
  <si>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</si>
  <si>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</si>
  <si>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</si>
  <si>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</si>
  <si>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</si>
  <si>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</si>
  <si>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</si>
  <si>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</si>
  <si>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</si>
  <si>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</si>
  <si>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</si>
  <si>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</si>
  <si>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</si>
  <si>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</si>
  <si>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</si>
  <si>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</si>
  <si>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</si>
  <si>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</si>
  <si>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</si>
  <si>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</si>
  <si>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</si>
  <si>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</si>
  <si>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</si>
  <si>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</si>
  <si>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</si>
  <si>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</si>
  <si>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</si>
  <si>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</si>
  <si>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</si>
  <si>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</si>
  <si>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</si>
  <si>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</si>
  <si>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</si>
  <si>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</si>
  <si>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</si>
  <si>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</si>
  <si>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</si>
  <si>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</si>
  <si>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</si>
  <si>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</si>
  <si>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</si>
  <si>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</si>
  <si>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</si>
  <si>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</si>
  <si>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</si>
  <si>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</si>
  <si>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</si>
  <si>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</si>
  <si>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</si>
  <si>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</si>
  <si>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</si>
  <si>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</si>
  <si>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</si>
  <si>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</si>
  <si>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</si>
  <si>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</si>
  <si>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</si>
  <si>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</si>
  <si>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</si>
  <si>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</si>
  <si>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</si>
  <si>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</si>
  <si>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</si>
  <si>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</si>
  <si>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</si>
  <si>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</si>
  <si>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</si>
  <si>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</si>
  <si>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</si>
  <si>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</si>
  <si>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</si>
  <si>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</si>
  <si>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</si>
  <si>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</si>
  <si>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</si>
  <si>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</si>
  <si>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</si>
  <si>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</si>
  <si>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</si>
  <si>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</si>
  <si>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</si>
  <si>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</si>
  <si>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</si>
  <si>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</si>
  <si>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</si>
  <si>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</si>
  <si>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</si>
  <si>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</si>
  <si>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</si>
  <si>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</si>
  <si>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</si>
  <si>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</si>
  <si>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</si>
  <si>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</si>
  <si>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</si>
  <si>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</si>
  <si>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</si>
  <si>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</si>
  <si>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</si>
  <si>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</si>
  <si>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</si>
  <si>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</si>
  <si>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</si>
  <si>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</si>
  <si>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</si>
  <si>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</si>
  <si>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</si>
  <si>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</si>
  <si>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</si>
  <si>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</si>
  <si>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</si>
  <si>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</si>
  <si>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</si>
  <si>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</si>
  <si>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</si>
  <si>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</si>
  <si>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</si>
  <si>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</si>
  <si>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</si>
  <si>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</si>
  <si>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</si>
  <si>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</si>
  <si>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</si>
  <si>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</si>
  <si>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</si>
  <si>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</si>
  <si>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</si>
  <si>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</si>
  <si>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</si>
  <si>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</si>
  <si>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</si>
  <si>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</si>
  <si>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</si>
  <si>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</si>
  <si>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</si>
  <si>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</si>
  <si>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</si>
  <si>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</si>
  <si>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</si>
  <si>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</si>
  <si>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</si>
  <si>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</si>
  <si>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</si>
  <si>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</si>
  <si>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</si>
  <si>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</si>
  <si>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</si>
  <si>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</si>
  <si>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</si>
  <si>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</si>
  <si>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</si>
  <si>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</si>
  <si>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</si>
  <si>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</si>
  <si>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</si>
  <si>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</si>
  <si>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</si>
  <si>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</si>
  <si>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</si>
  <si>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</si>
  <si>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</si>
  <si>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</si>
  <si>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</si>
  <si>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</si>
  <si>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</si>
  <si>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</si>
  <si>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</si>
  <si>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</si>
  <si>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</si>
  <si>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</si>
  <si>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</si>
  <si>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</si>
  <si>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</si>
  <si>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</si>
  <si>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</si>
  <si>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</si>
  <si>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</si>
  <si>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</si>
  <si>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</si>
  <si>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</si>
  <si>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</si>
  <si>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</si>
  <si>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</si>
  <si>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</si>
  <si>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</si>
  <si>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</si>
  <si>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</si>
  <si>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</si>
  <si>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</si>
  <si>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</si>
  <si>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</si>
  <si>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</si>
  <si>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</si>
  <si>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</si>
  <si>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</si>
  <si>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</si>
  <si>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</si>
  <si>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</si>
  <si>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</si>
  <si>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</si>
  <si>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</si>
  <si>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</si>
  <si>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</si>
  <si>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</si>
  <si>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</si>
  <si>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</si>
  <si>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</si>
  <si>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</si>
  <si>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</si>
  <si>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</si>
  <si>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</si>
  <si>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</si>
  <si>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</si>
  <si>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</si>
  <si>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</si>
  <si>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</si>
  <si>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</si>
  <si>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</si>
  <si>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</si>
  <si>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</si>
  <si>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</si>
  <si>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</si>
  <si>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</si>
  <si>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</si>
  <si>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</si>
  <si>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</si>
  <si>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</si>
  <si>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</si>
  <si>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</si>
  <si>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</si>
  <si>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</si>
  <si>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</si>
  <si>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</si>
  <si>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</si>
  <si>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</si>
  <si>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</si>
  <si>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</si>
  <si>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</si>
  <si>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</si>
  <si>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</si>
  <si>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</si>
  <si>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</si>
  <si>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</si>
  <si>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</si>
  <si>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</si>
  <si>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</si>
  <si>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</si>
  <si>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</si>
  <si>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</si>
  <si>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</si>
  <si>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</si>
  <si>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</si>
  <si>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</si>
  <si>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</si>
  <si>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</si>
  <si>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</si>
  <si>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</si>
  <si>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</si>
  <si>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</si>
  <si>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</si>
  <si>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</si>
  <si>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</si>
  <si>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</si>
  <si>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</si>
  <si>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</si>
  <si>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</si>
  <si>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</si>
  <si>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</si>
  <si>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</si>
  <si>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</si>
  <si>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</si>
  <si>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</si>
  <si>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</si>
  <si>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</si>
  <si>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</si>
  <si>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</si>
  <si>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</si>
  <si>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</si>
  <si>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</si>
  <si>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</si>
  <si>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</si>
  <si>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</si>
  <si>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</si>
  <si>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</si>
  <si>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</si>
  <si>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</si>
  <si>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</si>
  <si>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</si>
  <si>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</si>
  <si>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</si>
  <si>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</si>
  <si>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</si>
  <si>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</si>
  <si>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</si>
  <si>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</si>
  <si>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</si>
  <si>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</si>
  <si>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</si>
  <si>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</si>
  <si>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</si>
  <si>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</si>
  <si>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</si>
  <si>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</si>
  <si>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</si>
  <si>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</si>
  <si>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</si>
  <si>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</si>
  <si>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</si>
  <si>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</si>
  <si>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</si>
  <si>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</si>
  <si>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</si>
  <si>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</si>
  <si>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</si>
  <si>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</si>
  <si>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</si>
  <si>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</si>
  <si>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</si>
  <si>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</si>
  <si>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</si>
  <si>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</si>
  <si>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</si>
  <si>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</si>
  <si>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</si>
  <si>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</si>
  <si>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</si>
  <si>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</si>
  <si>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</si>
  <si>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</si>
  <si>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</si>
  <si>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</si>
  <si>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</si>
  <si>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</si>
  <si>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</si>
  <si>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</si>
  <si>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</si>
  <si>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</si>
  <si>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</si>
  <si>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</si>
  <si>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</si>
  <si>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</si>
  <si>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</si>
  <si>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</si>
  <si>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</si>
  <si>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</si>
  <si>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</si>
  <si>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</si>
  <si>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</si>
  <si>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</si>
  <si>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</si>
  <si>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</si>
  <si>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</si>
  <si>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</si>
  <si>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</si>
  <si>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</si>
  <si>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</si>
  <si>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</si>
  <si>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</si>
  <si>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</si>
  <si>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</si>
  <si>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</si>
  <si>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</si>
  <si>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</si>
  <si>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</si>
  <si>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</si>
  <si>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</si>
  <si>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</si>
  <si>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</si>
  <si>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</si>
  <si>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</si>
  <si>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</si>
  <si>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</si>
  <si>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</si>
  <si>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</si>
  <si>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</si>
  <si>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</si>
  <si>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</si>
  <si>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</si>
  <si>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</si>
  <si>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</si>
  <si>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</si>
  <si>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</si>
  <si>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</si>
  <si>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</si>
  <si>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</si>
  <si>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</si>
  <si>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</si>
  <si>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</si>
  <si>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</si>
  <si>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</si>
  <si>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</si>
  <si>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</si>
  <si>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</si>
  <si>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</si>
  <si>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</si>
  <si>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</si>
  <si>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</si>
  <si>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</si>
  <si>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</si>
  <si>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</si>
  <si>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</si>
  <si>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</si>
  <si>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</si>
  <si>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</si>
  <si>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</si>
  <si>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</si>
  <si>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</si>
  <si>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</si>
  <si>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</si>
  <si>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</si>
  <si>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</si>
  <si>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</si>
  <si>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</si>
  <si>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</si>
  <si>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</si>
  <si>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</si>
  <si>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</si>
  <si>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</si>
  <si>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</si>
  <si>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</si>
  <si>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</si>
  <si>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</si>
  <si>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</si>
  <si>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</si>
  <si>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</si>
  <si>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</si>
  <si>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</si>
  <si>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</si>
  <si>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</si>
  <si>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</si>
  <si>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</si>
  <si>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</si>
  <si>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</si>
  <si>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</si>
  <si>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</si>
  <si>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</si>
  <si>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</si>
  <si>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</si>
  <si>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</si>
  <si>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</si>
  <si>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</si>
  <si>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</si>
  <si>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</si>
  <si>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</si>
  <si>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</si>
  <si>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</si>
  <si>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</si>
  <si>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</si>
  <si>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</si>
  <si>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</si>
  <si>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</si>
  <si>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</si>
  <si>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</si>
  <si>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</si>
  <si>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</si>
  <si>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</si>
  <si>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</si>
  <si>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</si>
  <si>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</si>
  <si>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</si>
  <si>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</si>
  <si>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</si>
  <si>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</si>
  <si>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</si>
  <si>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</si>
  <si>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</si>
  <si>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</si>
  <si>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</si>
  <si>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</si>
  <si>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</si>
  <si>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</si>
  <si>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</si>
  <si>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</si>
  <si>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</si>
  <si>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</si>
  <si>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</si>
  <si>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</si>
  <si>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</si>
  <si>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</si>
  <si>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</si>
  <si>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</si>
  <si>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</si>
  <si>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</si>
  <si>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</si>
  <si>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</si>
  <si>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</si>
  <si>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</si>
  <si>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</si>
  <si>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</si>
  <si>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</si>
  <si>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</si>
  <si>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</si>
  <si>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</si>
  <si>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</si>
  <si>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</si>
  <si>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</si>
  <si>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</si>
  <si>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</si>
  <si>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</si>
  <si>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</si>
  <si>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</si>
  <si>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</si>
  <si>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</si>
  <si>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</si>
  <si>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</si>
  <si>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</si>
  <si>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</si>
  <si>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</si>
  <si>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</si>
  <si>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</si>
  <si>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</si>
  <si>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</si>
  <si>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</si>
  <si>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</si>
  <si>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</si>
  <si>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</si>
  <si>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</si>
  <si>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</si>
  <si>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</si>
  <si>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</si>
  <si>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</si>
  <si>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</si>
  <si>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</si>
  <si>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</si>
  <si>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</si>
  <si>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</si>
  <si>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</si>
  <si>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</si>
  <si>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</si>
  <si>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</si>
  <si>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</si>
  <si>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</si>
  <si>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</si>
  <si>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</si>
  <si>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</si>
  <si>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</si>
  <si>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</si>
  <si>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</si>
  <si>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</si>
  <si>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</si>
  <si>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</si>
  <si>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</si>
  <si>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</si>
  <si>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</si>
  <si>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</si>
  <si>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</si>
  <si>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</si>
  <si>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</si>
  <si>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</si>
  <si>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</si>
  <si>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</si>
  <si>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</si>
  <si>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</si>
  <si>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</si>
  <si>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</si>
  <si>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</si>
  <si>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</si>
  <si>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</si>
  <si>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</si>
  <si>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</si>
  <si>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</si>
  <si>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</si>
  <si>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</si>
  <si>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</si>
  <si>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</si>
  <si>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</si>
  <si>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</si>
  <si>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</si>
  <si>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</si>
  <si>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</si>
  <si>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</si>
  <si>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</si>
  <si>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</si>
  <si>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</si>
  <si>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</si>
  <si>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</si>
  <si>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</si>
  <si>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</si>
  <si>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</si>
  <si>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</si>
  <si>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</si>
  <si>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</si>
  <si>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</si>
  <si>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</si>
  <si>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</si>
  <si>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</si>
  <si>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</si>
  <si>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</si>
  <si>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</si>
  <si>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</si>
  <si>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</si>
  <si>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</si>
  <si>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</si>
  <si>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</si>
  <si>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</si>
  <si>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</si>
  <si>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</si>
  <si>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</si>
  <si>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</si>
  <si>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</si>
  <si>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</si>
  <si>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</si>
  <si>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</si>
  <si>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</si>
  <si>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</si>
  <si>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</si>
  <si>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</si>
  <si>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</si>
  <si>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</si>
  <si>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</si>
  <si>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</si>
  <si>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</si>
  <si>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</si>
  <si>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</si>
  <si>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</si>
  <si>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</si>
  <si>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</si>
  <si>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</si>
  <si>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</si>
  <si>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</si>
  <si>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</si>
  <si>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</si>
  <si>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</si>
  <si>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</si>
  <si>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</si>
  <si>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</si>
  <si>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</si>
  <si>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</si>
  <si>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</si>
  <si>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</si>
  <si>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</si>
  <si>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</si>
  <si>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</si>
  <si>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</si>
  <si>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</si>
  <si>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</si>
  <si>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</si>
  <si>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</si>
  <si>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</si>
  <si>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</si>
  <si>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</si>
  <si>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</si>
  <si>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</si>
  <si>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</si>
  <si>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</si>
  <si>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</si>
  <si>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</si>
  <si>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</si>
  <si>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</si>
  <si>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</si>
  <si>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</si>
  <si>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</si>
  <si>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</si>
  <si>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</si>
  <si>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</si>
  <si>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</si>
  <si>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</si>
  <si>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</si>
  <si>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</si>
  <si>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</si>
  <si>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</si>
  <si>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</si>
  <si>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</si>
  <si>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</si>
  <si>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</si>
  <si>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</si>
  <si>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</si>
  <si>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</si>
  <si>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</si>
  <si>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</si>
  <si>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</si>
  <si>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</si>
  <si>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</si>
  <si>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</si>
  <si>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</si>
  <si>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</si>
  <si>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</si>
  <si>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</si>
  <si>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</si>
  <si>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</si>
  <si>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</si>
  <si>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</si>
  <si>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</si>
  <si>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</si>
  <si>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</si>
  <si>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</si>
  <si>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</si>
  <si>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</si>
  <si>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</si>
  <si>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</si>
  <si>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</si>
  <si>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</si>
  <si>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</si>
  <si>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</si>
  <si>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</si>
  <si>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</si>
  <si>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</si>
  <si>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</si>
  <si>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</si>
  <si>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</si>
  <si>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</si>
  <si>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</si>
  <si>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</si>
  <si>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</si>
  <si>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</si>
  <si>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</si>
  <si>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</si>
  <si>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</si>
  <si>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</si>
  <si>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</si>
  <si>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</si>
  <si>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</si>
  <si>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</si>
  <si>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</si>
  <si>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</si>
  <si>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</si>
  <si>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</si>
  <si>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</si>
  <si>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</si>
  <si>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</si>
  <si>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</si>
  <si>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</si>
  <si>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</si>
  <si>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</si>
  <si>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</si>
  <si>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</si>
  <si>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</si>
  <si>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</si>
  <si>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</si>
  <si>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</si>
  <si>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</si>
  <si>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</si>
  <si>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</si>
  <si>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</si>
  <si>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</si>
  <si>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</si>
  <si>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</si>
  <si>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</si>
  <si>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</si>
  <si>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</si>
  <si>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</si>
  <si>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</si>
  <si>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</si>
  <si>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</si>
  <si>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</si>
  <si>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</si>
  <si>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</si>
  <si>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</si>
  <si>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</si>
  <si>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</si>
  <si>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</si>
  <si>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</si>
  <si>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</si>
  <si>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</si>
  <si>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</si>
  <si>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</si>
  <si>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</si>
  <si>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</si>
  <si>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</si>
  <si>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</si>
  <si>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</si>
  <si>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</si>
  <si>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</si>
  <si>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</si>
  <si>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</si>
  <si>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</si>
  <si>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</si>
  <si>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</si>
  <si>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</si>
  <si>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</si>
  <si>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</si>
  <si>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</si>
  <si>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</si>
  <si>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</si>
  <si>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</si>
  <si>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</si>
  <si>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</si>
  <si>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</si>
  <si>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</si>
  <si>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</si>
  <si>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</si>
  <si>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</si>
  <si>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</si>
  <si>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</si>
  <si>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</si>
  <si>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</si>
  <si>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</si>
  <si>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</si>
  <si>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</si>
  <si>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</si>
  <si>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</si>
  <si>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</si>
  <si>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</si>
  <si>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</si>
  <si>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</si>
  <si>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</si>
  <si>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</si>
  <si>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</si>
  <si>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</si>
  <si>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</si>
  <si>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</si>
  <si>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</si>
  <si>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</si>
  <si>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</si>
  <si>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</si>
  <si>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</si>
  <si>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</si>
  <si>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</si>
  <si>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</si>
  <si>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</si>
  <si>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</si>
  <si>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</si>
  <si>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</si>
  <si>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</si>
  <si>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</si>
  <si>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</si>
  <si>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</si>
  <si>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</si>
  <si>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</si>
  <si>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</si>
  <si>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</si>
  <si>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</si>
  <si>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</si>
  <si>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</si>
  <si>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</si>
  <si>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</si>
  <si>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</si>
  <si>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</si>
  <si>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</si>
  <si>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</si>
  <si>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</si>
  <si>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</si>
  <si>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</si>
  <si>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</si>
  <si>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</si>
  <si>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</si>
  <si>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</si>
  <si>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</si>
  <si>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</si>
  <si>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</si>
  <si>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</si>
  <si>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</si>
  <si>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</si>
  <si>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</si>
  <si>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</si>
  <si>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</si>
  <si>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</si>
  <si>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</si>
  <si>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</si>
  <si>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</si>
  <si>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</si>
  <si>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</si>
  <si>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</si>
  <si>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</si>
  <si>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</si>
  <si>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</si>
  <si>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</si>
  <si>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</si>
  <si>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</si>
  <si>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</si>
  <si>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</si>
  <si>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</si>
  <si>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</si>
  <si>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</si>
  <si>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</si>
  <si>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</si>
  <si>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</si>
  <si>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</si>
  <si>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</si>
  <si>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</si>
  <si>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</si>
  <si>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</si>
  <si>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</si>
  <si>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</si>
  <si>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</si>
  <si>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</si>
  <si>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</si>
  <si>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</si>
  <si>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</si>
  <si>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</si>
  <si>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</si>
  <si>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</si>
  <si>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</si>
  <si>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</si>
  <si>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</si>
  <si>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</si>
  <si>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</si>
  <si>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</si>
  <si>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</si>
  <si>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</si>
  <si>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</si>
  <si>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</si>
  <si>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</si>
  <si>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</si>
  <si>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</si>
  <si>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</si>
  <si>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</si>
  <si>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</si>
  <si>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</si>
  <si>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</si>
  <si>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</si>
  <si>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</si>
  <si>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</si>
  <si>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</si>
  <si>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</si>
  <si>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</si>
  <si>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</si>
  <si>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</si>
  <si>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</si>
  <si>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</si>
  <si>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</si>
  <si>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</si>
  <si>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</si>
  <si>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</si>
  <si>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</si>
  <si>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</si>
  <si>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</si>
  <si>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</si>
  <si>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</si>
  <si>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</si>
  <si>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</si>
  <si>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</si>
  <si>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</si>
  <si>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</si>
  <si>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</si>
  <si>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</si>
  <si>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</si>
  <si>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</si>
  <si>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</si>
  <si>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</si>
  <si>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</si>
  <si>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</si>
  <si>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</si>
  <si>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</si>
  <si>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</si>
  <si>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</si>
  <si>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</si>
  <si>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</si>
  <si>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</si>
  <si>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</si>
  <si>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</si>
  <si>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</si>
  <si>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</si>
  <si>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</si>
  <si>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</si>
  <si>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</si>
  <si>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</si>
  <si>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</si>
  <si>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</si>
  <si>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</si>
  <si>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</si>
  <si>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</si>
  <si>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</si>
  <si>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</si>
  <si>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</si>
  <si>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</si>
  <si>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</si>
  <si>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</si>
  <si>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</si>
  <si>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</si>
  <si>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</si>
  <si>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</si>
  <si>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</si>
  <si>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</si>
  <si>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</si>
  <si>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</si>
  <si>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</si>
  <si>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</si>
  <si>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</si>
  <si>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</si>
  <si>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</si>
  <si>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</si>
  <si>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</si>
  <si>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</si>
  <si>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</si>
  <si>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</si>
  <si>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</si>
  <si>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</si>
  <si>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</si>
  <si>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</si>
  <si>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</si>
  <si>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</si>
  <si>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</si>
  <si>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</si>
  <si>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</si>
  <si>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</si>
  <si>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</si>
  <si>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</si>
  <si>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</si>
  <si>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</si>
  <si>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</si>
  <si>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</si>
  <si>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</si>
  <si>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</si>
  <si>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</si>
  <si>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</si>
  <si>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</si>
  <si>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</si>
  <si>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</si>
  <si>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</si>
  <si>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</si>
  <si>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</si>
  <si>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</si>
  <si>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</si>
  <si>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</si>
  <si>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</si>
  <si>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</si>
  <si>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</si>
  <si>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</si>
  <si>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</si>
  <si>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</si>
  <si>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</si>
  <si>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</si>
  <si>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</si>
  <si>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</si>
  <si>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</si>
  <si>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</si>
  <si>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</si>
  <si>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</si>
  <si>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</si>
  <si>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</si>
  <si>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</si>
  <si>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</si>
  <si>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</si>
  <si>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</si>
  <si>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</si>
  <si>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</si>
  <si>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</si>
  <si>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</si>
  <si>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</si>
  <si>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</si>
  <si>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</si>
  <si>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</si>
  <si>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</si>
  <si>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</si>
  <si>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</si>
  <si>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</si>
  <si>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</si>
  <si>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</si>
  <si>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</si>
  <si>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</si>
  <si>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</si>
  <si>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</si>
  <si>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</si>
  <si>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</si>
  <si>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</si>
  <si>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</si>
  <si>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</si>
  <si>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</si>
  <si>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</si>
  <si>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</si>
  <si>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</si>
  <si>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</si>
  <si>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</si>
  <si>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</si>
  <si>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</si>
  <si>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</si>
  <si>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</si>
  <si>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</si>
  <si>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</si>
  <si>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</si>
  <si>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</si>
  <si>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</si>
  <si>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</si>
  <si>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</si>
  <si>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</si>
  <si>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</si>
  <si>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</si>
  <si>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</si>
  <si>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</si>
  <si>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</si>
  <si>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</si>
  <si>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</si>
  <si>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</si>
  <si>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</si>
  <si>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</si>
  <si>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</si>
  <si>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</si>
  <si>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</si>
  <si>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</si>
  <si>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</si>
  <si>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</si>
  <si>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</si>
  <si>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</si>
  <si>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</si>
  <si>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</si>
  <si>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</si>
  <si>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</si>
  <si>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</si>
  <si>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</si>
  <si>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</si>
  <si>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</si>
  <si>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</si>
  <si>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</si>
  <si>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</si>
  <si>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</si>
  <si>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</si>
  <si>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</si>
  <si>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</si>
  <si>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</si>
  <si>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</si>
  <si>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</si>
  <si>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</si>
  <si>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</si>
  <si>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</si>
  <si>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</si>
  <si>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</si>
  <si>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</si>
  <si>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</si>
  <si>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</si>
  <si>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</si>
  <si>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</si>
  <si>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</si>
  <si>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</si>
  <si>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</si>
  <si>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</si>
  <si>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</si>
  <si>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</si>
  <si>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</si>
  <si>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</si>
  <si>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</si>
  <si>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</si>
  <si>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</si>
  <si>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</si>
  <si>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</si>
  <si>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</si>
  <si>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</si>
  <si>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</si>
  <si>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</si>
  <si>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</si>
  <si>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</si>
  <si>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</si>
  <si>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</si>
  <si>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</si>
  <si>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</si>
  <si>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</si>
  <si>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</si>
  <si>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</si>
  <si>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</si>
  <si>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</si>
  <si>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</si>
  <si>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</si>
  <si>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</si>
  <si>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</si>
  <si>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</si>
  <si>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</si>
  <si>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</si>
  <si>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</si>
  <si>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</si>
  <si>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</si>
  <si>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</si>
  <si>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</si>
  <si>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</si>
  <si>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</si>
  <si>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</si>
  <si>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</si>
  <si>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</si>
  <si>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</si>
  <si>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</si>
  <si>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</si>
  <si>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</si>
  <si>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</si>
  <si>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</si>
  <si>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</si>
  <si>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</si>
  <si>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</si>
  <si>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</si>
  <si>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</si>
  <si>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</si>
  <si>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</si>
  <si>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</si>
  <si>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</si>
  <si>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</si>
  <si>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</si>
  <si>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</si>
  <si>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</si>
  <si>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</si>
  <si>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</si>
  <si>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</si>
  <si>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</si>
  <si>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</si>
  <si>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</si>
  <si>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</si>
  <si>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</si>
  <si>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</si>
  <si>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</si>
  <si>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</si>
  <si>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</si>
  <si>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</si>
  <si>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</si>
  <si>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</si>
  <si>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</si>
  <si>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</si>
  <si>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</si>
  <si>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</si>
  <si>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</si>
  <si>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</si>
  <si>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</si>
  <si>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</si>
  <si>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</si>
  <si>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</si>
  <si>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</si>
  <si>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</si>
  <si>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</si>
  <si>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</si>
  <si>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</si>
  <si>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</si>
  <si>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</si>
  <si>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</si>
  <si>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</si>
  <si>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</si>
  <si>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</si>
  <si>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</si>
  <si>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</si>
  <si>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</si>
  <si>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</si>
  <si>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</si>
  <si>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</si>
  <si>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</si>
  <si>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</si>
  <si>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</si>
  <si>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</si>
  <si>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</si>
  <si>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</si>
  <si>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</si>
  <si>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</si>
  <si>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</si>
  <si>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</si>
  <si>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</si>
  <si>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</si>
  <si>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</si>
  <si>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</si>
  <si>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</si>
  <si>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</si>
  <si>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</si>
  <si>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</si>
  <si>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</si>
  <si>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</si>
  <si>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</si>
  <si>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</si>
  <si>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</si>
  <si>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</si>
  <si>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</si>
  <si>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</si>
  <si>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</si>
  <si>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</si>
  <si>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</si>
  <si>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</si>
  <si>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</si>
  <si>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</si>
  <si>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</si>
  <si>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</si>
  <si>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</si>
  <si>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</si>
  <si>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</si>
  <si>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</si>
  <si>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</si>
  <si>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</si>
  <si>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</si>
  <si>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</si>
  <si>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</si>
  <si>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</si>
  <si>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</si>
  <si>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</si>
  <si>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</si>
  <si>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</si>
  <si>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</si>
  <si>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</si>
  <si>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</si>
  <si>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</si>
  <si>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</si>
  <si>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</si>
  <si>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</si>
  <si>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</si>
  <si>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</si>
  <si>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</si>
  <si>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</si>
  <si>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</si>
  <si>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</si>
  <si>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</si>
  <si>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</si>
  <si>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</si>
  <si>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</si>
  <si>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</si>
  <si>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</si>
  <si>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</si>
  <si>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</si>
  <si>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</si>
  <si>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</si>
  <si>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</si>
  <si>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</si>
  <si>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</si>
  <si>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</si>
  <si>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</si>
  <si>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</si>
  <si>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</si>
  <si>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</si>
  <si>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</si>
  <si>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</si>
  <si>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</si>
  <si>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</si>
  <si>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</si>
  <si>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</si>
  <si>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</si>
  <si>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</si>
  <si>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</si>
  <si>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</si>
  <si>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</si>
  <si>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</si>
  <si>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</si>
  <si>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</si>
  <si>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</si>
  <si>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</si>
  <si>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</si>
  <si>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</si>
  <si>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</si>
  <si>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</si>
  <si>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</si>
  <si>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</si>
  <si>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</si>
  <si>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</si>
  <si>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</si>
  <si>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</si>
  <si>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</si>
  <si>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</si>
  <si>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</si>
  <si>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</si>
  <si>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</si>
  <si>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</si>
  <si>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</si>
  <si>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</si>
  <si>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</si>
  <si>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</si>
  <si>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</si>
  <si>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</si>
  <si>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</si>
  <si>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</si>
  <si>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</si>
  <si>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</si>
  <si>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</si>
  <si>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</si>
  <si>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</si>
  <si>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</si>
  <si>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</si>
  <si>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</si>
  <si>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</si>
  <si>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</si>
  <si>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</si>
  <si>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</si>
  <si>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</si>
  <si>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</si>
  <si>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</si>
  <si>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</si>
  <si>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</si>
  <si>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</si>
  <si>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</si>
  <si>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</si>
  <si>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</si>
  <si>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</si>
  <si>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</si>
  <si>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</si>
  <si>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</si>
  <si>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</si>
  <si>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</si>
  <si>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</si>
  <si>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</si>
  <si>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</si>
  <si>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</si>
  <si>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</si>
  <si>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</si>
  <si>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</si>
  <si>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</si>
  <si>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</si>
  <si>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</si>
  <si>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</si>
  <si>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</si>
  <si>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</si>
  <si>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</si>
  <si>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</si>
  <si>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</si>
  <si>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</si>
  <si>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</si>
  <si>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</si>
  <si>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</si>
  <si>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</si>
  <si>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</si>
  <si>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</si>
  <si>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</si>
  <si>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</si>
  <si>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</si>
  <si>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</si>
  <si>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</si>
  <si>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</si>
  <si>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</si>
  <si>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</si>
  <si>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</si>
  <si>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</si>
  <si>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</si>
  <si>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</si>
  <si>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</si>
  <si>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</si>
  <si>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</si>
  <si>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</si>
  <si>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</si>
  <si>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</si>
  <si>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</si>
  <si>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</si>
  <si>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</si>
  <si>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</si>
  <si>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</si>
  <si>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</si>
  <si>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</si>
  <si>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</si>
  <si>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</si>
  <si>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</si>
  <si>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</si>
  <si>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</si>
  <si>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</si>
  <si>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</si>
  <si>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</si>
  <si>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</si>
  <si>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</si>
  <si>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</si>
  <si>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</si>
  <si>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</si>
  <si>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</si>
  <si>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</si>
  <si>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</si>
  <si>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</si>
  <si>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</si>
  <si>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</si>
  <si>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</si>
  <si>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</si>
  <si>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</si>
  <si>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</si>
  <si>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</si>
  <si>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</si>
  <si>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</si>
  <si>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</si>
  <si>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</si>
  <si>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</si>
  <si>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</si>
  <si>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</si>
  <si>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</si>
  <si>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</si>
  <si>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</si>
  <si>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</si>
  <si>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</si>
  <si>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</si>
  <si>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</si>
  <si>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</si>
  <si>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</si>
  <si>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</si>
  <si>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</si>
  <si>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</si>
  <si>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</si>
  <si>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</si>
  <si>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</si>
  <si>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</si>
  <si>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</si>
  <si>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</si>
  <si>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</si>
  <si>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</si>
  <si>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</si>
  <si>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</si>
  <si>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</si>
  <si>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</si>
  <si>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</si>
  <si>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</si>
  <si>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</si>
  <si>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</si>
  <si>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</si>
  <si>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</si>
  <si>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</si>
  <si>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</si>
  <si>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</si>
  <si>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</si>
  <si>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</si>
  <si>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</si>
  <si>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</si>
  <si>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</si>
  <si>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</si>
  <si>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</si>
  <si>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</si>
  <si>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</si>
  <si>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</si>
  <si>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</si>
  <si>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</si>
  <si>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</si>
  <si>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</si>
  <si>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</si>
  <si>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</si>
  <si>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</si>
  <si>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</si>
  <si>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</si>
  <si>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</si>
  <si>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</si>
  <si>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</si>
  <si>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</si>
  <si>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</si>
  <si>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</si>
  <si>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</si>
  <si>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</si>
  <si>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</si>
  <si>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</si>
  <si>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</si>
  <si>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</si>
  <si>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</si>
  <si>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</si>
  <si>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</si>
  <si>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</si>
  <si>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</si>
  <si>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</si>
  <si>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</si>
  <si>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</si>
  <si>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</si>
  <si>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</si>
  <si>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</si>
  <si>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</si>
  <si>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</si>
  <si>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</si>
  <si>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</si>
  <si>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</si>
  <si>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</si>
  <si>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</si>
  <si>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</si>
  <si>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</si>
  <si>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</si>
  <si>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</si>
  <si>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</si>
  <si>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</si>
  <si>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</si>
  <si>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</si>
  <si>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</si>
  <si>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</si>
  <si>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</si>
  <si>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</si>
  <si>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</si>
  <si>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</si>
  <si>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</si>
  <si>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</si>
  <si>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</si>
  <si>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</si>
  <si>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</si>
  <si>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</si>
  <si>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</si>
  <si>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</si>
  <si>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</si>
  <si>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</si>
  <si>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</si>
  <si>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</si>
  <si>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</si>
  <si>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</si>
  <si>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</si>
  <si>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</si>
  <si>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</si>
  <si>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</si>
  <si>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</si>
  <si>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</si>
  <si>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</si>
  <si>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</si>
  <si>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</si>
  <si>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</si>
  <si>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</si>
  <si>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</si>
  <si>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</si>
  <si>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</si>
  <si>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</si>
  <si>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</si>
  <si>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</si>
  <si>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</si>
  <si>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</si>
  <si>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</si>
  <si>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</si>
  <si>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</si>
  <si>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</si>
  <si>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</si>
  <si>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</si>
  <si>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</si>
  <si>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</si>
  <si>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</si>
  <si>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</si>
  <si>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</si>
  <si>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</si>
  <si>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</si>
  <si>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</si>
  <si>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</si>
  <si>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</si>
  <si>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</si>
  <si>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</si>
  <si>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</si>
  <si>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</si>
  <si>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</si>
  <si>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</si>
  <si>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</si>
  <si>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</si>
  <si>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</si>
  <si>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</si>
  <si>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</si>
  <si>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</si>
  <si>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</si>
  <si>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</si>
  <si>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</si>
  <si>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</si>
  <si>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</si>
  <si>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</si>
  <si>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</si>
  <si>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</si>
  <si>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</si>
  <si>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</si>
  <si>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</si>
  <si>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</si>
  <si>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</si>
  <si>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</si>
  <si>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</si>
  <si>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</si>
  <si>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</si>
  <si>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</si>
  <si>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</si>
  <si>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</si>
  <si>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</si>
  <si>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</si>
  <si>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</si>
  <si>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</si>
  <si>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</si>
  <si>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</si>
  <si>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</si>
  <si>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</si>
  <si>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</si>
  <si>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</si>
  <si>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</si>
  <si>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</si>
  <si>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</si>
  <si>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</si>
  <si>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</si>
  <si>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</si>
  <si>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</si>
  <si>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</si>
  <si>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</si>
  <si>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</si>
  <si>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</si>
  <si>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</si>
  <si>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</si>
  <si>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</si>
  <si>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</si>
  <si>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</si>
  <si>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</si>
  <si>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</si>
  <si>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</si>
  <si>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</si>
  <si>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</si>
  <si>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</si>
  <si>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</si>
  <si>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</si>
  <si>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</si>
  <si>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</si>
  <si>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</si>
  <si>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</si>
  <si>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</si>
  <si>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</si>
  <si>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</si>
  <si>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</si>
  <si>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</si>
  <si>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</si>
  <si>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</si>
  <si>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</si>
  <si>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</si>
  <si>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</si>
  <si>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</si>
  <si>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</si>
  <si>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</si>
  <si>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</si>
  <si>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</si>
  <si>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</si>
  <si>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</si>
  <si>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</si>
  <si>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</si>
  <si>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</si>
  <si>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</si>
  <si>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</si>
  <si>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</si>
  <si>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</si>
  <si>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</si>
  <si>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</si>
  <si>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</si>
  <si>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</si>
  <si>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</si>
  <si>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</si>
  <si>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</si>
  <si>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</si>
  <si>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</si>
  <si>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</si>
  <si>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</si>
  <si>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</si>
  <si>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</si>
  <si>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</si>
  <si>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</si>
  <si>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</si>
  <si>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</si>
  <si>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</si>
  <si>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</si>
  <si>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</si>
  <si>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</si>
  <si>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</si>
  <si>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</si>
  <si>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</si>
  <si>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</si>
  <si>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</si>
  <si>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</si>
  <si>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</si>
  <si>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</si>
  <si>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</si>
  <si>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</si>
  <si>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</si>
  <si>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</si>
  <si>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</si>
  <si>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</si>
  <si>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</si>
  <si>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</si>
  <si>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</si>
  <si>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</si>
  <si>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</si>
  <si>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</si>
  <si>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</si>
  <si>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</si>
  <si>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</si>
  <si>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</si>
  <si>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</si>
  <si>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</si>
  <si>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</si>
  <si>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</si>
  <si>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</si>
  <si>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</si>
  <si>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</si>
  <si>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</si>
  <si>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</si>
  <si>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</si>
  <si>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</si>
  <si>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</si>
  <si>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</si>
  <si>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</si>
  <si>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</si>
  <si>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</si>
  <si>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</si>
  <si>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</si>
  <si>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</si>
  <si>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</si>
  <si>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</si>
  <si>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</si>
  <si>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</si>
  <si>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</si>
  <si>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</si>
  <si>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</si>
  <si>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</si>
  <si>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</si>
  <si>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</si>
  <si>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</si>
  <si>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</si>
  <si>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</si>
  <si>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</si>
  <si>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</si>
  <si>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</si>
  <si>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</si>
  <si>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</si>
  <si>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</si>
  <si>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</si>
  <si>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</si>
  <si>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</si>
  <si>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</si>
  <si>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</si>
  <si>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</si>
  <si>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</si>
  <si>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</si>
  <si>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</si>
  <si>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</si>
  <si>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</si>
  <si>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</si>
  <si>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</si>
  <si>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</si>
  <si>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</si>
  <si>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</si>
  <si>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</si>
  <si>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</si>
  <si>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</si>
  <si>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</si>
  <si>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</si>
  <si>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</si>
  <si>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</si>
  <si>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</si>
  <si>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</si>
  <si>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</si>
  <si>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</si>
  <si>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</si>
  <si>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</si>
  <si>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</si>
  <si>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</si>
  <si>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</si>
  <si>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</si>
  <si>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</si>
  <si>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</si>
  <si>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</si>
  <si>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</si>
  <si>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</si>
  <si>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</si>
  <si>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</si>
  <si>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</si>
  <si>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</si>
  <si>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</si>
  <si>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</si>
  <si>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</si>
  <si>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</si>
  <si>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</si>
  <si>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</si>
  <si>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</si>
  <si>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</si>
  <si>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</si>
  <si>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</si>
  <si>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</si>
  <si>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</si>
  <si>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</si>
  <si>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</si>
  <si>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</si>
  <si>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</si>
  <si>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</si>
  <si>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</si>
  <si>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</si>
  <si>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</si>
  <si>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</si>
  <si>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</si>
  <si>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</si>
  <si>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</si>
  <si>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</si>
  <si>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</si>
  <si>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</si>
  <si>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</si>
  <si>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</si>
  <si>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</si>
  <si>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</si>
  <si>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</si>
  <si>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</si>
  <si>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</si>
  <si>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</si>
  <si>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</si>
  <si>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</si>
  <si>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</si>
  <si>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</si>
  <si>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</si>
  <si>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</si>
  <si>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</si>
  <si>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</si>
  <si>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</si>
  <si>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</si>
  <si>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</si>
  <si>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</si>
  <si>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</si>
  <si>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</si>
  <si>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</si>
  <si>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</si>
  <si>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</si>
  <si>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</si>
  <si>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</si>
  <si>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</si>
  <si>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</si>
  <si>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</si>
  <si>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</si>
  <si>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</si>
  <si>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</si>
  <si>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</si>
  <si>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</si>
  <si>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</si>
  <si>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</si>
  <si>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</si>
  <si>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</si>
  <si>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</si>
  <si>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</si>
  <si>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</si>
  <si>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</si>
  <si>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</si>
  <si>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</si>
  <si>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</si>
  <si>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</si>
  <si>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</si>
  <si>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</si>
  <si>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</si>
  <si>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</si>
  <si>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</si>
  <si>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</si>
  <si>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</si>
  <si>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</si>
  <si>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</si>
  <si>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</si>
  <si>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</si>
  <si>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</si>
  <si>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</si>
  <si>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</si>
  <si>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</si>
  <si>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</si>
  <si>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</si>
  <si>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</si>
  <si>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</si>
  <si>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</si>
  <si>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</si>
  <si>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</si>
  <si>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</si>
  <si>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</si>
  <si>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</si>
  <si>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</si>
  <si>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</si>
  <si>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</si>
  <si>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</si>
  <si>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</si>
  <si>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</si>
  <si>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</si>
  <si>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</si>
  <si>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</si>
  <si>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</si>
  <si>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</si>
  <si>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</si>
  <si>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</si>
  <si>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</si>
  <si>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</si>
  <si>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</si>
  <si>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</si>
  <si>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</si>
  <si>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</si>
  <si>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</si>
  <si>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</si>
  <si>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</si>
  <si>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</si>
  <si>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</si>
  <si>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</si>
  <si>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</si>
  <si>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</si>
  <si>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</si>
  <si>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</si>
  <si>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</si>
  <si>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</si>
  <si>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</si>
  <si>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</si>
  <si>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</si>
  <si>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</si>
  <si>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</si>
  <si>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</si>
  <si>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</si>
  <si>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</si>
  <si>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</si>
  <si>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</si>
  <si>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</si>
  <si>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</si>
  <si>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</si>
  <si>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</si>
  <si>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</si>
  <si>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</si>
  <si>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</si>
  <si>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</si>
  <si>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</si>
  <si>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</si>
  <si>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</si>
  <si>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</si>
  <si>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</si>
  <si>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</si>
  <si>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</si>
  <si>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</si>
  <si>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</si>
  <si>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</si>
  <si>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</si>
  <si>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</si>
  <si>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</si>
  <si>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</si>
  <si>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</si>
  <si>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</si>
  <si>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</si>
  <si>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</si>
  <si>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</si>
  <si>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</si>
  <si>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</si>
  <si>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</si>
  <si>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</si>
  <si>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</si>
  <si>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</si>
  <si>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</si>
  <si>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</si>
  <si>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</si>
  <si>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</si>
  <si>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</si>
  <si>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</si>
  <si>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</si>
  <si>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</si>
  <si>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</si>
  <si>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</si>
  <si>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</si>
  <si>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</si>
  <si>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</si>
  <si>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</si>
  <si>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</si>
  <si>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</si>
  <si>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</si>
  <si>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</si>
  <si>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</si>
  <si>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</si>
  <si>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</si>
  <si>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</si>
  <si>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</si>
  <si>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</si>
  <si>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</si>
  <si>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</si>
  <si>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</si>
  <si>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</si>
  <si>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</si>
  <si>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</si>
  <si>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</si>
  <si>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</si>
  <si>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</si>
  <si>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</si>
  <si>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</si>
  <si>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</si>
  <si>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</si>
  <si>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</si>
  <si>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</si>
  <si>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</si>
  <si>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</si>
  <si>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</si>
  <si>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</si>
  <si>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</si>
  <si>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</si>
  <si>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</si>
  <si>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</si>
  <si>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</si>
  <si>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</si>
  <si>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</si>
  <si>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</si>
  <si>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</si>
  <si>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</si>
  <si>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</si>
  <si>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</si>
  <si>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</si>
  <si>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</si>
  <si>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</si>
  <si>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</si>
  <si>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</si>
  <si>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</si>
  <si>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</si>
  <si>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</si>
  <si>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</si>
  <si>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</si>
  <si>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</si>
  <si>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</si>
  <si>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</si>
  <si>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</si>
  <si>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</si>
  <si>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</si>
  <si>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</si>
  <si>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</si>
  <si>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</si>
  <si>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</si>
  <si>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</si>
  <si>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</si>
  <si>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</si>
  <si>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</si>
  <si>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</si>
  <si>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</si>
  <si>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</si>
  <si>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</si>
  <si>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</si>
  <si>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</si>
  <si>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</si>
  <si>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</si>
  <si>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</si>
  <si>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</si>
  <si>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</si>
  <si>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</si>
  <si>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</si>
  <si>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</si>
  <si>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</si>
  <si>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</si>
  <si>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</si>
  <si>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</si>
  <si>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</si>
  <si>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</si>
  <si>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</si>
  <si>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</si>
  <si>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</si>
  <si>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</si>
  <si>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</si>
  <si>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</si>
  <si>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</si>
  <si>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</si>
  <si>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</si>
  <si>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</si>
  <si>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</si>
  <si>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</si>
  <si>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</si>
  <si>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</si>
  <si>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</si>
  <si>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</si>
  <si>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</si>
  <si>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</si>
  <si>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</si>
  <si>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</si>
  <si>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</si>
  <si>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</si>
  <si>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</si>
  <si>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</si>
  <si>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</si>
  <si>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</si>
  <si>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</si>
  <si>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</si>
  <si>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</si>
  <si>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</si>
  <si>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</si>
  <si>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</si>
  <si>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</si>
  <si>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</si>
  <si>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</si>
  <si>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</si>
  <si>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</si>
  <si>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</si>
  <si>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</si>
  <si>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</si>
  <si>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</si>
  <si>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</si>
  <si>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</si>
  <si>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</si>
  <si>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</si>
  <si>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</si>
  <si>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</si>
  <si>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</si>
  <si>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</si>
  <si>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</si>
  <si>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</si>
  <si>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</si>
  <si>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</si>
  <si>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</si>
  <si>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</si>
  <si>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</si>
  <si>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</si>
  <si>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</si>
  <si>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</si>
  <si>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</si>
  <si>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</si>
  <si>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</si>
  <si>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</si>
  <si>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</si>
  <si>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</si>
  <si>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</si>
  <si>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</si>
  <si>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</si>
  <si>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</si>
  <si>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</si>
  <si>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</si>
  <si>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</si>
  <si>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</si>
  <si>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</si>
  <si>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</si>
  <si>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</si>
  <si>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</si>
  <si>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</si>
  <si>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</si>
  <si>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</si>
  <si>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</si>
  <si>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</si>
  <si>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</si>
  <si>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</si>
  <si>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</si>
  <si>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</si>
  <si>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</si>
  <si>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</si>
  <si>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</si>
  <si>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</si>
  <si>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</si>
  <si>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</si>
  <si>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</si>
  <si>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</si>
  <si>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</si>
  <si>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</si>
  <si>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</si>
  <si>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</si>
  <si>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</si>
  <si>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</si>
  <si>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</si>
  <si>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</si>
  <si>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</si>
  <si>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</si>
  <si>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</si>
  <si>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</si>
  <si>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</si>
  <si>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</si>
  <si>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</si>
  <si>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</si>
  <si>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</si>
  <si>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</si>
  <si>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</si>
  <si>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</si>
  <si>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</si>
  <si>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</si>
  <si>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</si>
  <si>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</si>
  <si>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</si>
  <si>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</si>
  <si>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</si>
  <si>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</si>
  <si>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</si>
  <si>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</si>
  <si>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</si>
  <si>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</si>
  <si>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</si>
  <si>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</si>
  <si>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</si>
  <si>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</si>
  <si>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</si>
  <si>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</si>
  <si>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</si>
  <si>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</si>
  <si>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</si>
  <si>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</si>
  <si>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</si>
  <si>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</si>
  <si>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</si>
  <si>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</si>
  <si>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</si>
  <si>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</si>
  <si>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</si>
  <si>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</si>
  <si>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</si>
  <si>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</si>
  <si>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</si>
  <si>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</si>
  <si>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</si>
  <si>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</si>
  <si>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</si>
  <si>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</si>
  <si>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</si>
  <si>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</si>
  <si>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</si>
  <si>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</si>
  <si>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</si>
  <si>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</si>
  <si>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</si>
  <si>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</si>
  <si>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</si>
  <si>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</si>
  <si>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</si>
  <si>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</si>
  <si>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</si>
  <si>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</si>
  <si>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</si>
  <si>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</si>
  <si>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</si>
  <si>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</si>
  <si>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</si>
  <si>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</si>
  <si>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</si>
  <si>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</si>
  <si>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</si>
  <si>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</si>
  <si>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</si>
  <si>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</si>
  <si>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</si>
  <si>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</si>
  <si>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</si>
  <si>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</si>
  <si>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</si>
  <si>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</si>
  <si>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</si>
  <si>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</si>
  <si>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</si>
  <si>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</si>
  <si>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</si>
  <si>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</si>
  <si>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</si>
  <si>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</si>
  <si>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</si>
  <si>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</si>
  <si>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</si>
  <si>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</si>
  <si>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</si>
  <si>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</si>
  <si>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</si>
  <si>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</si>
  <si>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</si>
  <si>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</si>
  <si>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</si>
  <si>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</si>
  <si>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</si>
  <si>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</si>
  <si>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</si>
  <si>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</si>
  <si>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</si>
  <si>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</si>
  <si>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</si>
  <si>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</si>
  <si>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</si>
  <si>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</si>
  <si>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</si>
  <si>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</si>
  <si>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</si>
  <si>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</si>
  <si>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</si>
  <si>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</si>
  <si>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</si>
  <si>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</si>
  <si>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</si>
  <si>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</si>
  <si>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</si>
  <si>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</si>
  <si>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</si>
  <si>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</si>
  <si>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</si>
  <si>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</si>
  <si>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</si>
  <si>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</si>
  <si>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</si>
  <si>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</si>
  <si>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</si>
  <si>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</si>
  <si>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</si>
  <si>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</si>
  <si>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</si>
  <si>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</si>
  <si>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</si>
  <si>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</si>
  <si>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</si>
  <si>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</si>
  <si>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</si>
  <si>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</si>
  <si>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</si>
  <si>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</si>
  <si>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</si>
  <si>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</si>
  <si>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</si>
  <si>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</si>
  <si>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</si>
  <si>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</si>
  <si>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</si>
  <si>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</si>
  <si>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</si>
  <si>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</si>
  <si>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</si>
  <si>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</si>
  <si>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</si>
  <si>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</si>
  <si>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</si>
  <si>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</si>
  <si>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</si>
  <si>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</si>
  <si>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</si>
  <si>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</si>
  <si>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</si>
  <si>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</si>
  <si>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</si>
  <si>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</si>
  <si>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</si>
  <si>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</si>
  <si>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</si>
  <si>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</si>
  <si>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</si>
  <si>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</si>
  <si>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</si>
  <si>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</si>
  <si>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</si>
  <si>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</si>
  <si>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</si>
  <si>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</si>
  <si>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</si>
  <si>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</si>
  <si>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</si>
  <si>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</si>
  <si>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</si>
  <si>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</si>
  <si>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</si>
  <si>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</si>
  <si>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</si>
  <si>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</si>
  <si>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</si>
  <si>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</si>
  <si>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</si>
  <si>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</si>
  <si>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</si>
  <si>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</si>
  <si>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</si>
  <si>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</si>
  <si>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</si>
  <si>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</si>
  <si>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</si>
  <si>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</si>
  <si>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</si>
  <si>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</si>
  <si>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</si>
  <si>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</si>
  <si>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</si>
  <si>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</si>
  <si>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</si>
  <si>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</si>
  <si>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</si>
  <si>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</si>
  <si>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</si>
  <si>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</si>
  <si>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</si>
  <si>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</si>
  <si>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</si>
  <si>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</si>
  <si>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</si>
  <si>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</si>
  <si>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</si>
  <si>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</si>
  <si>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</si>
  <si>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</si>
  <si>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</si>
  <si>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</si>
  <si>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</si>
  <si>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</si>
  <si>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</si>
  <si>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</si>
  <si>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</si>
  <si>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</si>
  <si>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</si>
  <si>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</si>
  <si>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</si>
  <si>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</si>
  <si>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</si>
  <si>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</si>
  <si>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</si>
  <si>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</si>
  <si>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</si>
  <si>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</si>
  <si>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</si>
  <si>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</si>
  <si>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</si>
  <si>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</si>
  <si>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</si>
  <si>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</si>
  <si>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</si>
  <si>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</si>
  <si>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</si>
  <si>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</si>
  <si>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</si>
  <si>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</si>
  <si>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</si>
  <si>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</si>
  <si>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</si>
  <si>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</si>
  <si>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</si>
  <si>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</si>
  <si>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</si>
  <si>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</si>
  <si>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</si>
  <si>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</si>
  <si>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</si>
  <si>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</si>
  <si>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</si>
  <si>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</si>
  <si>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</si>
  <si>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</si>
  <si>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</si>
  <si>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</si>
  <si>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</si>
  <si>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</si>
  <si>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</si>
  <si>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</si>
  <si>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</si>
  <si>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</si>
  <si>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</si>
  <si>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</si>
  <si>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</si>
  <si>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</si>
  <si>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</si>
  <si>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</si>
  <si>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</si>
  <si>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</si>
  <si>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</si>
  <si>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</si>
  <si>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</si>
  <si>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</si>
  <si>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</si>
  <si>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</si>
  <si>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</si>
  <si>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</si>
  <si>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</si>
  <si>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</si>
  <si>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</si>
  <si>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</si>
  <si>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</si>
  <si>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</si>
  <si>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</si>
  <si>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</si>
  <si>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</si>
  <si>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</si>
  <si>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</si>
  <si>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</si>
  <si>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</si>
  <si>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</si>
  <si>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</si>
  <si>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</si>
  <si>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</si>
  <si>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</si>
  <si>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</si>
  <si>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</si>
  <si>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</si>
  <si>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</si>
  <si>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</si>
  <si>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</si>
  <si>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</si>
  <si>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</si>
  <si>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</si>
  <si>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</si>
  <si>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</si>
  <si>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</si>
  <si>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</si>
  <si>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</si>
  <si>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</si>
  <si>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</si>
  <si>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</si>
  <si>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</si>
  <si>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崔锴</t>
  </si>
  <si>
    <t>房地产抵押价值</t>
  </si>
  <si>
    <t>北京市</t>
  </si>
  <si>
    <r>
      <rPr>
        <sz val="10"/>
        <color theme="9" tint="-0.249977111117893"/>
        <rFont val="宋体"/>
        <family val="3"/>
        <charset val="134"/>
      </rPr>
      <t>昌平区百葛路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phoneticPr fontId="6" type="noConversion"/>
  </si>
  <si>
    <t>企业</t>
  </si>
  <si>
    <t>北京市佳贝林科技有限公司</t>
    <phoneticPr fontId="6" type="noConversion"/>
  </si>
  <si>
    <t>否</t>
  </si>
  <si>
    <t>复印件</t>
  </si>
  <si>
    <t>办公项目</t>
  </si>
  <si>
    <t>现房</t>
  </si>
  <si>
    <t>通路</t>
  </si>
  <si>
    <t>通电</t>
  </si>
  <si>
    <t>通讯</t>
  </si>
  <si>
    <t>通上水</t>
  </si>
  <si>
    <t>通下水</t>
  </si>
  <si>
    <t>平整</t>
  </si>
  <si>
    <t>公共服务</t>
  </si>
  <si>
    <t>不临65条商业街</t>
  </si>
  <si>
    <t>自定义容积率</t>
  </si>
  <si>
    <t>与级别开发程度一致</t>
  </si>
  <si>
    <t>中心城区以外</t>
  </si>
  <si>
    <t>较好</t>
  </si>
  <si>
    <t>一般</t>
  </si>
  <si>
    <t>好</t>
  </si>
  <si>
    <t>是</t>
  </si>
  <si>
    <t>地上</t>
  </si>
  <si>
    <t>地下</t>
  </si>
  <si>
    <t>办公独栋</t>
  </si>
  <si>
    <t>办公独栋</t>
    <phoneticPr fontId="7" type="noConversion"/>
  </si>
  <si>
    <t>成新度</t>
  </si>
  <si>
    <t>建成</t>
    <phoneticPr fontId="3" type="noConversion"/>
  </si>
  <si>
    <t>直线</t>
    <phoneticPr fontId="3" type="noConversion"/>
  </si>
  <si>
    <t>地上</t>
    <phoneticPr fontId="3" type="noConversion"/>
  </si>
  <si>
    <t>地下</t>
    <phoneticPr fontId="3" type="noConversion"/>
  </si>
  <si>
    <t>面积</t>
    <phoneticPr fontId="3" type="noConversion"/>
  </si>
  <si>
    <t>租金</t>
    <phoneticPr fontId="3" type="noConversion"/>
  </si>
  <si>
    <t>收益法</t>
  </si>
  <si>
    <t>较好</t>
    <phoneticPr fontId="40" type="noConversion"/>
  </si>
  <si>
    <t>一般</t>
    <phoneticPr fontId="24" type="noConversion"/>
  </si>
  <si>
    <t>一般</t>
    <phoneticPr fontId="40" type="noConversion"/>
  </si>
  <si>
    <t>七通</t>
  </si>
  <si>
    <t>七通</t>
    <phoneticPr fontId="24" type="noConversion"/>
  </si>
  <si>
    <t>较好</t>
    <phoneticPr fontId="40" type="noConversion"/>
  </si>
  <si>
    <t>未包含在土地购买价格中</t>
  </si>
  <si>
    <t>已包含在土地取得成本中</t>
  </si>
  <si>
    <t>押一</t>
  </si>
  <si>
    <t>钢混</t>
  </si>
  <si>
    <t>非生产用房</t>
  </si>
  <si>
    <t>总价</t>
  </si>
  <si>
    <t xml:space="preserve">  </t>
    <phoneticPr fontId="8" type="noConversion"/>
  </si>
  <si>
    <t>收益比率</t>
  </si>
  <si>
    <t>需求</t>
    <phoneticPr fontId="8" type="noConversion"/>
  </si>
  <si>
    <r>
      <t>800</t>
    </r>
    <r>
      <rPr>
        <sz val="10"/>
        <color indexed="8"/>
        <rFont val="宋体"/>
        <family val="3"/>
        <charset val="134"/>
      </rPr>
      <t>万</t>
    </r>
    <phoneticPr fontId="8" type="noConversion"/>
  </si>
  <si>
    <r>
      <rPr>
        <sz val="10"/>
        <color indexed="8"/>
        <rFont val="宋体"/>
        <family val="3"/>
        <charset val="134"/>
      </rPr>
      <t>抵押率</t>
    </r>
    <r>
      <rPr>
        <sz val="10"/>
        <color indexed="8"/>
        <rFont val="Arial"/>
        <family val="2"/>
      </rPr>
      <t>0.45</t>
    </r>
    <phoneticPr fontId="8" type="noConversion"/>
  </si>
  <si>
    <t>报价</t>
  </si>
  <si>
    <t>30-40</t>
  </si>
  <si>
    <t>普通装修</t>
  </si>
  <si>
    <t>五通</t>
  </si>
  <si>
    <t>企业墅</t>
    <phoneticPr fontId="3" type="noConversion"/>
  </si>
  <si>
    <t>昌平区合营路8号院</t>
    <phoneticPr fontId="3" type="noConversion"/>
  </si>
  <si>
    <t>昌平区合营路8号院</t>
    <phoneticPr fontId="3" type="noConversion"/>
  </si>
  <si>
    <t>正常</t>
  </si>
  <si>
    <t>公服</t>
    <phoneticPr fontId="31" type="noConversion"/>
  </si>
  <si>
    <t>工业</t>
    <phoneticPr fontId="31" type="noConversion"/>
  </si>
  <si>
    <t>独栋</t>
  </si>
  <si>
    <t>独栋</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</si>
  <si>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</si>
  <si>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</si>
  <si>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</si>
  <si>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</si>
  <si>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</si>
  <si>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t>
    <phoneticPr fontId="31" type="noConversion"/>
  </si>
  <si>
    <t>普通</t>
  </si>
  <si>
    <t>普通</t>
    <phoneticPr fontId="31" type="noConversion"/>
  </si>
  <si>
    <t>30-40</t>
    <phoneticPr fontId="31" type="noConversion"/>
  </si>
  <si>
    <t>报价</t>
    <phoneticPr fontId="31" type="noConversion"/>
  </si>
  <si>
    <t>售价</t>
  </si>
  <si>
    <t>地下占比</t>
    <phoneticPr fontId="31" type="noConversion"/>
  </si>
  <si>
    <t>比较法-车位</t>
    <phoneticPr fontId="16" type="noConversion"/>
  </si>
  <si>
    <t>比较法</t>
  </si>
  <si>
    <t>比较法</t>
    <phoneticPr fontId="16" type="noConversion"/>
  </si>
  <si>
    <t>项目模式</t>
  </si>
  <si>
    <t>楼号</t>
    <phoneticPr fontId="134" type="noConversion"/>
  </si>
  <si>
    <t>楼层</t>
    <phoneticPr fontId="134" type="noConversion"/>
  </si>
  <si>
    <t>-1至4</t>
    <phoneticPr fontId="134" type="noConversion"/>
  </si>
  <si>
    <t>建筑面积</t>
    <phoneticPr fontId="134" type="noConversion"/>
  </si>
  <si>
    <t>研发</t>
    <phoneticPr fontId="134" type="noConversion"/>
  </si>
  <si>
    <t>-2至3层</t>
    <phoneticPr fontId="134" type="noConversion"/>
  </si>
  <si>
    <t>办公、仓储、设备</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</si>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</sst>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47" fillId="6" borderId="14" xfId="0" applyNumberFormat="1" applyFont="1" applyFill="1" applyBorder="1" applyAlignment="1">
      <alignment vertical="center" wrapText="1"/>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24" xfId="0" applyFont="1" applyBorder="1" applyAlignment="1" applyProtection="1">
      <alignment vertical="center" wrapTex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77" fillId="7" borderId="0" xfId="0" applyFont="1" applyFill="1" applyProtection="1">
      <alignment vertical="center"/>
      <protection locked="0"/>
    </xf>
    <xf numFmtId="2" fontId="47" fillId="7"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269" fillId="0" borderId="0" xfId="0" applyFont="1" applyAlignment="1">
      <alignment horizontal="left" vertical="center"/>
    </xf>
    <xf numFmtId="49" fontId="269" fillId="0" borderId="0" xfId="0" applyNumberFormat="1" applyFon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504419</xdr:colOff>
      <xdr:row>13</xdr:row>
      <xdr:rowOff>123531</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247619" cy="2352381"/>
        </a:xfrm>
        <a:prstGeom prst="rect">
          <a:avLst/>
        </a:prstGeom>
      </xdr:spPr>
    </xdr:pic>
    <xdr:clientData/>
  </xdr:twoCellAnchor>
  <xdr:twoCellAnchor editAs="oneCell">
    <xdr:from>
      <xdr:col>6</xdr:col>
      <xdr:colOff>0</xdr:colOff>
      <xdr:row>0</xdr:row>
      <xdr:rowOff>0</xdr:rowOff>
    </xdr:from>
    <xdr:to>
      <xdr:col>11</xdr:col>
      <xdr:colOff>494809</xdr:colOff>
      <xdr:row>13</xdr:row>
      <xdr:rowOff>18769</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4114800" y="0"/>
          <a:ext cx="3923809" cy="2247619"/>
        </a:xfrm>
        <a:prstGeom prst="rect">
          <a:avLst/>
        </a:prstGeom>
      </xdr:spPr>
    </xdr:pic>
    <xdr:clientData/>
  </xdr:twoCellAnchor>
  <xdr:twoCellAnchor editAs="oneCell">
    <xdr:from>
      <xdr:col>12</xdr:col>
      <xdr:colOff>0</xdr:colOff>
      <xdr:row>0</xdr:row>
      <xdr:rowOff>0</xdr:rowOff>
    </xdr:from>
    <xdr:to>
      <xdr:col>16</xdr:col>
      <xdr:colOff>437752</xdr:colOff>
      <xdr:row>25</xdr:row>
      <xdr:rowOff>123274</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8229600" y="0"/>
          <a:ext cx="3180952" cy="4409524"/>
        </a:xfrm>
        <a:prstGeom prst="rect">
          <a:avLst/>
        </a:prstGeom>
      </xdr:spPr>
    </xdr:pic>
    <xdr:clientData/>
  </xdr:twoCellAnchor>
  <xdr:twoCellAnchor editAs="oneCell">
    <xdr:from>
      <xdr:col>0</xdr:col>
      <xdr:colOff>0</xdr:colOff>
      <xdr:row>15</xdr:row>
      <xdr:rowOff>0</xdr:rowOff>
    </xdr:from>
    <xdr:to>
      <xdr:col>11</xdr:col>
      <xdr:colOff>322867</xdr:colOff>
      <xdr:row>55</xdr:row>
      <xdr:rowOff>122952</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2571750"/>
          <a:ext cx="7866667" cy="6980952"/>
        </a:xfrm>
        <a:prstGeom prst="rect">
          <a:avLst/>
        </a:prstGeom>
      </xdr:spPr>
    </xdr:pic>
    <xdr:clientData/>
  </xdr:twoCellAnchor>
  <xdr:twoCellAnchor editAs="oneCell">
    <xdr:from>
      <xdr:col>11</xdr:col>
      <xdr:colOff>600075</xdr:colOff>
      <xdr:row>26</xdr:row>
      <xdr:rowOff>18457</xdr:rowOff>
    </xdr:from>
    <xdr:to>
      <xdr:col>18</xdr:col>
      <xdr:colOff>609600</xdr:colOff>
      <xdr:row>47</xdr:row>
      <xdr:rowOff>142181</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8143875" y="4476157"/>
          <a:ext cx="4810125" cy="3724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北京市昌平区百葛路9号院6号楼房地产抵押价值预评估</v>
      </c>
    </row>
    <row r="3" spans="1:2">
      <c r="A3" s="1119" t="s">
        <v>523</v>
      </c>
      <c r="B3" s="1120">
        <f>'预评函-封皮'!B40</f>
        <v>0</v>
      </c>
    </row>
    <row r="4" spans="1:2">
      <c r="A4" s="1119" t="s">
        <v>524</v>
      </c>
      <c r="B4" s="1120" t="str">
        <f ca="1">'预评函-封皮'!B46</f>
        <v>郑燚（注册号：1120070131)、崔锴（注册号：1120100036)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受贵公司委托，我公司对北京市昌平区百葛路9号院6号楼房地产抵押价值进行了预评估。</v>
      </c>
    </row>
    <row r="7" spans="1:2">
      <c r="A7" s="1119" t="s">
        <v>566</v>
      </c>
      <c r="B7" s="1120" t="str">
        <f>'预评函-1'!A7</f>
        <v>估价对象为北京市昌平区百葛路9号院6号楼房地产，为北京市佳贝林科技有限公司所有。根据《国有土地使用证》[]，估价对象（分摊）出让国有建设用地使用权面积为0平方米，建筑面积为9096.41平方米。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百葛路9号院6号楼房地产,属北京市佳贝林科技有限公司开发建设的办公项目，该项目尚在开发建设中。根据《国有土地使用证》[]，估价对象（分摊）出让国有建设用地使用权面积为0平方米，规划建筑面积为9096.41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百葛路9号院6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2024年3月4日（评估专业人员实地查勘之日）</v>
      </c>
    </row>
    <row r="13" spans="1:2">
      <c r="A13" s="1119" t="s">
        <v>529</v>
      </c>
      <c r="B13" s="1120" t="str">
        <f>'预评函-1'!A18</f>
        <v>本次估价的“房地产价值”是指在正常市场情况下，在价值时点2024年3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11999</v>
      </c>
    </row>
    <row r="21" spans="1:2">
      <c r="A21" s="1119" t="s">
        <v>537</v>
      </c>
      <c r="B21" s="1120">
        <f ca="1">'预评函-2'!D7</f>
        <v>13191</v>
      </c>
    </row>
    <row r="22" spans="1:2">
      <c r="A22" s="1119" t="s">
        <v>538</v>
      </c>
      <c r="B22" s="1120" t="str">
        <f ca="1">'预评函-2'!D6</f>
        <v>壹亿壹仟玖佰玖拾玖万元整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11999</v>
      </c>
    </row>
    <row r="31" spans="1:2">
      <c r="A31" s="1119" t="s">
        <v>576</v>
      </c>
      <c r="B31" s="1120">
        <f ca="1">'预评函-2'!D15</f>
        <v>13191</v>
      </c>
    </row>
    <row r="32" spans="1:2">
      <c r="A32" s="1119" t="s">
        <v>543</v>
      </c>
      <c r="B32" s="1120" t="str">
        <f ca="1">'预评函-2'!D14</f>
        <v>壹亿壹仟玖佰玖拾玖万元整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北京市昌平区百葛路9号院6号楼房地产</v>
      </c>
    </row>
    <row r="42" spans="1:2">
      <c r="A42" s="1119" t="s">
        <v>590</v>
      </c>
      <c r="B42" s="1120" t="str">
        <f>'预评函-3'!B2</f>
        <v>建筑面积</v>
      </c>
    </row>
    <row r="43" spans="1:2">
      <c r="A43" s="1119" t="s">
        <v>591</v>
      </c>
      <c r="B43" s="1120">
        <f>'预评函-3'!B4</f>
        <v>9096.41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5136</v>
      </c>
    </row>
    <row r="48" spans="1:2">
      <c r="A48" s="1119" t="s">
        <v>549</v>
      </c>
      <c r="B48" s="1120">
        <f ca="1">'预评函-3'!E4</f>
        <v>5646</v>
      </c>
    </row>
    <row r="49" spans="1:2">
      <c r="A49" s="1119" t="s">
        <v>550</v>
      </c>
      <c r="B49" s="1120" t="str">
        <f ca="1">'预评函-3'!D5</f>
        <v>伍仟壹佰叁拾陆万元整</v>
      </c>
    </row>
    <row r="50" spans="1:2">
      <c r="A50" s="1119" t="s">
        <v>574</v>
      </c>
      <c r="B50" s="1120" t="str">
        <f>'预评函-3'!F2</f>
        <v>在建建筑物价值</v>
      </c>
    </row>
    <row r="51" spans="1:2">
      <c r="A51" s="1119" t="s">
        <v>551</v>
      </c>
      <c r="B51" s="1120">
        <f ca="1">'预评函-3'!F4</f>
        <v>6863</v>
      </c>
    </row>
    <row r="52" spans="1:2">
      <c r="A52" s="1119" t="s">
        <v>552</v>
      </c>
      <c r="B52" s="1120">
        <f ca="1">'预评函-3'!G4</f>
        <v>7545</v>
      </c>
    </row>
    <row r="53" spans="1:2">
      <c r="A53" s="1119" t="s">
        <v>580</v>
      </c>
      <c r="B53" s="1120" t="str">
        <f ca="1">'预评函-3'!F5</f>
        <v>陆仟捌佰陆拾叁万元整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5" thickBot="1">
      <c r="A73" s="1122" t="s">
        <v>565</v>
      </c>
      <c r="B73" s="1123">
        <f ca="1">'预评函-4'!B5</f>
        <v>1120100036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2567</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2568</v>
      </c>
      <c r="I10" s="1445" t="s">
        <v>3334</v>
      </c>
    </row>
    <row r="11" spans="1:23">
      <c r="A11" s="1441" t="s">
        <v>1034</v>
      </c>
      <c r="B11" s="1441" t="s">
        <v>1035</v>
      </c>
      <c r="C11" s="1442" t="s">
        <v>322</v>
      </c>
      <c r="F11" s="1443" t="s">
        <v>13</v>
      </c>
      <c r="I11" s="1445" t="s">
        <v>3335</v>
      </c>
    </row>
    <row r="12" spans="1:23">
      <c r="A12" s="1441" t="s">
        <v>1036</v>
      </c>
      <c r="B12" s="1444" t="s">
        <v>3448</v>
      </c>
      <c r="C12" s="1442" t="s">
        <v>323</v>
      </c>
      <c r="I12" s="1445" t="s">
        <v>3336</v>
      </c>
    </row>
    <row r="13" spans="1:23">
      <c r="A13" s="1441" t="s">
        <v>1037</v>
      </c>
      <c r="B13" s="1441" t="s">
        <v>1038</v>
      </c>
      <c r="C13" s="1442" t="s">
        <v>324</v>
      </c>
      <c r="I13" s="1445" t="s">
        <v>3337</v>
      </c>
    </row>
    <row r="14" spans="1:23">
      <c r="A14" s="1441" t="s">
        <v>1039</v>
      </c>
      <c r="B14" s="1441" t="s">
        <v>1040</v>
      </c>
      <c r="C14" s="1443" t="s">
        <v>13</v>
      </c>
      <c r="I14" s="1445" t="s">
        <v>3338</v>
      </c>
    </row>
    <row r="15" spans="1:23">
      <c r="A15" s="1441" t="s">
        <v>1041</v>
      </c>
      <c r="B15" s="1441" t="s">
        <v>1042</v>
      </c>
      <c r="C15" s="1442"/>
      <c r="I15" s="1445" t="s">
        <v>3339</v>
      </c>
    </row>
    <row r="16" spans="1:23">
      <c r="A16" s="1441" t="s">
        <v>1043</v>
      </c>
      <c r="B16" s="1441" t="s">
        <v>312</v>
      </c>
      <c r="C16" s="1442"/>
    </row>
    <row r="17" spans="1:3">
      <c r="A17" s="1441" t="s">
        <v>1044</v>
      </c>
      <c r="B17" s="1441" t="s">
        <v>2279</v>
      </c>
      <c r="C17" s="1442"/>
    </row>
    <row r="18" spans="1:3">
      <c r="A18" s="1441" t="s">
        <v>1045</v>
      </c>
      <c r="B18" s="1441" t="s">
        <v>2423</v>
      </c>
      <c r="C18" s="1442"/>
    </row>
    <row r="19" spans="1:3">
      <c r="A19" s="1441" t="s">
        <v>1046</v>
      </c>
      <c r="B19" s="1441" t="s">
        <v>3450</v>
      </c>
      <c r="C19" s="1442"/>
    </row>
    <row r="20" spans="1:3">
      <c r="A20" s="1441" t="s">
        <v>1047</v>
      </c>
      <c r="B20" s="1441" t="s">
        <v>313</v>
      </c>
      <c r="C20" s="1442"/>
    </row>
    <row r="21" spans="1:3">
      <c r="A21" s="1441" t="s">
        <v>1048</v>
      </c>
      <c r="B21" s="1441" t="s">
        <v>313</v>
      </c>
      <c r="C21" s="1442"/>
    </row>
    <row r="22" spans="1:3">
      <c r="A22" s="1441" t="s">
        <v>1049</v>
      </c>
      <c r="B22" s="1441" t="s">
        <v>313</v>
      </c>
      <c r="C22" s="1442"/>
    </row>
    <row r="23" spans="1:3">
      <c r="A23" s="1441" t="s">
        <v>1050</v>
      </c>
      <c r="B23" s="1441" t="s">
        <v>313</v>
      </c>
      <c r="C23" s="1442"/>
    </row>
    <row r="24" spans="1:3">
      <c r="A24" s="1441" t="s">
        <v>1051</v>
      </c>
      <c r="B24" s="1441" t="s">
        <v>313</v>
      </c>
      <c r="C24" s="1442"/>
    </row>
    <row r="25" spans="1:3">
      <c r="A25" s="1441" t="s">
        <v>1052</v>
      </c>
      <c r="B25" s="1441" t="s">
        <v>313</v>
      </c>
      <c r="C25" s="1442"/>
    </row>
    <row r="26" spans="1:3">
      <c r="A26" s="1441" t="s">
        <v>1053</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百葛路9号院6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2490</v>
      </c>
      <c r="B1" s="2752"/>
      <c r="C1" s="2752"/>
      <c r="D1" s="2752"/>
      <c r="E1" s="2752"/>
      <c r="F1" s="2753"/>
      <c r="I1" s="3130" t="s">
        <v>2583</v>
      </c>
      <c r="J1" s="2778"/>
      <c r="K1" s="2778"/>
      <c r="L1" s="2778"/>
      <c r="M1" s="2778"/>
      <c r="N1" s="2963"/>
      <c r="O1" s="2963"/>
      <c r="P1" s="2963"/>
      <c r="Q1" s="2963"/>
      <c r="R1" s="2963"/>
    </row>
    <row r="2" spans="1:18">
      <c r="A2" s="2755"/>
      <c r="B2" s="2756"/>
      <c r="C2" s="2756"/>
      <c r="D2" s="2756"/>
      <c r="E2" s="2756"/>
      <c r="F2" s="2757"/>
      <c r="I2" s="3202" t="s">
        <v>2570</v>
      </c>
      <c r="J2" s="3202"/>
      <c r="K2" s="3202"/>
      <c r="L2" s="3202"/>
      <c r="M2" s="3202"/>
      <c r="N2" s="3202"/>
      <c r="O2" s="3202"/>
      <c r="P2" s="3202"/>
      <c r="Q2" s="3202"/>
      <c r="R2" s="3202"/>
    </row>
    <row r="3" spans="1:18">
      <c r="A3" s="2758" t="s">
        <v>2491</v>
      </c>
      <c r="B3" s="2759">
        <f>项目基本情况!D3</f>
        <v>45355</v>
      </c>
      <c r="C3" s="2761"/>
      <c r="D3" s="2761"/>
      <c r="E3" s="2761"/>
      <c r="F3" s="2757"/>
      <c r="I3" s="2773"/>
      <c r="J3" s="2773" t="s">
        <v>2574</v>
      </c>
      <c r="K3" s="2773" t="s">
        <v>2575</v>
      </c>
      <c r="L3" s="2773" t="s">
        <v>2576</v>
      </c>
      <c r="M3" s="2773" t="s">
        <v>2577</v>
      </c>
      <c r="N3" s="3131" t="s">
        <v>2578</v>
      </c>
      <c r="O3" s="3131" t="s">
        <v>2579</v>
      </c>
      <c r="P3" s="3131" t="s">
        <v>2580</v>
      </c>
      <c r="Q3" s="3131" t="s">
        <v>2581</v>
      </c>
      <c r="R3" s="3131" t="s">
        <v>2582</v>
      </c>
    </row>
    <row r="4" spans="1:18">
      <c r="A4" s="2758" t="s">
        <v>2492</v>
      </c>
      <c r="B4" s="2761" t="s">
        <v>2493</v>
      </c>
      <c r="C4" s="2761" t="s">
        <v>2494</v>
      </c>
      <c r="D4" s="2761" t="s">
        <v>2495</v>
      </c>
      <c r="E4" s="2761" t="s">
        <v>2496</v>
      </c>
      <c r="F4" s="2757"/>
      <c r="I4" s="2773" t="s">
        <v>2571</v>
      </c>
      <c r="J4" s="2773">
        <v>80</v>
      </c>
      <c r="K4" s="2773">
        <v>70</v>
      </c>
      <c r="L4" s="2773">
        <v>20</v>
      </c>
      <c r="M4" s="2773">
        <v>30</v>
      </c>
      <c r="N4" s="2761">
        <v>45</v>
      </c>
      <c r="O4" s="2761">
        <v>60</v>
      </c>
      <c r="P4" s="2761">
        <v>50</v>
      </c>
      <c r="Q4" s="2761">
        <v>20</v>
      </c>
      <c r="R4" s="2761">
        <v>375</v>
      </c>
    </row>
    <row r="5" spans="1:18">
      <c r="A5" s="2762">
        <v>40</v>
      </c>
      <c r="B5" s="2759">
        <v>46375</v>
      </c>
      <c r="C5" s="2761">
        <f>ROUNDDOWN(MIN((B5-B3)/365,A5),2)</f>
        <v>2.79</v>
      </c>
      <c r="D5" s="2763">
        <f>IF(ISERROR(ROUND(POWER(1+E5,A5-C5)*(POWER(1+E5,C5)-1)/(POWER(1+E5,A5)-1),3)),0,ROUND(POWER(1+E5,A5-C5)*(POWER(1+E5,C5)-1)/(POWER(1+E5,A5)-1),4))</f>
        <v>0.13089999999999999</v>
      </c>
      <c r="E5" s="2764">
        <v>0.04</v>
      </c>
      <c r="F5" s="2757"/>
      <c r="I5" s="2773" t="s">
        <v>2572</v>
      </c>
      <c r="J5" s="2773">
        <v>70</v>
      </c>
      <c r="K5" s="2773">
        <v>60</v>
      </c>
      <c r="L5" s="2773">
        <v>15</v>
      </c>
      <c r="M5" s="2773">
        <v>25</v>
      </c>
      <c r="N5" s="2761">
        <v>40</v>
      </c>
      <c r="O5" s="2761">
        <v>50</v>
      </c>
      <c r="P5" s="2761">
        <v>40</v>
      </c>
      <c r="Q5" s="2761">
        <v>15</v>
      </c>
      <c r="R5" s="2761">
        <v>315</v>
      </c>
    </row>
    <row r="6" spans="1:18">
      <c r="A6" s="2762">
        <v>50</v>
      </c>
      <c r="B6" s="2759">
        <v>50028</v>
      </c>
      <c r="C6" s="2761">
        <f>ROUNDDOWN(MIN((B6-B3)/365,A6),2)</f>
        <v>12.8</v>
      </c>
      <c r="D6" s="2763">
        <f>IF(ISERROR(ROUND(POWER(1+E6,A6-C6)*(POWER(1+E6,C6)-1)/(POWER(1+E6,A6)-1),3)),0,ROUND(POWER(1+E6,A6-C6)*(POWER(1+E6,C6)-1)/(POWER(1+E6,A6)-1),4))</f>
        <v>0.45929999999999999</v>
      </c>
      <c r="E6" s="2764">
        <v>0.04</v>
      </c>
      <c r="F6" s="2757"/>
      <c r="I6" s="2773" t="s">
        <v>2573</v>
      </c>
      <c r="J6" s="2773">
        <v>60</v>
      </c>
      <c r="K6" s="2773">
        <v>50</v>
      </c>
      <c r="L6" s="2773">
        <v>10</v>
      </c>
      <c r="M6" s="2773">
        <v>20</v>
      </c>
      <c r="N6" s="2761">
        <v>35</v>
      </c>
      <c r="O6" s="2761">
        <v>40</v>
      </c>
      <c r="P6" s="2761">
        <v>30</v>
      </c>
      <c r="Q6" s="2761">
        <v>10</v>
      </c>
      <c r="R6" s="2761">
        <v>255</v>
      </c>
    </row>
    <row r="7" spans="1:18">
      <c r="A7" s="2762">
        <v>70</v>
      </c>
      <c r="B7" s="2759">
        <v>57333</v>
      </c>
      <c r="C7" s="2761">
        <f>ROUNDDOWN(MIN((B7-B3)/365,A7),2)</f>
        <v>32.81</v>
      </c>
      <c r="D7" s="2763">
        <f>IF(ISERROR(ROUND(POWER(1+E7,A7-C7)*(POWER(1+E7,C7)-1)/(POWER(1+E7,A7)-1),3)),0,ROUND(POWER(1+E7,A7-C7)*(POWER(1+E7,C7)-1)/(POWER(1+E7,A7)-1),4))</f>
        <v>0.77349999999999997</v>
      </c>
      <c r="E7" s="2764">
        <v>0.04</v>
      </c>
      <c r="F7" s="2757"/>
    </row>
    <row r="8" spans="1:18">
      <c r="A8" s="2755"/>
      <c r="B8" s="2756"/>
      <c r="C8" s="2756"/>
      <c r="D8" s="2756"/>
      <c r="E8" s="2756"/>
      <c r="F8" s="2757"/>
    </row>
    <row r="9" spans="1:18">
      <c r="A9" s="2758" t="s">
        <v>2497</v>
      </c>
      <c r="B9" s="2761"/>
      <c r="C9" s="2761"/>
      <c r="D9" s="2761"/>
      <c r="E9" s="2761"/>
      <c r="F9" s="2765"/>
    </row>
    <row r="10" spans="1:18">
      <c r="A10" s="2758" t="s">
        <v>2498</v>
      </c>
      <c r="B10" s="2761"/>
      <c r="C10" s="2761"/>
      <c r="D10" s="2761" t="s">
        <v>2496</v>
      </c>
      <c r="E10" s="2761"/>
      <c r="F10" s="2765" t="s">
        <v>2495</v>
      </c>
    </row>
    <row r="11" spans="1:18">
      <c r="A11" s="2758" t="s">
        <v>2499</v>
      </c>
      <c r="B11" s="2766">
        <v>70</v>
      </c>
      <c r="C11" s="2761" t="s">
        <v>2500</v>
      </c>
      <c r="D11" s="2766">
        <v>4.4999999999999998E-2</v>
      </c>
      <c r="E11" s="2761" t="s">
        <v>2501</v>
      </c>
      <c r="F11" s="2767">
        <f>ROUND(1-(1/(POWER(1+D11,B11))),4)</f>
        <v>0.95409999999999995</v>
      </c>
    </row>
    <row r="12" spans="1:18">
      <c r="A12" s="2758" t="s">
        <v>2502</v>
      </c>
      <c r="B12" s="2766">
        <v>40</v>
      </c>
      <c r="C12" s="2761" t="s">
        <v>2503</v>
      </c>
      <c r="D12" s="2766">
        <v>4.4999999999999998E-2</v>
      </c>
      <c r="E12" s="2761" t="s">
        <v>2504</v>
      </c>
      <c r="F12" s="2767">
        <f>ROUND(1-(1/(POWER(1+D12,B12))),4)</f>
        <v>0.82809999999999995</v>
      </c>
    </row>
    <row r="13" spans="1:18">
      <c r="A13" s="2758" t="s">
        <v>2505</v>
      </c>
      <c r="B13" s="2761"/>
      <c r="C13" s="2761"/>
      <c r="D13" s="2756"/>
      <c r="E13" s="2756"/>
      <c r="F13" s="2757"/>
    </row>
    <row r="14" spans="1:18">
      <c r="A14" s="2758" t="s">
        <v>2506</v>
      </c>
      <c r="B14" s="2766">
        <v>5000</v>
      </c>
      <c r="C14" s="2760"/>
      <c r="D14" s="2756"/>
      <c r="E14" s="2756"/>
      <c r="F14" s="2757"/>
    </row>
    <row r="15" spans="1:18">
      <c r="A15" s="2758" t="s">
        <v>2507</v>
      </c>
      <c r="B15" s="2761">
        <f>ROUND(B14*F12/F11,2)</f>
        <v>4339.6899999999996</v>
      </c>
      <c r="C15" s="2761">
        <f>ROUND(F12/F11,4)</f>
        <v>0.8679</v>
      </c>
      <c r="D15" s="2756"/>
      <c r="E15" s="2756"/>
      <c r="F15" s="2757"/>
    </row>
    <row r="16" spans="1:18">
      <c r="A16" s="2758" t="s">
        <v>2508</v>
      </c>
      <c r="B16" s="2761"/>
      <c r="C16" s="2761"/>
      <c r="D16" s="2756"/>
      <c r="E16" s="2756"/>
      <c r="F16" s="2757"/>
    </row>
    <row r="17" spans="1:13">
      <c r="A17" s="2758" t="s">
        <v>2507</v>
      </c>
      <c r="B17" s="2766">
        <v>4810</v>
      </c>
      <c r="C17" s="2760"/>
      <c r="D17" s="2756"/>
      <c r="E17" s="2756"/>
      <c r="F17" s="2757"/>
    </row>
    <row r="18" spans="1:13" ht="14.25" thickBot="1">
      <c r="A18" s="2768" t="s">
        <v>2506</v>
      </c>
      <c r="B18" s="2769">
        <f>ROUND(B17*F11/F12,2)</f>
        <v>5541.87</v>
      </c>
      <c r="C18" s="2769">
        <f>ROUND(F11/F12,4)</f>
        <v>1.1521999999999999</v>
      </c>
      <c r="D18" s="2770"/>
      <c r="E18" s="2770"/>
      <c r="F18" s="2771"/>
    </row>
    <row r="19" spans="1:13" ht="14.25" thickBot="1"/>
    <row r="20" spans="1:13" s="2804" customFormat="1" ht="14.25" thickTop="1">
      <c r="A20" s="2801" t="s">
        <v>2509</v>
      </c>
      <c r="B20" s="2802"/>
      <c r="C20" s="2802"/>
      <c r="D20" s="2802"/>
      <c r="E20" s="2802"/>
      <c r="F20" s="2802"/>
      <c r="G20" s="2803"/>
      <c r="I20" s="2805" t="s">
        <v>2554</v>
      </c>
      <c r="J20" s="2805" t="s">
        <v>2559</v>
      </c>
      <c r="K20" s="2805"/>
      <c r="L20" s="2805"/>
      <c r="M20" s="2805"/>
    </row>
    <row r="21" spans="1:13">
      <c r="A21" s="2772"/>
      <c r="B21" s="2773" t="s">
        <v>2510</v>
      </c>
      <c r="C21" s="2773" t="s">
        <v>2511</v>
      </c>
      <c r="D21" s="2773" t="s">
        <v>2512</v>
      </c>
      <c r="E21" s="2773" t="s">
        <v>2513</v>
      </c>
      <c r="F21" s="2773" t="s">
        <v>2514</v>
      </c>
      <c r="G21" s="2774" t="s">
        <v>2515</v>
      </c>
      <c r="I21" s="2795">
        <v>5</v>
      </c>
      <c r="J21" s="2795">
        <v>54.2</v>
      </c>
    </row>
    <row r="22" spans="1:13">
      <c r="A22" s="2772" t="s">
        <v>2516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2557</v>
      </c>
      <c r="M23" s="2795" t="s">
        <v>2558</v>
      </c>
    </row>
    <row r="24" spans="1:13">
      <c r="A24" s="2772" t="s">
        <v>2518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2556</v>
      </c>
      <c r="M24" s="2795">
        <v>10</v>
      </c>
    </row>
    <row r="25" spans="1:13">
      <c r="A25" s="2772" t="s">
        <v>2519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2560</v>
      </c>
      <c r="M25" s="2795">
        <v>8</v>
      </c>
    </row>
    <row r="26" spans="1:13">
      <c r="A26" s="2777"/>
      <c r="B26" s="2778"/>
      <c r="C26" s="2778"/>
      <c r="D26" s="2778"/>
      <c r="E26" s="2778"/>
      <c r="F26" s="2778"/>
      <c r="G26" s="2779"/>
      <c r="I26" s="2795">
        <v>30</v>
      </c>
      <c r="J26" s="2795">
        <v>90.5</v>
      </c>
      <c r="K26" s="2795">
        <f t="shared" si="2"/>
        <v>4.2000000000000028</v>
      </c>
      <c r="L26" s="2795" t="s">
        <v>2561</v>
      </c>
      <c r="M26" s="2795">
        <v>5</v>
      </c>
    </row>
    <row r="27" spans="1:13">
      <c r="A27" s="2777" t="s">
        <v>2520</v>
      </c>
      <c r="B27" s="2778"/>
      <c r="C27" s="2778"/>
      <c r="D27" s="2778"/>
      <c r="E27" s="2778"/>
      <c r="F27" s="2778"/>
      <c r="G27" s="2779"/>
      <c r="I27" s="2795">
        <v>35</v>
      </c>
      <c r="J27" s="2795">
        <v>93.8</v>
      </c>
      <c r="K27" s="2795">
        <f t="shared" si="2"/>
        <v>3.2999999999999972</v>
      </c>
      <c r="L27" s="2795" t="s">
        <v>2562</v>
      </c>
      <c r="M27" s="2795">
        <v>3</v>
      </c>
    </row>
    <row r="28" spans="1:13">
      <c r="A28" s="2777" t="s">
        <v>2521</v>
      </c>
      <c r="B28" s="2778"/>
      <c r="C28" s="2778"/>
      <c r="D28" s="2778"/>
      <c r="E28" s="2778"/>
      <c r="F28" s="2778"/>
      <c r="G28" s="2779"/>
      <c r="I28" s="2795">
        <v>40</v>
      </c>
      <c r="J28" s="2795">
        <v>96.4</v>
      </c>
      <c r="K28" s="2795">
        <f t="shared" si="2"/>
        <v>2.6000000000000085</v>
      </c>
      <c r="L28" s="2795" t="s">
        <v>2563</v>
      </c>
      <c r="M28" s="2795">
        <v>2</v>
      </c>
    </row>
    <row r="29" spans="1:13">
      <c r="A29" s="2777" t="s">
        <v>2522</v>
      </c>
      <c r="B29" s="2778"/>
      <c r="C29" s="2778"/>
      <c r="D29" s="2778"/>
      <c r="E29" s="2778"/>
      <c r="F29" s="2778"/>
      <c r="G29" s="2779"/>
      <c r="I29" s="2795">
        <v>45</v>
      </c>
      <c r="J29" s="2795">
        <v>98.4</v>
      </c>
      <c r="K29" s="2795">
        <f t="shared" si="2"/>
        <v>2</v>
      </c>
    </row>
    <row r="30" spans="1:13">
      <c r="A30" s="2777" t="s">
        <v>2523</v>
      </c>
      <c r="B30" s="2778"/>
      <c r="C30" s="2778"/>
      <c r="D30" s="2778"/>
      <c r="E30" s="2778"/>
      <c r="F30" s="2778"/>
      <c r="G30" s="2779"/>
      <c r="I30" s="2795">
        <v>50</v>
      </c>
      <c r="J30" s="2795">
        <v>100</v>
      </c>
      <c r="K30" s="2795">
        <f t="shared" si="2"/>
        <v>1.5999999999999943</v>
      </c>
    </row>
    <row r="31" spans="1:13">
      <c r="A31" s="2777" t="s">
        <v>2524</v>
      </c>
      <c r="B31" s="2778"/>
      <c r="C31" s="2778"/>
      <c r="D31" s="2778"/>
      <c r="E31" s="2778"/>
      <c r="F31" s="2778"/>
      <c r="G31" s="2779"/>
      <c r="I31" s="2795" t="s">
        <v>2555</v>
      </c>
    </row>
    <row r="32" spans="1:13">
      <c r="A32" s="2777" t="s">
        <v>2525</v>
      </c>
      <c r="B32" s="2778"/>
      <c r="C32" s="2778"/>
      <c r="D32" s="2778"/>
      <c r="E32" s="2778"/>
      <c r="F32" s="2778"/>
      <c r="G32" s="2779"/>
    </row>
    <row r="33" spans="1:13">
      <c r="A33" s="2777" t="s">
        <v>2526</v>
      </c>
      <c r="B33" s="2778"/>
      <c r="C33" s="2778"/>
      <c r="D33" s="2778"/>
      <c r="E33" s="2778"/>
      <c r="F33" s="2778"/>
      <c r="G33" s="2779"/>
      <c r="I33" s="2795" t="s">
        <v>2554</v>
      </c>
      <c r="J33" s="2795" t="s">
        <v>2564</v>
      </c>
    </row>
    <row r="34" spans="1:13">
      <c r="A34" s="2777" t="s">
        <v>2527</v>
      </c>
      <c r="B34" s="2778"/>
      <c r="C34" s="2778"/>
      <c r="D34" s="2778"/>
      <c r="E34" s="2778"/>
      <c r="F34" s="2778"/>
      <c r="G34" s="2779"/>
      <c r="I34" s="2795">
        <v>5</v>
      </c>
      <c r="J34" s="2795">
        <v>55.1</v>
      </c>
    </row>
    <row r="35" spans="1:13">
      <c r="A35" s="2777" t="s">
        <v>2528</v>
      </c>
      <c r="B35" s="2778"/>
      <c r="C35" s="2778"/>
      <c r="D35" s="2778"/>
      <c r="E35" s="2778"/>
      <c r="F35" s="2778"/>
      <c r="G35" s="2779"/>
      <c r="I35" s="2795">
        <v>10</v>
      </c>
      <c r="J35" s="2795">
        <v>67</v>
      </c>
      <c r="K35" s="2795">
        <f>J35-J34</f>
        <v>11.899999999999999</v>
      </c>
    </row>
    <row r="36" spans="1:13">
      <c r="A36" s="2777" t="s">
        <v>2529</v>
      </c>
      <c r="B36" s="2778"/>
      <c r="C36" s="2778"/>
      <c r="D36" s="2778"/>
      <c r="E36" s="2778"/>
      <c r="F36" s="2778"/>
      <c r="G36" s="2779"/>
      <c r="I36" s="2795">
        <v>15</v>
      </c>
      <c r="J36" s="2795">
        <v>76.3</v>
      </c>
      <c r="K36" s="2795">
        <f t="shared" ref="K36:K41" si="3">J36-J35</f>
        <v>9.2999999999999972</v>
      </c>
      <c r="L36" s="2795" t="s">
        <v>2557</v>
      </c>
      <c r="M36" s="2795" t="s">
        <v>2558</v>
      </c>
    </row>
    <row r="37" spans="1:13">
      <c r="A37" s="2777" t="s">
        <v>2530</v>
      </c>
      <c r="B37" s="2778"/>
      <c r="C37" s="2778"/>
      <c r="D37" s="2778"/>
      <c r="E37" s="2778"/>
      <c r="F37" s="2778"/>
      <c r="G37" s="2779"/>
      <c r="I37" s="2795">
        <v>20</v>
      </c>
      <c r="J37" s="2795">
        <v>83.6</v>
      </c>
      <c r="K37" s="2795">
        <f t="shared" si="3"/>
        <v>7.2999999999999972</v>
      </c>
      <c r="L37" s="2795" t="s">
        <v>2556</v>
      </c>
      <c r="M37" s="2795">
        <v>10</v>
      </c>
    </row>
    <row r="38" spans="1:13">
      <c r="A38" s="2777" t="s">
        <v>2531</v>
      </c>
      <c r="B38" s="2778"/>
      <c r="C38" s="2778"/>
      <c r="D38" s="2778"/>
      <c r="E38" s="2778"/>
      <c r="F38" s="2778"/>
      <c r="G38" s="2779"/>
      <c r="I38" s="2795">
        <v>25</v>
      </c>
      <c r="J38" s="2795">
        <v>89.3</v>
      </c>
      <c r="K38" s="2795">
        <f t="shared" si="3"/>
        <v>5.7000000000000028</v>
      </c>
      <c r="L38" s="2795" t="s">
        <v>2560</v>
      </c>
      <c r="M38" s="2795">
        <v>8</v>
      </c>
    </row>
    <row r="39" spans="1:13">
      <c r="A39" s="2777"/>
      <c r="B39" s="2778"/>
      <c r="C39" s="2778"/>
      <c r="D39" s="2778"/>
      <c r="E39" s="2778"/>
      <c r="F39" s="2778"/>
      <c r="G39" s="2779"/>
      <c r="I39" s="2795">
        <v>30</v>
      </c>
      <c r="J39" s="2795">
        <v>93.8</v>
      </c>
      <c r="K39" s="2795">
        <f t="shared" si="3"/>
        <v>4.5</v>
      </c>
      <c r="L39" s="2795" t="s">
        <v>2561</v>
      </c>
      <c r="M39" s="2795">
        <v>6</v>
      </c>
    </row>
    <row r="40" spans="1:13">
      <c r="A40" s="2780" t="s">
        <v>2532</v>
      </c>
      <c r="B40" s="2781"/>
      <c r="C40" s="2781"/>
      <c r="D40" s="2781"/>
      <c r="E40" s="2781"/>
      <c r="F40" s="2781"/>
      <c r="G40" s="2782"/>
      <c r="I40" s="2795">
        <v>35</v>
      </c>
      <c r="J40" s="2795">
        <v>97.2</v>
      </c>
      <c r="K40" s="2795">
        <f t="shared" si="3"/>
        <v>3.4000000000000057</v>
      </c>
      <c r="L40" s="2795" t="s">
        <v>2562</v>
      </c>
      <c r="M40" s="2795">
        <v>3</v>
      </c>
    </row>
    <row r="41" spans="1:13">
      <c r="A41" s="2783" t="s">
        <v>2533</v>
      </c>
      <c r="B41" s="2784" t="s">
        <v>2534</v>
      </c>
      <c r="C41" s="2785" t="s">
        <v>2535</v>
      </c>
      <c r="D41" s="2785" t="s">
        <v>2536</v>
      </c>
      <c r="E41" s="2786"/>
      <c r="F41" s="2787"/>
      <c r="G41" s="2788"/>
      <c r="I41" s="2795">
        <v>40</v>
      </c>
      <c r="J41" s="2795">
        <v>100</v>
      </c>
      <c r="K41" s="2795">
        <f t="shared" si="3"/>
        <v>2.7999999999999972</v>
      </c>
    </row>
    <row r="42" spans="1:13">
      <c r="A42" s="2783" t="s">
        <v>2537</v>
      </c>
      <c r="B42" s="2784" t="s">
        <v>2538</v>
      </c>
      <c r="C42" s="2785" t="s">
        <v>2539</v>
      </c>
      <c r="D42" s="2789" t="s">
        <v>2540</v>
      </c>
      <c r="E42" s="2781" t="s">
        <v>2541</v>
      </c>
      <c r="F42" s="2781"/>
      <c r="G42" s="2782"/>
    </row>
    <row r="43" spans="1:13">
      <c r="A43" s="2783" t="s">
        <v>2542</v>
      </c>
      <c r="B43" s="2784" t="s">
        <v>2543</v>
      </c>
      <c r="C43" s="2785" t="s">
        <v>2544</v>
      </c>
      <c r="D43" s="2785" t="s">
        <v>2545</v>
      </c>
      <c r="E43" s="2786" t="s">
        <v>2546</v>
      </c>
      <c r="F43" s="2787"/>
      <c r="G43" s="2788"/>
      <c r="I43" s="2795" t="s">
        <v>2554</v>
      </c>
      <c r="J43" s="2795" t="s">
        <v>2565</v>
      </c>
    </row>
    <row r="44" spans="1:13">
      <c r="A44" s="2783" t="s">
        <v>2547</v>
      </c>
      <c r="B44" s="2784" t="s">
        <v>2548</v>
      </c>
      <c r="C44" s="2785" t="s">
        <v>2549</v>
      </c>
      <c r="D44" s="2789">
        <v>0.5</v>
      </c>
      <c r="E44" s="2786" t="s">
        <v>2550</v>
      </c>
      <c r="F44" s="2787"/>
      <c r="G44" s="2788"/>
      <c r="I44" s="2795">
        <v>30</v>
      </c>
      <c r="J44" s="2795">
        <v>81.7</v>
      </c>
    </row>
    <row r="45" spans="1:13" ht="14.25" thickBot="1">
      <c r="A45" s="2790" t="s">
        <v>2551</v>
      </c>
      <c r="B45" s="2791" t="s">
        <v>2538</v>
      </c>
      <c r="C45" s="2792" t="s">
        <v>2538</v>
      </c>
      <c r="D45" s="2792" t="s">
        <v>2552</v>
      </c>
      <c r="E45" s="2793" t="s">
        <v>2553</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44" sqref="G4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7" customWidth="1"/>
    <col min="12" max="13" width="10" style="2408"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2165</v>
      </c>
      <c r="B1" s="3210" t="str">
        <f>IF(B10="北京市","北京市",C10)&amp;F10&amp;IF(结果表!G1="在建","出让国有建设用地使用权及在建建筑物",IF(结果表!G1="土地","出让国有建设用地使用权",))&amp;B9&amp;"预评估"</f>
        <v>北京市昌平区百葛路9号院6号楼房地产抵押价值预评估</v>
      </c>
      <c r="C1" s="3211"/>
      <c r="D1" s="3211"/>
      <c r="E1" s="3211"/>
      <c r="F1" s="3211"/>
      <c r="G1" s="3211"/>
      <c r="H1" s="3211"/>
      <c r="I1" s="321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北京市昌平区百葛路9号院6号楼房地产抵押价值</v>
      </c>
      <c r="T1" s="1618"/>
      <c r="U1" s="1618"/>
      <c r="V1" s="1618"/>
      <c r="W1" s="1618"/>
      <c r="X1" s="1618"/>
      <c r="Y1" s="1618"/>
      <c r="Z1" s="1618"/>
      <c r="AA1" s="1618"/>
      <c r="AB1" s="1618"/>
    </row>
    <row r="2" spans="1:30">
      <c r="A2" s="2182" t="s">
        <v>2166</v>
      </c>
      <c r="B2" s="122"/>
      <c r="D2" s="2443"/>
      <c r="E2" s="2436"/>
      <c r="F2" s="2436"/>
      <c r="G2" s="2437"/>
      <c r="H2" s="2437"/>
      <c r="I2" s="2437"/>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北京市昌平区百葛路9号院6号楼房地产</v>
      </c>
      <c r="T2" s="1618"/>
      <c r="U2" s="1618"/>
      <c r="V2" s="1618"/>
      <c r="W2" s="1618"/>
      <c r="X2" s="1618"/>
      <c r="Y2" s="1618"/>
      <c r="Z2" s="1618"/>
      <c r="AA2" s="1618"/>
      <c r="AB2" s="1618"/>
    </row>
    <row r="3" spans="1:30">
      <c r="A3" s="294" t="s">
        <v>2167</v>
      </c>
      <c r="B3" s="2185">
        <v>45355</v>
      </c>
      <c r="C3" s="2186" t="s">
        <v>2168</v>
      </c>
      <c r="D3" s="2185">
        <f>B3</f>
        <v>45355</v>
      </c>
      <c r="E3" s="2437"/>
      <c r="F3" s="2437"/>
      <c r="G3" s="2437"/>
      <c r="H3" s="2437"/>
      <c r="I3" s="2437"/>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2169</v>
      </c>
      <c r="B4" s="2187" t="s">
        <v>3369</v>
      </c>
      <c r="C4" s="2188">
        <f ca="1">SUMIF(注册房地产估价师,B4,估价师及机构信息!B3:B24)</f>
        <v>1120070131</v>
      </c>
      <c r="D4" s="2187" t="s">
        <v>3370</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2170</v>
      </c>
      <c r="B5" s="2191"/>
      <c r="C5" s="2192"/>
      <c r="D5" s="2193"/>
      <c r="E5" s="2437"/>
      <c r="F5" s="2437"/>
      <c r="G5" s="2437"/>
      <c r="H5" s="2437"/>
      <c r="I5" s="2437"/>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2171</v>
      </c>
      <c r="B6" s="2195"/>
      <c r="C6" s="2196"/>
      <c r="D6" s="2197"/>
      <c r="E6" s="2436"/>
      <c r="F6" s="2437"/>
      <c r="G6" s="2437"/>
      <c r="H6" s="2437"/>
      <c r="I6" s="2437"/>
      <c r="J6" s="2244"/>
      <c r="K6" s="2395" t="str">
        <f>IF(COUNTIF(B6,"*上海银行*"),"上海银行","")</f>
        <v/>
      </c>
      <c r="L6" s="2393"/>
      <c r="M6" s="2393"/>
      <c r="N6" s="2244"/>
      <c r="O6" s="1670"/>
      <c r="P6" s="2244"/>
      <c r="Q6" s="2244"/>
      <c r="R6" s="2244"/>
    </row>
    <row r="7" spans="1:30">
      <c r="A7" s="2194" t="s">
        <v>2172</v>
      </c>
      <c r="B7" s="2198"/>
      <c r="C7" s="2196"/>
      <c r="D7" s="2197"/>
      <c r="E7" s="2436"/>
      <c r="F7" s="2437"/>
      <c r="G7" s="2437"/>
      <c r="H7" s="2437"/>
      <c r="I7" s="2437"/>
      <c r="J7" s="2244"/>
      <c r="K7" s="2396"/>
      <c r="L7" s="2393"/>
      <c r="M7" s="2393"/>
      <c r="N7" s="2244"/>
      <c r="O7" s="1670"/>
      <c r="P7" s="2244"/>
      <c r="Q7" s="2244"/>
      <c r="R7" s="2244"/>
    </row>
    <row r="8" spans="1:30">
      <c r="A8" s="2199" t="s">
        <v>2173</v>
      </c>
      <c r="B8" s="2200" t="s">
        <v>3365</v>
      </c>
      <c r="C8" s="2201"/>
      <c r="D8" s="3213" t="s">
        <v>2174</v>
      </c>
      <c r="E8" s="2202" t="s">
        <v>3371</v>
      </c>
      <c r="F8" s="2203"/>
      <c r="G8" s="2437"/>
      <c r="H8" s="2437"/>
      <c r="I8" s="2437"/>
      <c r="J8" s="2244"/>
      <c r="K8" s="2394"/>
      <c r="L8" s="2393"/>
      <c r="M8" s="2393"/>
      <c r="N8" s="2244"/>
      <c r="O8" s="1670"/>
      <c r="P8" s="2244"/>
      <c r="Q8" s="2244"/>
      <c r="R8" s="2244"/>
    </row>
    <row r="9" spans="1:30" ht="13.5" thickBot="1">
      <c r="A9" s="2204" t="s">
        <v>2175</v>
      </c>
      <c r="B9" s="2205" t="s">
        <v>3371</v>
      </c>
      <c r="C9" s="2206"/>
      <c r="D9" s="3214"/>
      <c r="E9" s="2205" t="s">
        <v>43</v>
      </c>
      <c r="F9" s="2207"/>
      <c r="G9" s="2438"/>
      <c r="H9" s="2438"/>
      <c r="I9" s="2438"/>
      <c r="J9" s="2244"/>
      <c r="K9" s="2396"/>
      <c r="L9" s="2393"/>
      <c r="M9" s="2393"/>
      <c r="N9" s="2244"/>
      <c r="O9" s="1670"/>
      <c r="P9" s="2244"/>
      <c r="Q9" s="2244"/>
      <c r="R9" s="2244"/>
    </row>
    <row r="10" spans="1:30" ht="13.5" thickTop="1">
      <c r="A10" s="2208" t="s">
        <v>2176</v>
      </c>
      <c r="B10" s="2209" t="s">
        <v>3372</v>
      </c>
      <c r="C10" s="2210"/>
      <c r="D10" s="2193"/>
      <c r="E10" s="2211" t="s">
        <v>2177</v>
      </c>
      <c r="F10" s="2439" t="s">
        <v>3373</v>
      </c>
      <c r="G10" s="2440"/>
      <c r="H10" s="2441"/>
      <c r="I10" s="2442"/>
      <c r="J10" s="2244"/>
      <c r="K10" s="2396"/>
      <c r="L10" s="2393"/>
      <c r="M10" s="2393"/>
      <c r="N10" s="2244"/>
      <c r="O10" s="1670"/>
      <c r="P10" s="2244"/>
      <c r="Q10" s="2244"/>
      <c r="R10" s="2244"/>
    </row>
    <row r="11" spans="1:30" ht="24">
      <c r="A11" s="2212" t="s">
        <v>2178</v>
      </c>
      <c r="B11" s="2213" t="s">
        <v>3374</v>
      </c>
      <c r="C11" s="3140" t="s">
        <v>3375</v>
      </c>
      <c r="D11" s="2214"/>
      <c r="E11" s="2182"/>
      <c r="F11" s="2182"/>
      <c r="G11" s="2182"/>
      <c r="H11" s="2182"/>
      <c r="I11" s="2182"/>
      <c r="J11" s="2797"/>
      <c r="K11" s="2393"/>
      <c r="L11" s="2393"/>
      <c r="M11" s="2393"/>
      <c r="N11" s="2244"/>
      <c r="O11" s="1670"/>
      <c r="P11" s="2244"/>
      <c r="Q11" s="2244"/>
      <c r="R11" s="2244"/>
    </row>
    <row r="12" spans="1:30">
      <c r="A12" s="2215" t="s">
        <v>2179</v>
      </c>
      <c r="B12" s="315" t="s">
        <v>2180</v>
      </c>
      <c r="C12" s="2216" t="s">
        <v>2181</v>
      </c>
      <c r="D12" s="2216" t="s">
        <v>2182</v>
      </c>
      <c r="E12" s="2216" t="s">
        <v>2183</v>
      </c>
      <c r="F12" s="2216" t="s">
        <v>2184</v>
      </c>
      <c r="G12" s="2216" t="s">
        <v>2185</v>
      </c>
      <c r="H12" s="2216" t="s">
        <v>2186</v>
      </c>
      <c r="I12" s="2796" t="s">
        <v>2566</v>
      </c>
      <c r="J12" s="2798"/>
      <c r="K12" s="2393"/>
      <c r="L12" s="2393"/>
      <c r="M12" s="2244"/>
      <c r="N12" s="1670"/>
      <c r="O12" s="2244"/>
      <c r="P12" s="2244"/>
      <c r="Q12" s="2244"/>
      <c r="AD12" s="1618"/>
    </row>
    <row r="13" spans="1:30">
      <c r="A13" s="3117" t="s">
        <v>3321</v>
      </c>
      <c r="B13" s="2217" t="s">
        <v>2187</v>
      </c>
      <c r="C13" s="803"/>
      <c r="D13" s="803"/>
      <c r="E13" s="803"/>
      <c r="F13" s="803"/>
      <c r="G13" s="803"/>
      <c r="H13" s="803"/>
      <c r="I13" s="803">
        <v>57541</v>
      </c>
      <c r="J13" s="2798"/>
      <c r="K13" s="2393"/>
      <c r="L13" s="2393"/>
      <c r="M13" s="2244"/>
      <c r="N13" s="1670"/>
      <c r="O13" s="2244"/>
      <c r="P13" s="2244"/>
      <c r="Q13" s="2244"/>
      <c r="AD13" s="1618"/>
    </row>
    <row r="14" spans="1:30">
      <c r="A14" s="1018"/>
      <c r="B14" s="2217" t="s">
        <v>2188</v>
      </c>
      <c r="C14" s="2218"/>
      <c r="D14" s="2218"/>
      <c r="E14" s="2218"/>
      <c r="F14" s="2218"/>
      <c r="G14" s="2218"/>
      <c r="H14" s="2218"/>
      <c r="I14" s="2218">
        <v>50</v>
      </c>
      <c r="J14" s="2799"/>
      <c r="K14" s="2393"/>
      <c r="L14" s="2393"/>
      <c r="M14" s="2244"/>
      <c r="N14" s="1670"/>
      <c r="O14" s="2244"/>
      <c r="P14" s="2244"/>
      <c r="Q14" s="2244"/>
      <c r="AD14" s="1618"/>
    </row>
    <row r="15" spans="1:30">
      <c r="A15" s="312"/>
      <c r="B15" s="2219" t="s">
        <v>2189</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f>IF(A13="出让",IF(I13="","",ROUNDDOWN(MIN((I13-$D$3)/365,I14),2)),I14)</f>
        <v>33.380000000000003</v>
      </c>
      <c r="J15" s="2800"/>
      <c r="K15" s="1670"/>
      <c r="L15" s="1670"/>
      <c r="M15" s="2244"/>
      <c r="N15" s="1670"/>
      <c r="O15" s="2244"/>
      <c r="P15" s="2244"/>
      <c r="Q15" s="2244"/>
      <c r="AD15" s="1618"/>
    </row>
    <row r="16" spans="1:30">
      <c r="A16" s="2211" t="s">
        <v>2190</v>
      </c>
      <c r="B16" s="3220"/>
      <c r="C16" s="3221"/>
      <c r="D16" s="3222"/>
      <c r="E16" s="2221" t="s">
        <v>2191</v>
      </c>
      <c r="F16" s="3223"/>
      <c r="G16" s="3224"/>
      <c r="H16" s="3224"/>
      <c r="I16" s="3225"/>
      <c r="J16" s="2244"/>
      <c r="K16" s="2397"/>
      <c r="L16" s="1670"/>
      <c r="M16" s="1670"/>
      <c r="N16" s="2244"/>
      <c r="O16" s="1670"/>
      <c r="P16" s="2244"/>
      <c r="Q16" s="2244"/>
      <c r="R16" s="2244"/>
    </row>
    <row r="17" spans="1:28">
      <c r="A17" s="305" t="s">
        <v>2192</v>
      </c>
      <c r="B17" s="294" t="s">
        <v>2193</v>
      </c>
      <c r="C17" s="8">
        <f>'数据-汇总表'!E3</f>
        <v>9096.41</v>
      </c>
      <c r="D17" s="1256" t="s">
        <v>2194</v>
      </c>
      <c r="E17" s="3226" t="s">
        <v>2195</v>
      </c>
      <c r="F17" s="3227"/>
      <c r="G17" s="3227"/>
      <c r="H17" s="3227"/>
      <c r="I17" s="3228"/>
      <c r="J17" s="2244"/>
      <c r="K17" s="2398"/>
      <c r="L17" s="1670"/>
      <c r="M17" s="1670"/>
      <c r="N17" s="2244"/>
      <c r="O17" s="1670"/>
      <c r="P17" s="2244"/>
      <c r="Q17" s="2244"/>
      <c r="R17" s="2244"/>
      <c r="S17" s="2244"/>
      <c r="T17" s="2244"/>
      <c r="U17" s="2244"/>
      <c r="V17" s="2244"/>
    </row>
    <row r="18" spans="1:28" ht="24.75" thickBot="1">
      <c r="A18" s="2222" t="s">
        <v>2196</v>
      </c>
      <c r="B18" s="1027" t="s">
        <v>2197</v>
      </c>
      <c r="C18" s="2223">
        <f>'数据-汇总表'!D3</f>
        <v>0</v>
      </c>
      <c r="D18" s="1029" t="s">
        <v>2198</v>
      </c>
      <c r="E18" s="3229" t="s">
        <v>2199</v>
      </c>
      <c r="F18" s="3230"/>
      <c r="G18" s="3230"/>
      <c r="H18" s="3230"/>
      <c r="I18" s="3231"/>
      <c r="J18" s="2244"/>
      <c r="K18" s="2398"/>
      <c r="L18" s="1670"/>
      <c r="M18" s="1670"/>
      <c r="N18" s="2244"/>
      <c r="O18" s="1670"/>
      <c r="P18" s="2244"/>
      <c r="Q18" s="2244"/>
      <c r="R18" s="2244"/>
      <c r="S18" s="2244"/>
      <c r="T18" s="2244"/>
      <c r="U18" s="2244"/>
      <c r="V18" s="2244"/>
    </row>
    <row r="19" spans="1:28" ht="37.5" thickTop="1" thickBot="1">
      <c r="A19" s="319" t="s">
        <v>1054</v>
      </c>
      <c r="B19" s="299" t="s">
        <v>2200</v>
      </c>
      <c r="C19" s="1455" t="s">
        <v>3376</v>
      </c>
      <c r="D19" s="1456" t="s">
        <v>2201</v>
      </c>
      <c r="E19" s="1457"/>
      <c r="F19" s="1458" t="str">
        <f>IF(AND(C19="是",E19="否"),"是否提供他项权证或相关说明","")</f>
        <v/>
      </c>
      <c r="G19" s="1459"/>
      <c r="H19" s="2437"/>
      <c r="I19" s="2437"/>
      <c r="J19" s="2244"/>
      <c r="K19" s="2396"/>
      <c r="L19" s="2393"/>
      <c r="M19" s="2393"/>
      <c r="N19" s="2244"/>
      <c r="O19" s="1670"/>
      <c r="P19" s="2244"/>
      <c r="Q19" s="2244"/>
      <c r="R19" s="2244"/>
      <c r="S19" s="2244"/>
      <c r="T19" s="2244"/>
      <c r="U19" s="2244"/>
      <c r="V19" s="2244"/>
    </row>
    <row r="20" spans="1:28">
      <c r="A20" s="2411" t="s">
        <v>2202</v>
      </c>
      <c r="B20" s="3216" t="s">
        <v>2203</v>
      </c>
      <c r="C20" s="3217"/>
      <c r="D20" s="3218" t="s">
        <v>2204</v>
      </c>
      <c r="E20" s="3219"/>
      <c r="F20" s="2425" t="s">
        <v>1055</v>
      </c>
      <c r="G20" s="2437"/>
      <c r="H20" s="2437"/>
      <c r="I20" s="2437"/>
      <c r="J20" s="2244"/>
      <c r="K20" s="3215" t="s">
        <v>2205</v>
      </c>
      <c r="L20" s="646"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1"/>
      <c r="B21" s="2412" t="s">
        <v>2206</v>
      </c>
      <c r="C21" s="2290" t="s">
        <v>3377</v>
      </c>
      <c r="D21" s="1460"/>
      <c r="E21" s="2413"/>
      <c r="F21" s="2426"/>
      <c r="G21" s="2437"/>
      <c r="H21" s="2437"/>
      <c r="I21" s="2437"/>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13.5" thickBot="1">
      <c r="A22" s="2411"/>
      <c r="B22" s="2414"/>
      <c r="C22" s="2290"/>
      <c r="D22" s="2437"/>
      <c r="E22" s="2437"/>
      <c r="F22" s="2437"/>
      <c r="G22" s="2437"/>
      <c r="H22" s="2437"/>
      <c r="I22" s="2437"/>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5" t="s">
        <v>2207</v>
      </c>
      <c r="B23" s="2287" t="s">
        <v>2208</v>
      </c>
      <c r="C23" s="2416"/>
      <c r="D23" s="2417" t="s">
        <v>2208</v>
      </c>
      <c r="E23" s="2418"/>
      <c r="F23" s="2437"/>
      <c r="G23" s="2437"/>
      <c r="H23" s="2437"/>
      <c r="I23" s="2437"/>
      <c r="J23" s="2244"/>
      <c r="K23" s="2395"/>
      <c r="L23" s="121"/>
      <c r="M23" s="2393"/>
      <c r="N23" s="2244"/>
      <c r="O23" s="1670"/>
      <c r="P23" s="2244"/>
      <c r="Q23" s="2244"/>
      <c r="R23" s="2244"/>
      <c r="S23" s="2244"/>
      <c r="T23" s="2244"/>
      <c r="U23" s="2244"/>
      <c r="V23" s="2244"/>
    </row>
    <row r="24" spans="1:28">
      <c r="A24" s="2415"/>
      <c r="B24" s="2287" t="s">
        <v>1056</v>
      </c>
      <c r="C24" s="2419"/>
      <c r="D24" s="2415" t="s">
        <v>1056</v>
      </c>
      <c r="E24" s="2420"/>
      <c r="F24" s="2437"/>
      <c r="G24" s="2437"/>
      <c r="H24" s="2437"/>
      <c r="I24" s="2437"/>
      <c r="J24" s="2244"/>
      <c r="K24" s="2395"/>
      <c r="L24" s="121"/>
      <c r="M24" s="2393"/>
      <c r="N24" s="2244"/>
      <c r="O24" s="1670"/>
      <c r="P24" s="2244"/>
      <c r="Q24" s="2244"/>
      <c r="R24" s="2244"/>
      <c r="S24" s="2244"/>
      <c r="T24" s="2244"/>
      <c r="U24" s="2244"/>
      <c r="V24" s="2244"/>
    </row>
    <row r="25" spans="1:28">
      <c r="A25" s="2415"/>
      <c r="B25" s="2287" t="s">
        <v>1057</v>
      </c>
      <c r="C25" s="2419"/>
      <c r="D25" s="2415" t="s">
        <v>1057</v>
      </c>
      <c r="E25" s="2420"/>
      <c r="F25" s="2437"/>
      <c r="G25" s="2437"/>
      <c r="H25" s="2437"/>
      <c r="I25" s="2437"/>
      <c r="J25" s="2244"/>
      <c r="K25" s="2396"/>
      <c r="L25" s="2393"/>
      <c r="M25" s="2393"/>
      <c r="N25" s="2244"/>
      <c r="O25" s="1670"/>
      <c r="P25" s="2244"/>
      <c r="Q25" s="2244"/>
      <c r="R25" s="2244"/>
      <c r="S25" s="2244"/>
      <c r="T25" s="2244"/>
      <c r="U25" s="2244"/>
      <c r="V25" s="2244"/>
    </row>
    <row r="26" spans="1:28" ht="13.5" thickBot="1">
      <c r="A26" s="2421"/>
      <c r="B26" s="2422" t="s">
        <v>1058</v>
      </c>
      <c r="C26" s="2423"/>
      <c r="D26" s="2421" t="s">
        <v>1058</v>
      </c>
      <c r="E26" s="2424"/>
      <c r="F26" s="2438"/>
      <c r="G26" s="2438"/>
      <c r="H26" s="2438"/>
      <c r="I26" s="2438"/>
      <c r="J26" s="2244"/>
      <c r="K26" s="2396"/>
      <c r="L26" s="2393"/>
      <c r="M26" s="2393"/>
      <c r="N26" s="2244"/>
      <c r="O26" s="1670"/>
      <c r="P26" s="2244"/>
      <c r="Q26" s="2244"/>
      <c r="R26" s="2244"/>
      <c r="S26" s="2244"/>
      <c r="T26" s="2244"/>
      <c r="U26" s="2244"/>
      <c r="V26" s="2244"/>
    </row>
    <row r="27" spans="1:28" ht="13.5" thickTop="1">
      <c r="A27" s="3204" t="s">
        <v>2209</v>
      </c>
      <c r="B27" s="312" t="s">
        <v>2210</v>
      </c>
      <c r="C27" s="2224" t="s">
        <v>3378</v>
      </c>
      <c r="D27" s="2225"/>
      <c r="E27" s="2437"/>
      <c r="F27" s="2437"/>
      <c r="G27" s="2437"/>
      <c r="H27" s="2437"/>
      <c r="I27" s="2437"/>
      <c r="J27" s="2244"/>
      <c r="K27" s="2397"/>
      <c r="L27" s="1670"/>
      <c r="M27" s="1670"/>
      <c r="N27" s="2244"/>
      <c r="O27" s="1670"/>
      <c r="P27" s="2244"/>
      <c r="Q27" s="2244"/>
      <c r="R27" s="2244"/>
      <c r="S27" s="2244"/>
      <c r="T27" s="2244"/>
      <c r="U27" s="2244"/>
      <c r="V27" s="2244"/>
    </row>
    <row r="28" spans="1:28">
      <c r="A28" s="3204"/>
      <c r="B28" s="294" t="s">
        <v>2211</v>
      </c>
      <c r="C28" s="2226"/>
      <c r="D28" s="2227"/>
      <c r="E28" s="2437"/>
      <c r="F28" s="2437"/>
      <c r="G28" s="2437"/>
      <c r="H28" s="2437"/>
      <c r="I28" s="2437"/>
      <c r="J28" s="2244"/>
      <c r="K28" s="2396"/>
      <c r="L28" s="2393"/>
      <c r="M28" s="2393"/>
      <c r="N28" s="2244"/>
      <c r="O28" s="1670"/>
      <c r="P28" s="2244"/>
      <c r="Q28" s="2244"/>
      <c r="R28" s="2244"/>
      <c r="S28" s="2244"/>
      <c r="T28" s="2244"/>
      <c r="U28" s="2244"/>
      <c r="V28" s="2244"/>
    </row>
    <row r="29" spans="1:28">
      <c r="A29" s="3204"/>
      <c r="B29" s="294" t="s">
        <v>2212</v>
      </c>
      <c r="C29" s="2228"/>
      <c r="D29" s="2229"/>
      <c r="E29" s="2437"/>
      <c r="F29" s="2437"/>
      <c r="G29" s="2437"/>
      <c r="H29" s="2437"/>
      <c r="I29" s="2437"/>
      <c r="J29" s="2244"/>
      <c r="K29" s="2396"/>
      <c r="L29" s="2393"/>
      <c r="M29" s="2393"/>
      <c r="N29" s="2244"/>
      <c r="O29" s="1670"/>
      <c r="P29" s="2244"/>
      <c r="Q29" s="2244"/>
      <c r="R29" s="2244"/>
      <c r="S29" s="2244"/>
      <c r="T29" s="2244"/>
      <c r="U29" s="2244"/>
      <c r="V29" s="2244"/>
    </row>
    <row r="30" spans="1:28">
      <c r="A30" s="3205"/>
      <c r="B30" s="294" t="s">
        <v>2213</v>
      </c>
      <c r="C30" s="3206"/>
      <c r="D30" s="3207"/>
      <c r="E30" s="2437"/>
      <c r="F30" s="2437"/>
      <c r="G30" s="2437"/>
      <c r="H30" s="2437"/>
      <c r="I30" s="2437"/>
      <c r="J30" s="2244"/>
      <c r="K30" s="2396"/>
      <c r="L30" s="2393"/>
      <c r="M30" s="2393"/>
      <c r="N30" s="2244"/>
      <c r="O30" s="1670"/>
      <c r="P30" s="2244"/>
      <c r="Q30" s="2244"/>
      <c r="R30" s="2244"/>
      <c r="S30" s="2244"/>
      <c r="T30" s="2244"/>
      <c r="U30" s="2244"/>
      <c r="V30" s="2244"/>
    </row>
    <row r="31" spans="1:28">
      <c r="A31" s="3208" t="s">
        <v>2214</v>
      </c>
      <c r="B31" s="2230" t="s">
        <v>3379</v>
      </c>
      <c r="C31" s="12" t="str">
        <f>IF(B31="现房","成新及维护状况正常否",IF(B31="在建","工程状态是否正常",IF(B31="土地","是否闲置","-")))</f>
        <v>成新及维护状况正常否</v>
      </c>
      <c r="D31" s="1281"/>
      <c r="E31" s="2231"/>
      <c r="F31" s="2437"/>
      <c r="G31" s="2437"/>
      <c r="H31" s="2437"/>
      <c r="I31" s="2437"/>
      <c r="J31" s="2244"/>
      <c r="K31" s="2395"/>
      <c r="L31" s="2393"/>
      <c r="M31" s="2393"/>
      <c r="N31" s="2244"/>
      <c r="O31" s="1670"/>
      <c r="P31" s="2244"/>
      <c r="Q31" s="2244"/>
      <c r="R31" s="2244"/>
      <c r="S31" s="2244"/>
      <c r="T31" s="2244"/>
      <c r="U31" s="2244"/>
      <c r="V31" s="2244"/>
    </row>
    <row r="32" spans="1:28">
      <c r="A32" s="3209"/>
      <c r="B32" s="2230"/>
      <c r="C32" s="12" t="str">
        <f>IF(B32="现房","成新及维护状况是否正常",IF(B32="在建","工程状态是否正常",IF(B32="土地","是否闲置","-")))</f>
        <v>-</v>
      </c>
      <c r="D32" s="1281"/>
      <c r="E32" s="2231"/>
      <c r="F32" s="2437"/>
      <c r="G32" s="2437"/>
      <c r="H32" s="2437"/>
      <c r="I32" s="2437"/>
      <c r="J32" s="2244"/>
      <c r="K32" s="2396"/>
      <c r="L32" s="2393"/>
      <c r="M32" s="2393"/>
      <c r="N32" s="2244"/>
      <c r="O32" s="1670"/>
      <c r="P32" s="2244"/>
      <c r="Q32" s="2244"/>
      <c r="R32" s="2244"/>
      <c r="S32" s="2244"/>
      <c r="T32" s="2244"/>
      <c r="U32" s="2244"/>
      <c r="V32" s="2244"/>
    </row>
    <row r="33" spans="1:30">
      <c r="A33" s="3209"/>
      <c r="B33" s="2233"/>
      <c r="C33" s="1478" t="str">
        <f>IF(B33="现房","成新及维护状况是否正常",IF(B33="在建","工程状态是否正常",IF(B33="土地","是否闲置","-")))</f>
        <v>-</v>
      </c>
      <c r="D33" s="1274"/>
      <c r="E33" s="2234"/>
      <c r="F33" s="2437"/>
      <c r="G33" s="2437"/>
      <c r="H33" s="2437"/>
      <c r="I33" s="2437"/>
      <c r="J33" s="2244"/>
      <c r="K33" s="2396"/>
      <c r="L33" s="2393"/>
      <c r="M33" s="2393"/>
      <c r="N33" s="2244"/>
      <c r="O33" s="1670"/>
      <c r="P33" s="2244"/>
      <c r="Q33" s="2244"/>
      <c r="R33" s="2244"/>
      <c r="S33" s="2244"/>
      <c r="T33" s="2244"/>
      <c r="U33" s="2244"/>
      <c r="V33" s="2244"/>
    </row>
    <row r="34" spans="1:30">
      <c r="A34" s="294" t="s">
        <v>2215</v>
      </c>
      <c r="B34" s="1870" t="s">
        <v>3380</v>
      </c>
      <c r="C34" s="1870" t="s">
        <v>3381</v>
      </c>
      <c r="D34" s="1870" t="s">
        <v>3382</v>
      </c>
      <c r="E34" s="1870" t="s">
        <v>3383</v>
      </c>
      <c r="F34" s="1870" t="s">
        <v>3384</v>
      </c>
      <c r="G34" s="1870" t="s">
        <v>3385</v>
      </c>
      <c r="H34" s="1870"/>
      <c r="I34" s="2437"/>
      <c r="J34" s="2244"/>
      <c r="K34" s="8">
        <f>COUNTIF(B34:H34,"——")</f>
        <v>0</v>
      </c>
      <c r="L34" s="315" t="s">
        <v>2216</v>
      </c>
      <c r="M34" s="315" t="s">
        <v>2217</v>
      </c>
      <c r="N34" s="315" t="s">
        <v>2218</v>
      </c>
      <c r="O34" s="315" t="s">
        <v>2219</v>
      </c>
      <c r="P34" s="315" t="s">
        <v>2220</v>
      </c>
      <c r="Q34" s="315" t="s">
        <v>2221</v>
      </c>
      <c r="R34" s="315" t="s">
        <v>2222</v>
      </c>
      <c r="S34" s="3203" t="s">
        <v>2223</v>
      </c>
      <c r="T34" s="315" t="str">
        <f>NUMBERSTRING(7-K34,1)&amp;"通"</f>
        <v>七通</v>
      </c>
      <c r="U34" s="2244"/>
      <c r="V34" s="2244"/>
    </row>
    <row r="35" spans="1:30">
      <c r="A35" s="2235"/>
      <c r="B35" s="3203" t="s">
        <v>2224</v>
      </c>
      <c r="C35" s="3203"/>
      <c r="D35" s="3203"/>
      <c r="E35" s="3203"/>
      <c r="F35" s="8">
        <f>C10</f>
        <v>0</v>
      </c>
      <c r="G35" s="2437"/>
      <c r="H35" s="2437"/>
      <c r="I35" s="2437"/>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通路、通电、通讯、通上水、通下水、平整</v>
      </c>
      <c r="R35" s="138" t="str">
        <f>B34&amp;"、"&amp;C34&amp;"、"&amp;D34&amp;"、"&amp;E34&amp;"、"&amp;F34&amp;"、"&amp;G34&amp;"、"&amp;H34</f>
        <v>通路、通电、通讯、通上水、通下水、平整、</v>
      </c>
      <c r="S35" s="3203"/>
      <c r="T35" s="138" t="str">
        <f>IF(T34="一通",L35,IF(T34="二通",M35,IF(T34="三通",N35,IF(T34="四通",O35,IF(T34="五通",P35,IF(T34="六通",Q35,R35))))))</f>
        <v>通路、通电、通讯、通上水、通下水、平整、</v>
      </c>
      <c r="U35" s="2244"/>
      <c r="V35" s="2244"/>
    </row>
    <row r="36" spans="1:30">
      <c r="A36" s="2183"/>
      <c r="B36" s="8" t="s">
        <v>2182</v>
      </c>
      <c r="C36" s="8" t="s">
        <v>2183</v>
      </c>
      <c r="D36" s="8" t="s">
        <v>2181</v>
      </c>
      <c r="E36" s="8" t="s">
        <v>2186</v>
      </c>
      <c r="F36" s="2796" t="s">
        <v>2569</v>
      </c>
      <c r="G36" s="2437"/>
      <c r="H36" s="2437"/>
      <c r="I36" s="2437"/>
      <c r="J36" s="2244"/>
      <c r="K36" s="2396"/>
      <c r="L36" s="2393"/>
      <c r="M36" s="2393"/>
      <c r="N36" s="2244"/>
      <c r="O36" s="1670"/>
      <c r="P36" s="2244"/>
      <c r="Q36" s="2244"/>
      <c r="R36" s="2244"/>
      <c r="S36" s="2244"/>
      <c r="T36" s="2244"/>
      <c r="U36" s="2244"/>
      <c r="V36" s="2244"/>
    </row>
    <row r="37" spans="1:30">
      <c r="A37" s="2409" t="s">
        <v>2225</v>
      </c>
      <c r="B37" s="2236"/>
      <c r="C37" s="2236"/>
      <c r="D37" s="2236"/>
      <c r="E37" s="2236"/>
      <c r="F37" s="2236" t="s">
        <v>305</v>
      </c>
      <c r="G37" s="2437"/>
      <c r="H37" s="2437"/>
      <c r="I37" s="2437"/>
      <c r="J37" s="2244"/>
      <c r="K37" s="2396"/>
      <c r="L37" s="2393"/>
      <c r="M37" s="2393"/>
      <c r="N37" s="2244"/>
      <c r="O37" s="1670"/>
      <c r="P37" s="2244"/>
      <c r="Q37" s="2244"/>
      <c r="R37" s="2244"/>
      <c r="S37" s="2244"/>
      <c r="T37" s="2244"/>
      <c r="U37" s="2244"/>
      <c r="V37" s="2244"/>
    </row>
    <row r="38" spans="1:30" ht="13.5" thickBot="1">
      <c r="A38" s="2410" t="s">
        <v>2226</v>
      </c>
      <c r="B38" s="2237"/>
      <c r="C38" s="2237"/>
      <c r="D38" s="2237"/>
      <c r="E38" s="2237"/>
      <c r="F38" s="2237" t="s">
        <v>286</v>
      </c>
      <c r="G38" s="2438"/>
      <c r="H38" s="2438"/>
      <c r="I38" s="2438"/>
      <c r="J38" s="2244"/>
      <c r="K38" s="2396"/>
      <c r="L38" s="2393"/>
      <c r="M38" s="2393"/>
      <c r="N38" s="2244"/>
      <c r="O38" s="1670"/>
      <c r="P38" s="2244"/>
      <c r="Q38" s="2244"/>
      <c r="R38" s="2244"/>
      <c r="S38" s="2244"/>
      <c r="T38" s="2244"/>
      <c r="U38" s="2244"/>
      <c r="V38" s="2244"/>
    </row>
    <row r="39" spans="1:30" s="2240" customFormat="1" ht="14.25" thickTop="1" thickBot="1">
      <c r="A39" s="2238" t="s">
        <v>2227</v>
      </c>
      <c r="B39" s="2239"/>
      <c r="C39" s="2239"/>
      <c r="D39" s="2239"/>
      <c r="E39" s="2239"/>
      <c r="F39" s="2239"/>
      <c r="G39" s="2239"/>
      <c r="H39" s="2239"/>
      <c r="I39" s="2239"/>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82"/>
      <c r="B40" s="2182"/>
      <c r="C40" s="2182"/>
      <c r="D40" s="2182"/>
      <c r="E40" s="2182"/>
      <c r="F40" s="2182"/>
      <c r="G40" s="2182"/>
      <c r="H40" s="2182"/>
      <c r="I40" s="1466"/>
      <c r="J40" s="2244"/>
      <c r="K40" s="2395"/>
      <c r="L40" s="1670"/>
      <c r="M40" s="1670"/>
      <c r="N40" s="2244"/>
      <c r="O40" s="1670"/>
      <c r="P40" s="2244"/>
      <c r="Q40" s="2244"/>
      <c r="R40" s="2244"/>
      <c r="S40" s="2244"/>
      <c r="T40" s="2244"/>
      <c r="U40" s="2244"/>
      <c r="V40" s="2244"/>
    </row>
    <row r="41" spans="1:30">
      <c r="A41" s="2241" t="s">
        <v>2228</v>
      </c>
      <c r="B41" s="1627"/>
      <c r="C41" s="1281"/>
      <c r="D41" s="2182"/>
      <c r="E41" s="2182"/>
      <c r="F41" s="2182"/>
      <c r="G41" s="2182"/>
      <c r="H41" s="2182"/>
      <c r="I41" s="1466"/>
      <c r="J41" s="2244"/>
      <c r="K41" s="2396"/>
      <c r="L41" s="2393"/>
      <c r="M41" s="2393"/>
      <c r="N41" s="2244"/>
      <c r="O41" s="1670"/>
      <c r="P41" s="2244"/>
      <c r="Q41" s="2244"/>
      <c r="R41" s="2244"/>
      <c r="S41" s="2244"/>
      <c r="T41" s="2244"/>
      <c r="U41" s="2244"/>
      <c r="V41" s="2244"/>
    </row>
    <row r="42" spans="1:30" ht="25.5">
      <c r="A42" s="315" t="s">
        <v>2229</v>
      </c>
      <c r="B42" s="8" t="s">
        <v>2230</v>
      </c>
      <c r="C42" s="8" t="s">
        <v>2231</v>
      </c>
      <c r="D42" s="8" t="s">
        <v>2232</v>
      </c>
      <c r="E42" s="8" t="s">
        <v>2233</v>
      </c>
      <c r="F42" s="8" t="s">
        <v>2234</v>
      </c>
      <c r="G42" s="8" t="s">
        <v>2235</v>
      </c>
      <c r="H42" s="8" t="s">
        <v>2236</v>
      </c>
      <c r="I42" s="8" t="s">
        <v>2237</v>
      </c>
      <c r="J42" s="2405" t="s">
        <v>2238</v>
      </c>
      <c r="K42" s="2406" t="s">
        <v>2239</v>
      </c>
      <c r="L42" s="2406" t="s">
        <v>2240</v>
      </c>
      <c r="M42" s="2406" t="s">
        <v>2241</v>
      </c>
      <c r="N42" s="2399" t="s">
        <v>2242</v>
      </c>
      <c r="O42" s="2399" t="s">
        <v>2243</v>
      </c>
      <c r="P42" s="2399" t="s">
        <v>2244</v>
      </c>
      <c r="Q42" s="2400" t="s">
        <v>2245</v>
      </c>
      <c r="R42" s="2400" t="s">
        <v>2246</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3" sqref="D3"/>
      <selection pane="topRight" activeCell="D3" sqref="D3"/>
      <selection pane="bottomLeft" activeCell="D3" sqref="D3"/>
      <selection pane="bottomRight" activeCell="O22" sqref="O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1059</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1060</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1061</v>
      </c>
      <c r="B2" s="8" t="s">
        <v>1062</v>
      </c>
      <c r="C2" s="8" t="s">
        <v>1063</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1064</v>
      </c>
      <c r="AZ2" s="987" t="s">
        <v>1065</v>
      </c>
      <c r="BA2" s="8" t="s">
        <v>1066</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9096.41</v>
      </c>
      <c r="C3" s="1469" t="s">
        <v>1067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1068</v>
      </c>
      <c r="B5" s="1259"/>
      <c r="C5" s="1259"/>
      <c r="D5" s="1260"/>
      <c r="E5" s="13" t="s">
        <v>0</v>
      </c>
      <c r="F5" s="13">
        <f>SUM(F13:F587)</f>
        <v>0</v>
      </c>
      <c r="G5" s="13">
        <f>SUM(G13:G587)</f>
        <v>9096.41</v>
      </c>
      <c r="H5" s="13">
        <f t="shared" ref="H5:AT5" si="0">SUM(H13:H656)</f>
        <v>9096.41</v>
      </c>
      <c r="I5" s="13">
        <f t="shared" si="0"/>
        <v>7277.1279999999997</v>
      </c>
      <c r="J5" s="13">
        <f t="shared" si="0"/>
        <v>0</v>
      </c>
      <c r="K5" s="13">
        <f t="shared" si="0"/>
        <v>1819.2819999999999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1068</v>
      </c>
      <c r="AW5" s="1259"/>
      <c r="AX5" s="1259"/>
      <c r="AY5" s="14" t="s">
        <v>2</v>
      </c>
      <c r="AZ5" s="15">
        <f t="shared" ref="AZ5:BT5" si="1">SUM(AZ13:AZ656)</f>
        <v>9096.41</v>
      </c>
      <c r="BA5" s="15">
        <f t="shared" si="1"/>
        <v>9096.41</v>
      </c>
      <c r="BB5" s="15">
        <f t="shared" si="1"/>
        <v>7277.1279999999997</v>
      </c>
      <c r="BC5" s="15">
        <f t="shared" si="1"/>
        <v>1819.2819999999999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1069</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1069</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1070</v>
      </c>
      <c r="B7" s="1461" t="s">
        <v>1071</v>
      </c>
      <c r="C7" s="1461" t="s">
        <v>1072</v>
      </c>
      <c r="D7" s="1461" t="s">
        <v>1073</v>
      </c>
      <c r="E7" s="1461" t="s">
        <v>1074</v>
      </c>
      <c r="F7" s="1461" t="s">
        <v>1075</v>
      </c>
      <c r="G7" s="1478" t="s">
        <v>1076</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1077</v>
      </c>
      <c r="AV7" s="20" t="s">
        <v>1078</v>
      </c>
      <c r="AW7" s="1466" t="s">
        <v>1079</v>
      </c>
      <c r="AX7" s="20" t="s">
        <v>1072</v>
      </c>
      <c r="AY7" s="1259" t="s">
        <v>1080</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1081</v>
      </c>
      <c r="H8" s="1484" t="s">
        <v>1082</v>
      </c>
      <c r="I8" s="1485"/>
      <c r="J8" s="1269"/>
      <c r="K8" s="1269"/>
      <c r="L8" s="1269"/>
      <c r="M8" s="1269"/>
      <c r="N8" s="1269"/>
      <c r="O8" s="1269"/>
      <c r="P8" s="1269"/>
      <c r="Q8" s="1269"/>
      <c r="R8" s="1269"/>
      <c r="S8" s="1269"/>
      <c r="T8" s="1269"/>
      <c r="U8" s="1269"/>
      <c r="V8" s="1486"/>
      <c r="W8" s="1269"/>
      <c r="X8" s="1269"/>
      <c r="Y8" s="1269"/>
      <c r="Z8" s="1269"/>
      <c r="AA8" s="1486"/>
      <c r="AB8" s="1487"/>
      <c r="AC8" s="761" t="s">
        <v>1083</v>
      </c>
      <c r="AD8" s="1488"/>
      <c r="AE8" s="1480"/>
      <c r="AF8" s="1269"/>
      <c r="AG8" s="1269"/>
      <c r="AH8" s="1269"/>
      <c r="AI8" s="1269"/>
      <c r="AJ8" s="1269"/>
      <c r="AK8" s="1269"/>
      <c r="AL8" s="1269"/>
      <c r="AM8" s="1269"/>
      <c r="AN8" s="1269"/>
      <c r="AO8" s="1269"/>
      <c r="AP8" s="1269"/>
      <c r="AQ8" s="1269"/>
      <c r="AR8" s="1269"/>
      <c r="AS8" s="1269"/>
      <c r="AT8" s="1007" t="s">
        <v>1084</v>
      </c>
      <c r="AU8" s="1482" t="s">
        <v>1085</v>
      </c>
      <c r="AV8" s="1007"/>
      <c r="AW8" s="1467"/>
      <c r="AX8" s="1007"/>
      <c r="AY8" s="1466" t="s">
        <v>1086</v>
      </c>
      <c r="AZ8" s="1268" t="s">
        <v>1087</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1088</v>
      </c>
      <c r="I9" s="1491" t="s">
        <v>3395</v>
      </c>
      <c r="J9" s="761"/>
      <c r="K9" s="1491" t="s">
        <v>3396</v>
      </c>
      <c r="L9" s="761"/>
      <c r="M9" s="1491"/>
      <c r="N9" s="761"/>
      <c r="O9" s="1491"/>
      <c r="P9" s="761"/>
      <c r="Q9" s="1491"/>
      <c r="R9" s="761"/>
      <c r="S9" s="1491"/>
      <c r="T9" s="761"/>
      <c r="U9" s="1491"/>
      <c r="V9" s="761"/>
      <c r="W9" s="1491"/>
      <c r="X9" s="1492"/>
      <c r="Y9" s="1491"/>
      <c r="Z9" s="761"/>
      <c r="AA9" s="1491"/>
      <c r="AB9" s="761"/>
      <c r="AC9" s="1483" t="s">
        <v>1088</v>
      </c>
      <c r="AD9" s="12" t="s">
        <v>1089</v>
      </c>
      <c r="AE9" s="1013"/>
      <c r="AF9" s="12" t="s">
        <v>1090</v>
      </c>
      <c r="AG9" s="1013"/>
      <c r="AH9" s="12" t="s">
        <v>1089</v>
      </c>
      <c r="AI9" s="1013"/>
      <c r="AJ9" s="12" t="s">
        <v>1090</v>
      </c>
      <c r="AK9" s="1013"/>
      <c r="AL9" s="12" t="s">
        <v>1089</v>
      </c>
      <c r="AM9" s="1013"/>
      <c r="AN9" s="12" t="s">
        <v>1090</v>
      </c>
      <c r="AO9" s="1013"/>
      <c r="AP9" s="12" t="s">
        <v>1089</v>
      </c>
      <c r="AQ9" s="1013"/>
      <c r="AR9" s="12" t="s">
        <v>1090</v>
      </c>
      <c r="AS9" s="1493"/>
      <c r="AT9" s="1482"/>
      <c r="AU9" s="1482" t="s">
        <v>1091</v>
      </c>
      <c r="AV9" s="1007"/>
      <c r="AW9" s="1467"/>
      <c r="AX9" s="1007"/>
      <c r="AY9" s="25"/>
      <c r="AZ9" s="25" t="s">
        <v>1081</v>
      </c>
      <c r="BA9" s="1494" t="s">
        <v>1092</v>
      </c>
      <c r="BB9" s="1495"/>
      <c r="BC9" s="1025"/>
      <c r="BD9" s="1025"/>
      <c r="BE9" s="1025"/>
      <c r="BF9" s="1025"/>
      <c r="BG9" s="1025"/>
      <c r="BH9" s="1025"/>
      <c r="BI9" s="1025"/>
      <c r="BJ9" s="1025"/>
      <c r="BK9" s="1496"/>
      <c r="BL9" s="12" t="s">
        <v>1093</v>
      </c>
      <c r="BM9" s="1269"/>
      <c r="BN9" s="1485"/>
      <c r="BO9" s="1269"/>
      <c r="BP9" s="1269"/>
      <c r="BQ9" s="1269"/>
      <c r="BR9" s="1269"/>
      <c r="BS9" s="1269"/>
      <c r="BT9" s="23"/>
    </row>
    <row r="10" spans="1:72" s="1489" customFormat="1" ht="12.75">
      <c r="A10" s="1482"/>
      <c r="B10" s="1482"/>
      <c r="C10" s="1482"/>
      <c r="D10" s="1482"/>
      <c r="E10" s="1482"/>
      <c r="F10" s="1482"/>
      <c r="G10" s="1007"/>
      <c r="H10" s="25"/>
      <c r="I10" s="1491" t="s">
        <v>3386</v>
      </c>
      <c r="J10" s="761"/>
      <c r="K10" s="1497" t="s">
        <v>3386</v>
      </c>
      <c r="L10" s="761"/>
      <c r="M10" s="1497"/>
      <c r="N10" s="761"/>
      <c r="O10" s="1497"/>
      <c r="P10" s="761"/>
      <c r="Q10" s="1497"/>
      <c r="R10" s="761"/>
      <c r="S10" s="1497"/>
      <c r="T10" s="761"/>
      <c r="U10" s="1497"/>
      <c r="V10" s="761"/>
      <c r="W10" s="1497"/>
      <c r="X10" s="761"/>
      <c r="Y10" s="1497"/>
      <c r="Z10" s="761"/>
      <c r="AA10" s="1497"/>
      <c r="AB10" s="761"/>
      <c r="AC10" s="1007"/>
      <c r="AD10" s="12" t="s">
        <v>1094</v>
      </c>
      <c r="AE10" s="1498"/>
      <c r="AF10" s="12" t="s">
        <v>1094</v>
      </c>
      <c r="AG10" s="1498"/>
      <c r="AH10" s="12" t="s">
        <v>1095</v>
      </c>
      <c r="AI10" s="1498"/>
      <c r="AJ10" s="12" t="s">
        <v>1095</v>
      </c>
      <c r="AK10" s="1498"/>
      <c r="AL10" s="12" t="s">
        <v>1096</v>
      </c>
      <c r="AM10" s="1013"/>
      <c r="AN10" s="12" t="s">
        <v>1096</v>
      </c>
      <c r="AO10" s="1013"/>
      <c r="AP10" s="12" t="s">
        <v>1097</v>
      </c>
      <c r="AQ10" s="1013"/>
      <c r="AR10" s="12" t="s">
        <v>1097</v>
      </c>
      <c r="AS10" s="1013"/>
      <c r="AT10" s="1482"/>
      <c r="AU10" s="1482"/>
      <c r="AV10" s="1007"/>
      <c r="AW10" s="1467"/>
      <c r="AX10" s="1007"/>
      <c r="AY10" s="25"/>
      <c r="AZ10" s="25"/>
      <c r="BA10" s="1499" t="s">
        <v>1088</v>
      </c>
      <c r="BB10" s="1500" t="str">
        <f>I9</f>
        <v>地上</v>
      </c>
      <c r="BC10" s="26" t="str">
        <f>K9</f>
        <v>地下</v>
      </c>
      <c r="BD10" s="26">
        <f>M9</f>
        <v>0</v>
      </c>
      <c r="BE10" s="26">
        <f>O9</f>
        <v>0</v>
      </c>
      <c r="BF10" s="26">
        <f>Q9</f>
        <v>0</v>
      </c>
      <c r="BG10" s="26">
        <f>S9</f>
        <v>0</v>
      </c>
      <c r="BH10" s="26">
        <f>U9</f>
        <v>0</v>
      </c>
      <c r="BI10" s="26">
        <f>W9</f>
        <v>0</v>
      </c>
      <c r="BJ10" s="26">
        <f>Y9</f>
        <v>0</v>
      </c>
      <c r="BK10" s="26">
        <f>AA9</f>
        <v>0</v>
      </c>
      <c r="BL10" s="22" t="s">
        <v>1088</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1098</v>
      </c>
      <c r="AE11" s="1270"/>
      <c r="AF11" s="1504" t="s">
        <v>1098</v>
      </c>
      <c r="AG11" s="1270"/>
      <c r="AH11" s="1504" t="s">
        <v>1099</v>
      </c>
      <c r="AI11" s="1505"/>
      <c r="AJ11" s="1504" t="s">
        <v>1099</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t="str">
        <f>K10</f>
        <v>公共服务</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8" t="s">
        <v>1101</v>
      </c>
      <c r="W12" s="8" t="s">
        <v>1100</v>
      </c>
      <c r="X12" s="8" t="s">
        <v>1101</v>
      </c>
      <c r="Y12" s="8" t="s">
        <v>1100</v>
      </c>
      <c r="Z12" s="8" t="s">
        <v>1101</v>
      </c>
      <c r="AA12" s="8" t="s">
        <v>1100</v>
      </c>
      <c r="AB12" s="8" t="s">
        <v>1101</v>
      </c>
      <c r="AC12" s="1509"/>
      <c r="AD12" s="1260"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7" t="s">
        <v>1101</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v>1366.08</v>
      </c>
      <c r="B13" s="628"/>
      <c r="C13" s="628"/>
      <c r="D13" s="1513" t="s">
        <v>3394</v>
      </c>
      <c r="E13" s="13">
        <f>IF($C$3="是",ROUND($A$3*G13/$B$3,2),ROUND($A$3*(G13-AT13)/$B$3,2))</f>
        <v>0</v>
      </c>
      <c r="F13" s="29"/>
      <c r="G13" s="30">
        <f>H13+AC13+AT13</f>
        <v>9096.41</v>
      </c>
      <c r="H13" s="17">
        <f>SUMIF(I$12:AB$12,"总值",I13:AB13)</f>
        <v>9096.41</v>
      </c>
      <c r="I13" s="1514">
        <f>Sheet1!D2-'数据-基础表'!K13</f>
        <v>7277.1279999999997</v>
      </c>
      <c r="J13" s="1514"/>
      <c r="K13" s="1514">
        <f>Sheet1!D2/5</f>
        <v>1819.2819999999999</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1366.08</v>
      </c>
      <c r="AW13" s="8">
        <f t="shared" si="6"/>
        <v>0</v>
      </c>
      <c r="AX13" s="8">
        <f t="shared" si="6"/>
        <v>0</v>
      </c>
      <c r="AY13" s="1260">
        <f>ROUND($AY$6*AZ13/$AZ$5,2)</f>
        <v>0</v>
      </c>
      <c r="AZ13" s="13">
        <f>BA13+BL13</f>
        <v>9096.41</v>
      </c>
      <c r="BA13" s="13">
        <f>SUM(BB13:BK13)</f>
        <v>9096.41</v>
      </c>
      <c r="BB13" s="13">
        <f>IF($D13="是",I13-J13,0)</f>
        <v>7277.1279999999997</v>
      </c>
      <c r="BC13" s="13">
        <f>IF($D13="是",K13-L13,0)</f>
        <v>1819.2819999999999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CAC68-8BD0-4572-ABB5-1381A76B1623}">
  <sheetPr>
    <tabColor rgb="FFFFFF00"/>
  </sheetPr>
  <dimension ref="B1:H12"/>
  <sheetViews>
    <sheetView tabSelected="1" workbookViewId="0">
      <selection activeCell="G7" sqref="G7"/>
    </sheetView>
  </sheetViews>
  <sheetFormatPr defaultRowHeight="13.5"/>
  <cols>
    <col min="8" max="8" width="14" customWidth="1"/>
  </cols>
  <sheetData>
    <row r="1" spans="2:8" ht="15.75">
      <c r="B1" s="3159" t="s">
        <v>3452</v>
      </c>
      <c r="C1" s="3159" t="s">
        <v>3453</v>
      </c>
      <c r="D1" s="3159" t="s">
        <v>3455</v>
      </c>
      <c r="E1" s="3159" t="s">
        <v>2533</v>
      </c>
      <c r="F1" s="3159"/>
      <c r="G1" s="3159" t="s">
        <v>3459</v>
      </c>
    </row>
    <row r="2" spans="2:8" ht="15.75">
      <c r="B2" s="3159">
        <v>1</v>
      </c>
      <c r="C2" s="3160" t="s">
        <v>3454</v>
      </c>
      <c r="D2" s="3159">
        <v>9096.41</v>
      </c>
      <c r="E2" s="3159" t="s">
        <v>3456</v>
      </c>
      <c r="F2" s="3159"/>
      <c r="G2" s="3159">
        <v>13000</v>
      </c>
      <c r="H2" s="3159">
        <f t="shared" ref="H2:H7" si="0">D2*G2</f>
        <v>118253330</v>
      </c>
    </row>
    <row r="3" spans="2:8" ht="15.75">
      <c r="B3" s="3159">
        <v>3</v>
      </c>
      <c r="C3" s="3160" t="s">
        <v>3457</v>
      </c>
      <c r="D3" s="3159">
        <v>1281.82</v>
      </c>
      <c r="E3" s="3159" t="s">
        <v>3458</v>
      </c>
      <c r="F3" s="3159"/>
      <c r="G3" s="3159">
        <v>13000</v>
      </c>
      <c r="H3" s="3159">
        <f t="shared" si="0"/>
        <v>16663660</v>
      </c>
    </row>
    <row r="4" spans="2:8" ht="15.75">
      <c r="B4" s="3159">
        <v>4</v>
      </c>
      <c r="C4" s="3160" t="s">
        <v>3457</v>
      </c>
      <c r="D4" s="3159">
        <v>1366.08</v>
      </c>
      <c r="E4" s="3159" t="s">
        <v>3458</v>
      </c>
      <c r="F4" s="3159"/>
      <c r="G4" s="3159">
        <f>G3</f>
        <v>13000</v>
      </c>
      <c r="H4" s="3159">
        <f t="shared" si="0"/>
        <v>17759040</v>
      </c>
    </row>
    <row r="5" spans="2:8" ht="15.75">
      <c r="B5" s="3159">
        <v>5</v>
      </c>
      <c r="C5" s="3160" t="s">
        <v>3457</v>
      </c>
      <c r="D5" s="3159">
        <v>1366.08</v>
      </c>
      <c r="E5" s="3159" t="s">
        <v>3458</v>
      </c>
      <c r="F5" s="3159"/>
      <c r="G5" s="3159">
        <f>G4</f>
        <v>13000</v>
      </c>
      <c r="H5" s="3159">
        <f t="shared" si="0"/>
        <v>17759040</v>
      </c>
    </row>
    <row r="6" spans="2:8" ht="15.75">
      <c r="B6" s="3159">
        <v>6</v>
      </c>
      <c r="C6" s="3160" t="s">
        <v>3457</v>
      </c>
      <c r="D6" s="3159">
        <v>1366.08</v>
      </c>
      <c r="E6" s="3159" t="s">
        <v>3458</v>
      </c>
      <c r="F6" s="3159"/>
      <c r="G6" s="3159">
        <f>G4</f>
        <v>13000</v>
      </c>
      <c r="H6" s="3159">
        <f t="shared" si="0"/>
        <v>17759040</v>
      </c>
    </row>
    <row r="7" spans="2:8" ht="15.75">
      <c r="B7" s="3159">
        <v>7</v>
      </c>
      <c r="C7" s="3160" t="s">
        <v>3457</v>
      </c>
      <c r="D7" s="3159">
        <v>1281.82</v>
      </c>
      <c r="E7" s="3159" t="s">
        <v>3458</v>
      </c>
      <c r="F7" s="3159"/>
      <c r="G7" s="3159">
        <f>G4</f>
        <v>13000</v>
      </c>
      <c r="H7" s="3159">
        <f t="shared" si="0"/>
        <v>16663660</v>
      </c>
    </row>
    <row r="8" spans="2:8" ht="15.75">
      <c r="B8" s="3159"/>
      <c r="C8" s="3160"/>
      <c r="D8" s="3159">
        <f>SUM(D2:D7)</f>
        <v>15758.289999999999</v>
      </c>
      <c r="E8" s="3159"/>
      <c r="F8" s="3159"/>
      <c r="G8" s="3159"/>
      <c r="H8" s="3159">
        <f>SUM(H2:H7)/10000</f>
        <v>20485.776999999998</v>
      </c>
    </row>
    <row r="9" spans="2:8" ht="15.75">
      <c r="B9" s="3159"/>
      <c r="C9" s="3160"/>
      <c r="D9" s="3159"/>
      <c r="E9" s="3159"/>
      <c r="F9" s="3159"/>
      <c r="G9" s="3159"/>
    </row>
    <row r="10" spans="2:8" ht="15.75">
      <c r="B10" s="3159"/>
      <c r="C10" s="3159"/>
      <c r="D10" s="3159"/>
      <c r="E10" s="3159"/>
      <c r="F10" s="3159"/>
      <c r="G10" s="3159"/>
    </row>
    <row r="11" spans="2:8" ht="15.75">
      <c r="B11" s="3159"/>
      <c r="C11" s="3159"/>
      <c r="D11" s="3159"/>
      <c r="E11" s="3159"/>
      <c r="F11" s="3159"/>
      <c r="G11" s="3159"/>
    </row>
    <row r="12" spans="2:8" ht="15.75">
      <c r="B12" s="3159"/>
      <c r="C12" s="3159"/>
      <c r="D12" s="3159"/>
      <c r="E12" s="3159"/>
      <c r="F12" s="3159"/>
      <c r="G12" s="3159"/>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39" sqref="I3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1127</v>
      </c>
      <c r="B1" s="1071"/>
      <c r="C1" s="1071"/>
      <c r="D1" s="1071"/>
      <c r="E1" s="1071"/>
      <c r="F1" s="1071"/>
      <c r="G1" s="1071"/>
      <c r="H1" s="1071"/>
      <c r="I1" s="1071"/>
      <c r="J1" s="1071"/>
      <c r="K1" s="1071"/>
      <c r="L1" s="1071"/>
      <c r="M1" s="1071"/>
      <c r="N1" s="1071"/>
      <c r="O1" s="1071"/>
      <c r="P1" s="1071"/>
    </row>
    <row r="2" spans="1:16" ht="15">
      <c r="A2" s="3241" t="s">
        <v>1128</v>
      </c>
      <c r="B2" s="3241"/>
      <c r="C2" s="3241"/>
      <c r="D2" s="748" t="s">
        <v>1104</v>
      </c>
      <c r="E2" s="1523" t="s">
        <v>1105</v>
      </c>
      <c r="F2" s="2434"/>
      <c r="G2" s="2427"/>
      <c r="H2" s="2428"/>
      <c r="I2" s="2146" t="s">
        <v>1129</v>
      </c>
      <c r="J2" s="2434"/>
      <c r="K2" s="2434"/>
      <c r="L2" s="2434"/>
      <c r="M2" s="2434"/>
      <c r="N2" s="2435"/>
      <c r="O2" s="2434"/>
      <c r="P2" s="2434"/>
    </row>
    <row r="3" spans="1:16" ht="15.75" thickBot="1">
      <c r="A3" s="3242" t="s">
        <v>1102</v>
      </c>
      <c r="B3" s="3242"/>
      <c r="C3" s="3242"/>
      <c r="D3" s="41">
        <f>'数据-基础表'!AY6</f>
        <v>0</v>
      </c>
      <c r="E3" s="41">
        <f>'数据-基础表'!AZ5</f>
        <v>9096.41</v>
      </c>
      <c r="F3" s="2434"/>
      <c r="G3" s="42"/>
      <c r="H3" s="43" t="s">
        <v>1103</v>
      </c>
      <c r="I3" s="802" t="e">
        <f>ROUND('数据-基础表'!B3/'数据-基础表'!A3,2)</f>
        <v>#DIV/0!</v>
      </c>
      <c r="J3" s="2434"/>
      <c r="K3" s="2434"/>
      <c r="L3" s="2434"/>
      <c r="M3" s="2434"/>
      <c r="N3" s="2435"/>
      <c r="O3" s="2434"/>
      <c r="P3" s="2434"/>
    </row>
    <row r="4" spans="1:16" ht="15">
      <c r="A4" s="3243"/>
      <c r="B4" s="3244"/>
      <c r="C4" s="3245"/>
      <c r="D4" s="1524" t="s">
        <v>1104</v>
      </c>
      <c r="E4" s="1525" t="s">
        <v>1105</v>
      </c>
      <c r="F4" s="2434"/>
      <c r="G4" s="2429" t="s">
        <v>1130</v>
      </c>
      <c r="H4" s="43" t="s">
        <v>1110</v>
      </c>
      <c r="I4" s="802" t="e">
        <f>ROUND(SUMIF('数据-基础表'!I9:AS9,"地上",'数据-基础表'!I5:AS5)/'数据-基础表'!A3,2)</f>
        <v>#DIV/0!</v>
      </c>
      <c r="J4" s="2434"/>
      <c r="K4" s="2434"/>
      <c r="L4" s="2434"/>
      <c r="M4" s="2434"/>
      <c r="N4" s="2435"/>
      <c r="O4" s="2434"/>
      <c r="P4" s="2434"/>
    </row>
    <row r="5" spans="1:16">
      <c r="A5" s="42" t="s">
        <v>1106</v>
      </c>
      <c r="B5" s="3246" t="s">
        <v>1107</v>
      </c>
      <c r="C5" s="3246"/>
      <c r="D5" s="43">
        <f>ROUND($D$3*E5/$E$3,2)</f>
        <v>0</v>
      </c>
      <c r="E5" s="44">
        <f>SUMIF('数据-基础表'!$11:$11,"住宅",'数据-基础表'!$5:$5)</f>
        <v>0</v>
      </c>
      <c r="F5" s="2434"/>
      <c r="G5" s="42"/>
      <c r="H5" s="43" t="s">
        <v>1103</v>
      </c>
      <c r="I5" s="802" t="e">
        <f>ROUND(E31/D31,2)</f>
        <v>#DIV/0!</v>
      </c>
      <c r="J5" s="2434"/>
      <c r="K5" s="2434"/>
      <c r="L5" s="2434"/>
      <c r="M5" s="2434"/>
      <c r="N5" s="2434"/>
      <c r="O5" s="2434"/>
      <c r="P5" s="2434"/>
    </row>
    <row r="6" spans="1:16" ht="15" thickBot="1">
      <c r="A6" s="1527"/>
      <c r="B6" s="3246" t="s">
        <v>1108</v>
      </c>
      <c r="C6" s="3246"/>
      <c r="D6" s="43">
        <f>ROUND($D$3*E6/$E$3,2)</f>
        <v>0</v>
      </c>
      <c r="E6" s="44">
        <f>E3-E5</f>
        <v>9096.41</v>
      </c>
      <c r="F6" s="2434"/>
      <c r="G6" s="1529" t="s">
        <v>1109</v>
      </c>
      <c r="H6" s="45" t="s">
        <v>1110</v>
      </c>
      <c r="I6" s="2430" t="e">
        <f>ROUND(F31/D31,2)</f>
        <v>#DIV/0!</v>
      </c>
      <c r="J6" s="2434"/>
      <c r="K6" s="2434"/>
      <c r="L6" s="2434"/>
      <c r="M6" s="2434"/>
      <c r="N6" s="2434"/>
      <c r="O6" s="2434"/>
      <c r="P6" s="2434"/>
    </row>
    <row r="7" spans="1:16" ht="15.75" thickBot="1">
      <c r="A7" s="3238"/>
      <c r="B7" s="3239"/>
      <c r="C7" s="3240"/>
      <c r="D7" s="1524" t="s">
        <v>1104</v>
      </c>
      <c r="E7" s="1528" t="s">
        <v>1111</v>
      </c>
      <c r="F7" s="2434"/>
      <c r="G7" s="2431" t="s">
        <v>1112</v>
      </c>
      <c r="H7" s="95"/>
      <c r="I7" s="2432">
        <v>1.18</v>
      </c>
      <c r="J7" s="2434"/>
      <c r="K7" s="2434"/>
      <c r="L7" s="2434"/>
      <c r="M7" s="2434"/>
      <c r="N7" s="2434"/>
      <c r="O7" s="2434"/>
      <c r="P7" s="2434"/>
    </row>
    <row r="8" spans="1:16">
      <c r="A8" s="42" t="s">
        <v>1113</v>
      </c>
      <c r="B8" s="45" t="s">
        <v>1114</v>
      </c>
      <c r="C8" s="43" t="s">
        <v>1115</v>
      </c>
      <c r="D8" s="43">
        <f t="shared" ref="D8:D15" si="0">ROUND($D$3*E8/$E$3,2)</f>
        <v>0</v>
      </c>
      <c r="E8" s="46">
        <f>SUMIF('数据-基础表'!BB10:BK10,"地上",'数据-基础表'!BB5:BK5)</f>
        <v>7277.1279999999997</v>
      </c>
      <c r="F8" s="2434"/>
      <c r="G8" s="2434"/>
      <c r="H8" s="2434"/>
      <c r="I8" s="2434"/>
      <c r="J8" s="2434"/>
      <c r="K8" s="2434"/>
      <c r="L8" s="2434"/>
      <c r="M8" s="2434"/>
      <c r="N8" s="2434"/>
      <c r="O8" s="2434"/>
      <c r="P8" s="2434"/>
    </row>
    <row r="9" spans="1:16">
      <c r="A9" s="1529"/>
      <c r="B9" s="1530"/>
      <c r="C9" s="43" t="s">
        <v>1116</v>
      </c>
      <c r="D9" s="43">
        <f t="shared" si="0"/>
        <v>0</v>
      </c>
      <c r="E9" s="47">
        <v>0</v>
      </c>
      <c r="F9" s="2434"/>
      <c r="G9" s="2434"/>
      <c r="H9" s="2434"/>
      <c r="I9" s="2434"/>
      <c r="J9" s="2434"/>
      <c r="K9" s="2434"/>
      <c r="L9" s="2434"/>
      <c r="M9" s="2434"/>
      <c r="N9" s="2434"/>
      <c r="O9" s="2434"/>
      <c r="P9" s="2434"/>
    </row>
    <row r="10" spans="1:16">
      <c r="A10" s="1529"/>
      <c r="B10" s="1530"/>
      <c r="C10" s="43" t="s">
        <v>1125</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9"/>
      <c r="B11" s="1530"/>
      <c r="C11" s="43" t="s">
        <v>1117</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9"/>
      <c r="B12" s="1530"/>
      <c r="C12" s="43" t="s">
        <v>1118</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9"/>
      <c r="B13" s="1530"/>
      <c r="C13" s="43" t="s">
        <v>1119</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9"/>
      <c r="B14" s="1530"/>
      <c r="C14" s="43" t="s">
        <v>1131</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9"/>
      <c r="B15" s="1530"/>
      <c r="C15" s="43" t="s">
        <v>1126</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7"/>
      <c r="B16" s="1530"/>
      <c r="C16" s="45" t="s">
        <v>1120</v>
      </c>
      <c r="D16" s="45">
        <f>SUM(D8:D15)</f>
        <v>0</v>
      </c>
      <c r="E16" s="48">
        <f>SUM(E8:E15)</f>
        <v>7277.1279999999997</v>
      </c>
      <c r="F16" s="2434"/>
      <c r="G16" s="2434"/>
      <c r="H16" s="1531" t="s">
        <v>1132</v>
      </c>
      <c r="I16" s="1532"/>
      <c r="J16" s="1071"/>
      <c r="K16" s="3235" t="s">
        <v>1132</v>
      </c>
      <c r="L16" s="3236"/>
      <c r="M16" s="3236"/>
      <c r="N16" s="3236"/>
      <c r="O16" s="3236"/>
      <c r="P16" s="3237"/>
    </row>
    <row r="17" spans="1:19" ht="15">
      <c r="A17" s="1533" t="s">
        <v>1133</v>
      </c>
      <c r="B17" s="1534" t="s">
        <v>1134</v>
      </c>
      <c r="C17" s="1535" t="s">
        <v>1135</v>
      </c>
      <c r="D17" s="1536" t="s">
        <v>1123</v>
      </c>
      <c r="E17" s="1537" t="s">
        <v>1124</v>
      </c>
      <c r="F17" s="1538"/>
      <c r="G17" s="1539"/>
      <c r="H17" s="1540" t="s">
        <v>1136</v>
      </c>
      <c r="I17" s="1541" t="s">
        <v>1121</v>
      </c>
      <c r="J17" s="1071"/>
      <c r="K17" s="3232" t="s">
        <v>1137</v>
      </c>
      <c r="L17" s="3233"/>
      <c r="M17" s="3234"/>
      <c r="N17" s="3232" t="s">
        <v>1138</v>
      </c>
      <c r="O17" s="3233"/>
      <c r="P17" s="3234"/>
      <c r="R17" s="769" t="s">
        <v>1139</v>
      </c>
      <c r="S17" s="54"/>
    </row>
    <row r="18" spans="1:19" ht="15">
      <c r="A18" s="1529"/>
      <c r="B18" s="1526"/>
      <c r="C18" s="1542"/>
      <c r="D18" s="1543"/>
      <c r="E18" s="1544" t="s">
        <v>1140</v>
      </c>
      <c r="F18" s="1545" t="s">
        <v>1141</v>
      </c>
      <c r="G18" s="1546" t="s">
        <v>1142</v>
      </c>
      <c r="H18" s="980" t="s">
        <v>1143</v>
      </c>
      <c r="I18" s="1547" t="s">
        <v>1144</v>
      </c>
      <c r="J18" s="1071"/>
      <c r="K18" s="980" t="s">
        <v>1145</v>
      </c>
      <c r="L18" s="1548" t="s">
        <v>1146</v>
      </c>
      <c r="M18" s="802" t="s">
        <v>1147</v>
      </c>
      <c r="N18" s="980" t="s">
        <v>1145</v>
      </c>
      <c r="O18" s="1548" t="s">
        <v>1146</v>
      </c>
      <c r="P18" s="802" t="s">
        <v>1147</v>
      </c>
      <c r="R18" s="43" t="s">
        <v>1148</v>
      </c>
      <c r="S18" s="43" t="s">
        <v>1149</v>
      </c>
    </row>
    <row r="19" spans="1:19">
      <c r="A19" s="1549"/>
      <c r="B19" s="45" t="s">
        <v>1122</v>
      </c>
      <c r="C19" s="3111" t="s">
        <v>3398</v>
      </c>
      <c r="D19" s="43">
        <f>ROUND($D$3*E19/$E$3,2)</f>
        <v>0</v>
      </c>
      <c r="E19" s="51">
        <f t="shared" ref="E19:E26" si="1">SUM(F19:G19)</f>
        <v>9096.41</v>
      </c>
      <c r="F19" s="2553">
        <f>'数据-基础表'!I5</f>
        <v>7277.1279999999997</v>
      </c>
      <c r="G19" s="1243">
        <f>'数据-基础表'!K5</f>
        <v>1819.2819999999999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9096.41</v>
      </c>
    </row>
    <row r="20" spans="1:19">
      <c r="A20" s="1549"/>
      <c r="B20" s="45" t="s">
        <v>1150</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1150</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1150</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1150</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1150</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1150</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1150</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1151</v>
      </c>
      <c r="D27" s="1072">
        <f>SUM(D19:D26)</f>
        <v>0</v>
      </c>
      <c r="E27" s="1073">
        <f>IF(SUM(E19:E26)='数据-基础表'!BA5,SUM(E19:E26),IF(F27="地上面积有误","面积有误","地下面积有误"))</f>
        <v>9096.41</v>
      </c>
      <c r="F27" s="1072">
        <f>IF(SUM(F19:F26)=E8,SUM(F19:F26),"地上面积有误")</f>
        <v>7277.1279999999997</v>
      </c>
      <c r="G27" s="1074">
        <f>SUM(G19:G26)</f>
        <v>1819.2819999999999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9096.41</v>
      </c>
    </row>
    <row r="28" spans="1:19">
      <c r="A28" s="1549"/>
      <c r="B28" s="45" t="s">
        <v>1152</v>
      </c>
      <c r="C28" s="54" t="s">
        <v>1153</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9"/>
      <c r="B29" s="45" t="s">
        <v>1152</v>
      </c>
      <c r="C29" s="1555" t="s">
        <v>1154</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9"/>
      <c r="B30" s="45"/>
      <c r="C30" s="1556" t="s">
        <v>1151</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7"/>
      <c r="B31" s="96"/>
      <c r="C31" s="785" t="s">
        <v>1155</v>
      </c>
      <c r="D31" s="643">
        <f>D27+D30</f>
        <v>0</v>
      </c>
      <c r="E31" s="643">
        <f>E27+E30</f>
        <v>9096.41</v>
      </c>
      <c r="F31" s="644">
        <f>F27+F30</f>
        <v>7277.1279999999997</v>
      </c>
      <c r="G31" s="645">
        <f>G27+G30</f>
        <v>1819.2819999999999</v>
      </c>
      <c r="H31" s="2434"/>
      <c r="I31" s="2434"/>
      <c r="J31" s="2434"/>
      <c r="K31" s="2434"/>
      <c r="L31" s="2434"/>
      <c r="M31" s="2434"/>
      <c r="N31" s="2434"/>
      <c r="O31" s="2434"/>
      <c r="P31" s="2434"/>
    </row>
    <row r="32" spans="1:19">
      <c r="A32" s="1526"/>
      <c r="B32" s="1526" t="s">
        <v>1156</v>
      </c>
      <c r="C32" s="1526"/>
      <c r="D32" s="1526"/>
      <c r="E32" s="990">
        <f>SUMIF(C19:C26,"*住宅*",E19:E26)</f>
        <v>0</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D3" sqref="D3"/>
      <selection pane="topRight" activeCell="D3" sqref="D3"/>
      <selection pane="bottomLeft" activeCell="D3" sqref="D3"/>
      <selection pane="bottomRight" activeCell="AL7" sqref="AL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9.12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1157</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75" thickBot="1">
      <c r="A2" s="1562" t="s">
        <v>1158</v>
      </c>
      <c r="B2" s="984">
        <f>项目基本情况!D3</f>
        <v>45355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1159</v>
      </c>
      <c r="B4" s="1564"/>
      <c r="C4" s="1565"/>
      <c r="D4" s="1566"/>
      <c r="E4" s="1565" t="s">
        <v>1160</v>
      </c>
      <c r="F4" s="1565"/>
      <c r="G4" s="1565"/>
      <c r="H4" s="1565"/>
      <c r="I4" s="1565"/>
      <c r="J4" s="1567"/>
      <c r="K4" s="1568"/>
      <c r="L4" s="1569"/>
      <c r="M4" s="1565"/>
      <c r="N4" s="1565" t="s">
        <v>1161</v>
      </c>
      <c r="O4" s="1565"/>
      <c r="P4" s="1565"/>
      <c r="Q4" s="1565"/>
      <c r="R4" s="1565"/>
      <c r="S4" s="1567"/>
      <c r="T4" s="2433" t="str">
        <f>'数据-汇总表'!I17</f>
        <v>按面积比例</v>
      </c>
      <c r="U4" s="1564" t="s">
        <v>1162</v>
      </c>
      <c r="V4" s="1565"/>
      <c r="W4" s="1565"/>
      <c r="X4" s="1565"/>
      <c r="Y4" s="1567"/>
      <c r="Z4" s="1535" t="s">
        <v>1163</v>
      </c>
      <c r="AA4" s="1535"/>
      <c r="AB4" s="1535"/>
      <c r="AC4" s="1535"/>
      <c r="AD4" s="1535"/>
      <c r="AE4" s="1533" t="s">
        <v>1164</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1165</v>
      </c>
      <c r="B5" s="1572" t="s">
        <v>1166</v>
      </c>
      <c r="C5" s="1573" t="s">
        <v>1167</v>
      </c>
      <c r="D5" s="1574" t="s">
        <v>1168</v>
      </c>
      <c r="E5" s="504" t="s">
        <v>1169</v>
      </c>
      <c r="F5" s="1575" t="s">
        <v>1170</v>
      </c>
      <c r="G5" s="504" t="s">
        <v>1171</v>
      </c>
      <c r="H5" s="504" t="s">
        <v>1172</v>
      </c>
      <c r="I5" s="504" t="s">
        <v>1173</v>
      </c>
      <c r="J5" s="1247" t="s">
        <v>1174</v>
      </c>
      <c r="K5" s="1576" t="s">
        <v>1175</v>
      </c>
      <c r="L5" s="1577" t="s">
        <v>1176</v>
      </c>
      <c r="M5" s="1578" t="s">
        <v>1177</v>
      </c>
      <c r="N5" s="1579" t="s">
        <v>3399</v>
      </c>
      <c r="O5" s="1577" t="s">
        <v>1178</v>
      </c>
      <c r="P5" s="1580" t="s">
        <v>1179</v>
      </c>
      <c r="Q5" s="58" t="s">
        <v>1180</v>
      </c>
      <c r="R5" s="1581" t="s">
        <v>1181</v>
      </c>
      <c r="S5" s="1582" t="s">
        <v>1182</v>
      </c>
      <c r="T5" s="1583" t="s">
        <v>1183</v>
      </c>
      <c r="U5" s="985" t="s">
        <v>1184</v>
      </c>
      <c r="V5" s="504" t="s">
        <v>1185</v>
      </c>
      <c r="W5" s="504" t="s">
        <v>1186</v>
      </c>
      <c r="X5" s="60"/>
      <c r="Y5" s="59" t="s">
        <v>1187</v>
      </c>
      <c r="Z5" s="1101" t="s">
        <v>1184</v>
      </c>
      <c r="AA5" s="504" t="s">
        <v>1185</v>
      </c>
      <c r="AB5" s="504" t="s">
        <v>1186</v>
      </c>
      <c r="AC5" s="60"/>
      <c r="AD5" s="60" t="s">
        <v>1187</v>
      </c>
      <c r="AE5" s="985" t="s">
        <v>1188</v>
      </c>
      <c r="AF5" s="504" t="s">
        <v>1189</v>
      </c>
      <c r="AG5" s="59" t="s">
        <v>1190</v>
      </c>
      <c r="AH5" s="985" t="s">
        <v>1191</v>
      </c>
      <c r="AI5" s="1101" t="s">
        <v>1192</v>
      </c>
      <c r="AJ5" s="1101" t="s">
        <v>1193</v>
      </c>
      <c r="AK5" s="504" t="s">
        <v>1194</v>
      </c>
      <c r="AL5" s="504" t="s">
        <v>1195</v>
      </c>
      <c r="AM5" s="59" t="s">
        <v>1196</v>
      </c>
      <c r="AN5" s="1584" t="s">
        <v>1197</v>
      </c>
      <c r="AO5" s="1454" t="s">
        <v>1198</v>
      </c>
      <c r="AP5" s="968" t="s">
        <v>1199</v>
      </c>
      <c r="AQ5" s="1585" t="s">
        <v>1200</v>
      </c>
      <c r="AR5" s="1585"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办公独栋</v>
      </c>
      <c r="B6" s="1587" t="str">
        <f>IF(A6=0,"","经营性")</f>
        <v>经营性</v>
      </c>
      <c r="C6" s="1588" t="s">
        <v>3386</v>
      </c>
      <c r="D6" s="805">
        <f>SUMIF(项目基本情况!C$12:I$12,C6,项目基本情况!C$14:I$14)</f>
        <v>50</v>
      </c>
      <c r="E6" s="804">
        <f>IF(B6="","",SUMIF(项目基本情况!C$12:I$12,C6,项目基本情况!C$13:I$13))</f>
        <v>57541</v>
      </c>
      <c r="F6" s="61">
        <f>SUMIF(项目基本情况!C$12:I$12,C6,项目基本情况!C$15:I$15)</f>
        <v>33.380000000000003</v>
      </c>
      <c r="G6" s="62">
        <f>IF(ISERROR(ROUND(POWER(1+H6,D6-F6)*(POWER(1+H6,F6)-1)/(POWER(1+H6,D6)-1),3)),0,ROUND(POWER(1+H6,D6-F6)*(POWER(1+H6,F6)-1)/(POWER(1+H6,D6)-1),3))</f>
        <v>0.86599999999999999</v>
      </c>
      <c r="H6" s="691">
        <v>4.4999999999999998E-2</v>
      </c>
      <c r="I6" s="691">
        <v>0.05</v>
      </c>
      <c r="J6" s="63">
        <v>7.0000000000000007E-2</v>
      </c>
      <c r="K6" s="970">
        <f>SUMIF('数据-汇总表'!C$19:C$33,A6,'数据-汇总表'!E$19:E$33)</f>
        <v>9096.41</v>
      </c>
      <c r="L6" s="692">
        <v>3800</v>
      </c>
      <c r="M6" s="64">
        <f t="shared" ref="M6:M14" si="0">ROUND(K6*L6/10000,0)</f>
        <v>3457</v>
      </c>
      <c r="N6" s="690">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2.2999999999999998</v>
      </c>
      <c r="V6" s="67">
        <v>0.02</v>
      </c>
      <c r="W6" s="67">
        <v>0.1</v>
      </c>
      <c r="X6" s="979"/>
      <c r="Y6" s="68">
        <f>N6</f>
        <v>0.85</v>
      </c>
      <c r="Z6" s="69"/>
      <c r="AA6" s="63"/>
      <c r="AB6" s="63"/>
      <c r="AC6" s="979"/>
      <c r="AD6" s="70"/>
      <c r="AE6" s="980">
        <f ca="1">IF(AN6="",0,SUMIF(INDIRECT("'"&amp;AN6&amp;"'"&amp;"!E:E"),$AE$5,INDIRECT("'"&amp;AN6&amp;"'"&amp;"!F:F")))</f>
        <v>33.380000000000003</v>
      </c>
      <c r="AF6" s="74"/>
      <c r="AG6" s="130">
        <f>IF(AF6="",0,AE6-AF6)</f>
        <v>0</v>
      </c>
      <c r="AH6" s="71"/>
      <c r="AI6" s="73">
        <v>365</v>
      </c>
      <c r="AJ6" s="74"/>
      <c r="AK6" s="75">
        <v>5.0000000000000001E-3</v>
      </c>
      <c r="AL6" s="76">
        <v>1E-3</v>
      </c>
      <c r="AM6" s="77">
        <v>5.0000000000000001E-3</v>
      </c>
      <c r="AN6" s="1589" t="s">
        <v>3406</v>
      </c>
      <c r="AO6" s="50">
        <f ca="1">SUMIF(INDIRECT("'"&amp;AN6&amp;"'"&amp;"!A:A"),"总价",INDIRECT("'"&amp;AN6&amp;"'"&amp;"!B:B"))</f>
        <v>11346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1202</v>
      </c>
      <c r="B14" s="1587" t="s">
        <v>1203</v>
      </c>
      <c r="C14" s="1592" t="s">
        <v>1202</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1204</v>
      </c>
      <c r="B15" s="1587" t="s">
        <v>1203</v>
      </c>
      <c r="C15" s="1592" t="s">
        <v>1205</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1206</v>
      </c>
      <c r="B16" s="82"/>
      <c r="C16" s="783"/>
      <c r="D16" s="1594"/>
      <c r="E16" s="82"/>
      <c r="F16" s="82"/>
      <c r="G16" s="83">
        <f>ROUND(SUMPRODUCT(G6:G13,K6:K13)/SUMPRODUCT((G6:G13&gt;0)*(K6:K13)),3)</f>
        <v>0.86599999999999999</v>
      </c>
      <c r="H16" s="84">
        <f>ROUND(SUMPRODUCT(H6:H13,K6:K13)/SUMPRODUCT((H6:H13&gt;0)*(K6:K13)),3)</f>
        <v>4.4999999999999998E-2</v>
      </c>
      <c r="I16" s="85"/>
      <c r="J16" s="85"/>
      <c r="K16" s="86">
        <f>SUM(K6:K15)</f>
        <v>9096.41</v>
      </c>
      <c r="L16" s="87">
        <f>ROUND(M16*10000/SUM(K6:K14),0)</f>
        <v>3800</v>
      </c>
      <c r="M16" s="87">
        <f>SUM(M6:M14)</f>
        <v>3457</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1207</v>
      </c>
      <c r="B18" s="2456"/>
      <c r="C18" s="2434"/>
      <c r="D18" s="2447"/>
      <c r="E18" s="2434"/>
      <c r="F18" s="2434"/>
      <c r="G18" s="2434"/>
      <c r="H18" s="2434"/>
      <c r="I18" s="2434"/>
      <c r="J18" s="2434"/>
      <c r="K18" s="2445"/>
      <c r="L18" s="2445"/>
      <c r="M18" s="3141" t="s">
        <v>3400</v>
      </c>
      <c r="N18" s="2444">
        <v>2011</v>
      </c>
      <c r="O18" s="2444"/>
      <c r="P18" s="2444"/>
      <c r="Q18" s="2444"/>
      <c r="R18" s="2444"/>
      <c r="S18" s="2444"/>
      <c r="T18" s="2444"/>
      <c r="U18" s="2444"/>
      <c r="V18" s="3141" t="s">
        <v>3404</v>
      </c>
      <c r="W18" s="3141" t="s">
        <v>3405</v>
      </c>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6" t="s">
        <v>1208</v>
      </c>
      <c r="B19" s="97">
        <v>0</v>
      </c>
      <c r="C19" s="2556" t="s">
        <v>2291</v>
      </c>
      <c r="D19" s="2447"/>
      <c r="E19" s="2434"/>
      <c r="F19" s="2434"/>
      <c r="G19" s="2434"/>
      <c r="H19" s="2434"/>
      <c r="I19" s="2434"/>
      <c r="J19" s="2434"/>
      <c r="K19" s="2445"/>
      <c r="L19" s="2445"/>
      <c r="M19" s="3141" t="s">
        <v>3401</v>
      </c>
      <c r="N19" s="2444">
        <f>ROUND(1-(1-0%)*(2024-N18)/60,2)</f>
        <v>0.78</v>
      </c>
      <c r="O19" s="2444"/>
      <c r="P19" s="2444"/>
      <c r="Q19" s="2444"/>
      <c r="R19" s="2444"/>
      <c r="S19" s="2444">
        <f>T19*V19</f>
        <v>139175073</v>
      </c>
      <c r="T19" s="2444">
        <v>17000</v>
      </c>
      <c r="U19" s="3141" t="s">
        <v>3402</v>
      </c>
      <c r="V19" s="2444">
        <f>'数据-汇总表'!F31+V20</f>
        <v>8186.7689999999993</v>
      </c>
      <c r="W19" s="2444">
        <v>2.6</v>
      </c>
      <c r="X19" s="2444">
        <f>W19*V19</f>
        <v>21285.599399999999</v>
      </c>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7" t="s">
        <v>1209</v>
      </c>
      <c r="B20" s="98">
        <v>2</v>
      </c>
      <c r="C20" s="2557" t="s">
        <v>2289</v>
      </c>
      <c r="D20" s="2447"/>
      <c r="E20" s="2434"/>
      <c r="F20" s="2434"/>
      <c r="G20" s="2434"/>
      <c r="H20" s="2434"/>
      <c r="I20" s="2434"/>
      <c r="J20" s="2434"/>
      <c r="K20" s="2445"/>
      <c r="L20" s="2445"/>
      <c r="M20" s="2444"/>
      <c r="N20" s="2444"/>
      <c r="O20" s="2444"/>
      <c r="P20" s="2444"/>
      <c r="Q20" s="2444"/>
      <c r="R20" s="2444"/>
      <c r="S20" s="2444">
        <f>T20*V20</f>
        <v>4639169.0999999996</v>
      </c>
      <c r="T20" s="2444">
        <f>T19*0.3</f>
        <v>5100</v>
      </c>
      <c r="U20" s="3141" t="s">
        <v>3403</v>
      </c>
      <c r="V20" s="2444">
        <f>'数据-汇总表'!G31/2</f>
        <v>909.64099999999996</v>
      </c>
      <c r="W20" s="2444">
        <v>1.5</v>
      </c>
      <c r="X20" s="2444">
        <f>W20*V20</f>
        <v>1364.4614999999999</v>
      </c>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8" t="s">
        <v>1210</v>
      </c>
      <c r="B21" s="98">
        <f>B20</f>
        <v>2</v>
      </c>
      <c r="C21" s="2434"/>
      <c r="D21" s="2447"/>
      <c r="E21" s="2434"/>
      <c r="F21" s="2434"/>
      <c r="G21" s="2434"/>
      <c r="H21" s="2434"/>
      <c r="I21" s="2434"/>
      <c r="J21" s="2434"/>
      <c r="K21" s="2445"/>
      <c r="L21" s="2445"/>
      <c r="M21" s="2444"/>
      <c r="N21" s="2444"/>
      <c r="O21" s="2444"/>
      <c r="P21" s="2444"/>
      <c r="Q21" s="2444"/>
      <c r="R21" s="2444">
        <f>S21/K16</f>
        <v>15810</v>
      </c>
      <c r="S21" s="2444">
        <f>S20+S19</f>
        <v>143814242.09999999</v>
      </c>
      <c r="T21" s="2444"/>
      <c r="U21" s="2444"/>
      <c r="V21" s="3142">
        <f>K16</f>
        <v>9096.41</v>
      </c>
      <c r="W21" s="2444">
        <f>X21/V21</f>
        <v>2.4900000000000002</v>
      </c>
      <c r="X21" s="2444">
        <f>X20+X19</f>
        <v>22650.0609</v>
      </c>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7" t="s">
        <v>1211</v>
      </c>
      <c r="B22" s="99">
        <f>B19+B20</f>
        <v>2</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8" t="s">
        <v>1212</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1213</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9"/>
      <c r="B25" s="1542"/>
      <c r="C25" s="2434"/>
      <c r="D25" s="2447"/>
      <c r="E25" s="2434"/>
      <c r="F25" s="2434"/>
      <c r="G25" s="2434"/>
      <c r="H25" s="2434"/>
      <c r="I25" s="2434"/>
      <c r="J25" s="2434"/>
      <c r="K25" s="2445"/>
      <c r="L25" s="2445">
        <f ca="1">结果表!G19</f>
        <v>11999</v>
      </c>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1214</v>
      </c>
      <c r="B26" s="1600" t="s">
        <v>1215</v>
      </c>
      <c r="C26" s="2448" t="s">
        <v>1216</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1" t="s">
        <v>1217</v>
      </c>
      <c r="B27" s="101">
        <v>160</v>
      </c>
      <c r="C27" s="2558" t="s">
        <v>2293</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2" t="s">
        <v>1218</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3" t="s">
        <v>1219</v>
      </c>
      <c r="B29" s="105">
        <f ca="1">成本法!C10</f>
        <v>182</v>
      </c>
      <c r="C29" s="2559" t="s">
        <v>2280</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4" t="s">
        <v>1220</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2" t="s">
        <v>1221</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5" t="s">
        <v>1222</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1" t="s">
        <v>1223</v>
      </c>
      <c r="B33" s="640">
        <v>0.05</v>
      </c>
      <c r="C33" s="2560" t="s">
        <v>2281</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2" t="s">
        <v>1224</v>
      </c>
      <c r="B34" s="106">
        <v>0</v>
      </c>
      <c r="C34" s="2560" t="s">
        <v>2282</v>
      </c>
      <c r="D34" s="2455" t="s">
        <v>2290</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2" t="s">
        <v>1225</v>
      </c>
      <c r="B35" s="103">
        <f>B30</f>
        <v>200</v>
      </c>
      <c r="C35" s="2560" t="s">
        <v>2283</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1226</v>
      </c>
      <c r="B36" s="107">
        <v>0.02</v>
      </c>
      <c r="C36" s="2560" t="s">
        <v>2284</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4" t="s">
        <v>1227</v>
      </c>
      <c r="B37" s="108">
        <v>0.03</v>
      </c>
      <c r="C37" s="2560" t="s">
        <v>2285</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2" t="s">
        <v>1228</v>
      </c>
      <c r="B38" s="106">
        <v>0.03</v>
      </c>
      <c r="C38" s="2560" t="s">
        <v>2285</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5" t="s">
        <v>1229</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2300</v>
      </c>
      <c r="B40" s="1015">
        <f ca="1">IF(A40="利息：取LPR",存贷款利率!G1,存贷款利率!G1+C40)</f>
        <v>3.4500000000000003E-2</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1" t="s">
        <v>1230</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6" t="s">
        <v>1231</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6" t="s">
        <v>1232</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7" t="s">
        <v>1233</v>
      </c>
      <c r="B44" s="112">
        <v>0.05</v>
      </c>
      <c r="C44" s="2560" t="s">
        <v>2294</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7" t="s">
        <v>1234</v>
      </c>
      <c r="B45" s="110">
        <v>0.03</v>
      </c>
      <c r="C45" s="2559" t="s">
        <v>2286</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7" t="s">
        <v>1235</v>
      </c>
      <c r="B46" s="110">
        <v>0.02</v>
      </c>
      <c r="C46" s="2559" t="s">
        <v>2287</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1236</v>
      </c>
      <c r="B47" s="113">
        <v>0</v>
      </c>
      <c r="C47" s="2562" t="s">
        <v>2295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9" t="s">
        <v>1237</v>
      </c>
      <c r="B48" s="114">
        <v>0.03</v>
      </c>
      <c r="C48" s="2559" t="s">
        <v>2286</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1238</v>
      </c>
      <c r="B49" s="110">
        <v>5.0000000000000001E-4</v>
      </c>
      <c r="C49" s="2559" t="s">
        <v>2288</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10" t="s">
        <v>1239</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1240</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10" t="s">
        <v>1241</v>
      </c>
      <c r="B52" s="117">
        <f>SUMIF(A54:A63,B53,B54:B63)</f>
        <v>1.5</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2" t="s">
        <v>1242</v>
      </c>
      <c r="B53" s="1611" t="s">
        <v>29</v>
      </c>
      <c r="C53" s="2435" t="s">
        <v>1243</v>
      </c>
      <c r="D53" s="2561" t="s">
        <v>2292</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2" t="s">
        <v>1244</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2" t="s">
        <v>1245</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2" t="s">
        <v>1246</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2" t="s">
        <v>1247</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2" t="s">
        <v>1248</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2" t="s">
        <v>1249</v>
      </c>
      <c r="B59" s="72">
        <f>C59</f>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2" t="s">
        <v>1250</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2" t="s">
        <v>1251</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2" t="s">
        <v>1252</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1253</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D3" sqref="D3"/>
      <selection pane="topRight" activeCell="D3" sqref="D3"/>
      <selection pane="bottomLeft" activeCell="D3" sqref="D3"/>
      <selection pane="bottomRight" activeCell="G8" sqref="G8"/>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1" customWidth="1"/>
    <col min="19" max="29" width="9" style="751"/>
    <col min="30" max="16384" width="9" style="1522"/>
  </cols>
  <sheetData>
    <row r="1" spans="1:29" s="2258" customFormat="1" ht="18.75" thickBot="1">
      <c r="A1" s="3247" t="s">
        <v>2272</v>
      </c>
      <c r="B1" s="3248"/>
      <c r="C1" s="3248"/>
      <c r="D1" s="3248"/>
      <c r="E1" s="3248"/>
      <c r="F1" s="3248"/>
      <c r="G1" s="324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2269</v>
      </c>
      <c r="D2" s="1595"/>
      <c r="E2" s="2259"/>
      <c r="F2" s="2262"/>
      <c r="G2" s="2261" t="s">
        <v>2270</v>
      </c>
      <c r="H2" s="751"/>
      <c r="I2" s="751"/>
      <c r="J2" s="751"/>
      <c r="K2" s="751"/>
      <c r="L2" s="751"/>
      <c r="M2" s="751"/>
      <c r="N2" s="751"/>
      <c r="O2" s="751"/>
      <c r="P2" s="751"/>
      <c r="Q2" s="751"/>
    </row>
    <row r="3" spans="1:29" ht="24">
      <c r="A3" s="2246" t="s">
        <v>2271</v>
      </c>
      <c r="B3" s="2263" t="s">
        <v>2247</v>
      </c>
      <c r="C3" s="3143" t="s">
        <v>3407</v>
      </c>
      <c r="D3" s="2264"/>
      <c r="E3" s="2247" t="s">
        <v>2271</v>
      </c>
      <c r="F3" s="2265" t="s">
        <v>2248</v>
      </c>
      <c r="G3" s="3146" t="s">
        <v>3407</v>
      </c>
      <c r="H3" s="751"/>
      <c r="I3" s="751"/>
      <c r="J3" s="751"/>
      <c r="K3" s="751"/>
      <c r="L3" s="751"/>
      <c r="M3" s="751"/>
      <c r="N3" s="751"/>
      <c r="O3" s="751"/>
      <c r="P3" s="751"/>
      <c r="Q3" s="751"/>
    </row>
    <row r="4" spans="1:29">
      <c r="A4" s="2247"/>
      <c r="B4" s="315" t="s">
        <v>2249</v>
      </c>
      <c r="C4" s="3144" t="s">
        <v>3408</v>
      </c>
      <c r="D4" s="2264"/>
      <c r="E4" s="2266"/>
      <c r="F4" s="1281" t="s">
        <v>2250</v>
      </c>
      <c r="G4" s="3145" t="s">
        <v>3409</v>
      </c>
      <c r="H4" s="751"/>
      <c r="I4" s="751"/>
      <c r="J4" s="751"/>
      <c r="K4" s="751"/>
      <c r="L4" s="751"/>
      <c r="M4" s="751"/>
      <c r="N4" s="751"/>
      <c r="O4" s="751"/>
      <c r="P4" s="751"/>
      <c r="Q4" s="751"/>
    </row>
    <row r="5" spans="1:29">
      <c r="A5" s="2247"/>
      <c r="B5" s="315" t="s">
        <v>2251</v>
      </c>
      <c r="C5" s="3144" t="s">
        <v>3408</v>
      </c>
      <c r="D5" s="2264"/>
      <c r="E5" s="2266"/>
      <c r="F5" s="315" t="s">
        <v>2252</v>
      </c>
      <c r="G5" s="3145" t="s">
        <v>3409</v>
      </c>
      <c r="H5" s="751"/>
      <c r="I5" s="751"/>
      <c r="J5" s="751"/>
      <c r="K5" s="751"/>
      <c r="L5" s="751"/>
      <c r="M5" s="751"/>
      <c r="N5" s="751"/>
      <c r="O5" s="751"/>
      <c r="P5" s="751"/>
      <c r="Q5" s="751"/>
    </row>
    <row r="6" spans="1:29">
      <c r="A6" s="2247"/>
      <c r="B6" s="315" t="s">
        <v>2253</v>
      </c>
      <c r="C6" s="3145" t="s">
        <v>3409</v>
      </c>
      <c r="D6" s="2264"/>
      <c r="E6" s="2266"/>
      <c r="F6" s="315" t="s">
        <v>2254</v>
      </c>
      <c r="G6" s="3145" t="s">
        <v>3411</v>
      </c>
      <c r="H6" s="751"/>
      <c r="I6" s="751"/>
      <c r="J6" s="751"/>
      <c r="K6" s="751"/>
      <c r="L6" s="751"/>
      <c r="M6" s="751"/>
      <c r="N6" s="751"/>
      <c r="O6" s="751"/>
      <c r="P6" s="751"/>
      <c r="Q6" s="751"/>
    </row>
    <row r="7" spans="1:29" ht="15" thickBot="1">
      <c r="A7" s="2247"/>
      <c r="B7" s="315" t="s">
        <v>2252</v>
      </c>
      <c r="C7" s="3145" t="s">
        <v>3409</v>
      </c>
      <c r="D7" s="2244"/>
      <c r="E7" s="2267"/>
      <c r="F7" s="2268" t="s">
        <v>2255</v>
      </c>
      <c r="G7" s="3147" t="s">
        <v>3412</v>
      </c>
      <c r="H7" s="751"/>
      <c r="I7" s="751"/>
      <c r="J7" s="751"/>
      <c r="K7" s="751"/>
      <c r="L7" s="751"/>
      <c r="M7" s="751"/>
      <c r="N7" s="751"/>
      <c r="O7" s="751"/>
      <c r="P7" s="751"/>
      <c r="Q7" s="751"/>
    </row>
    <row r="8" spans="1:29">
      <c r="A8" s="2247"/>
      <c r="B8" s="315" t="s">
        <v>2254</v>
      </c>
      <c r="C8" s="3145" t="s">
        <v>3411</v>
      </c>
      <c r="D8" s="2244"/>
      <c r="E8" s="2244"/>
      <c r="F8" s="121"/>
      <c r="G8" s="121"/>
      <c r="H8" s="751"/>
      <c r="I8" s="751"/>
      <c r="J8" s="751"/>
      <c r="K8" s="751"/>
      <c r="L8" s="751"/>
      <c r="M8" s="751"/>
      <c r="N8" s="751"/>
      <c r="O8" s="751"/>
      <c r="P8" s="751"/>
      <c r="Q8" s="751"/>
    </row>
    <row r="9" spans="1:29">
      <c r="A9" s="2247"/>
      <c r="B9" s="315" t="s">
        <v>2256</v>
      </c>
      <c r="C9" s="3144" t="s">
        <v>3412</v>
      </c>
      <c r="D9" s="2264"/>
      <c r="E9" s="2244"/>
      <c r="F9" s="121"/>
      <c r="G9" s="121"/>
      <c r="H9" s="751"/>
      <c r="I9" s="751"/>
      <c r="J9" s="751"/>
      <c r="K9" s="751"/>
      <c r="L9" s="751"/>
      <c r="M9" s="751"/>
      <c r="N9" s="751"/>
      <c r="O9" s="751"/>
      <c r="P9" s="751"/>
      <c r="Q9" s="751"/>
    </row>
    <row r="10" spans="1:29" ht="15" thickBot="1">
      <c r="A10" s="2248"/>
      <c r="B10" s="2269" t="s">
        <v>2257</v>
      </c>
      <c r="C10" s="2270"/>
      <c r="D10" s="2264"/>
      <c r="E10" s="2264"/>
      <c r="F10" s="121"/>
      <c r="G10" s="121"/>
      <c r="J10" s="2272"/>
      <c r="M10" s="2272"/>
      <c r="P10" s="2272"/>
      <c r="R10" s="2271"/>
    </row>
    <row r="11" spans="1:29">
      <c r="A11" s="2273"/>
      <c r="B11" s="2244"/>
      <c r="C11" s="2264"/>
      <c r="D11" s="2264"/>
      <c r="E11" s="2264"/>
      <c r="F11" s="2244"/>
      <c r="G11" s="2244"/>
      <c r="J11" s="2272"/>
      <c r="M11" s="2272"/>
      <c r="P11" s="2272"/>
      <c r="R11" s="2271"/>
    </row>
    <row r="12" spans="1:29" s="2258" customFormat="1" ht="18">
      <c r="A12" s="2273"/>
      <c r="B12" s="2244"/>
      <c r="C12" s="2264"/>
      <c r="D12" s="2274"/>
      <c r="E12" s="2264"/>
      <c r="F12" s="2244"/>
      <c r="G12" s="2244"/>
      <c r="H12" s="2275"/>
      <c r="I12" s="2275"/>
      <c r="J12" s="2275"/>
      <c r="K12" s="2275"/>
      <c r="L12" s="2276"/>
      <c r="M12" s="2275"/>
      <c r="N12" s="2277"/>
      <c r="O12" s="2277"/>
      <c r="P12" s="2277"/>
      <c r="Q12" s="2277"/>
      <c r="R12" s="2257"/>
      <c r="S12" s="2257"/>
      <c r="T12" s="2257"/>
      <c r="U12" s="2257"/>
      <c r="V12" s="2257"/>
      <c r="W12" s="2257"/>
      <c r="X12" s="2257"/>
      <c r="Y12" s="2257"/>
      <c r="Z12" s="2257"/>
      <c r="AA12" s="2257"/>
      <c r="AB12" s="2257"/>
      <c r="AC12" s="2257"/>
    </row>
    <row r="13" spans="1:29" ht="15.75" thickBot="1">
      <c r="A13" s="2278" t="s">
        <v>2273</v>
      </c>
      <c r="B13" s="2274"/>
      <c r="C13" s="2274"/>
      <c r="D13" s="2273"/>
      <c r="E13" s="2274"/>
      <c r="F13" s="2274"/>
      <c r="G13" s="2274"/>
    </row>
    <row r="14" spans="1:29" ht="15" thickBot="1">
      <c r="A14" s="2279"/>
      <c r="B14" s="2279"/>
      <c r="C14" s="2280" t="s">
        <v>2258</v>
      </c>
      <c r="D14" s="2264"/>
      <c r="E14" s="2281"/>
      <c r="F14" s="2281"/>
      <c r="G14" s="2261" t="s">
        <v>2259</v>
      </c>
    </row>
    <row r="15" spans="1:29" ht="24">
      <c r="A15" s="2249" t="s">
        <v>2260</v>
      </c>
      <c r="B15" s="2282" t="s">
        <v>2247</v>
      </c>
      <c r="C15" s="2283" t="str">
        <f>C3</f>
        <v>较好</v>
      </c>
      <c r="D15" s="2264"/>
      <c r="E15" s="2250" t="s">
        <v>2261</v>
      </c>
      <c r="F15" s="2282" t="s">
        <v>2262</v>
      </c>
      <c r="G15" s="2284" t="str">
        <f>G3</f>
        <v>较好</v>
      </c>
    </row>
    <row r="16" spans="1:29">
      <c r="A16" s="2251"/>
      <c r="B16" s="2285" t="s">
        <v>2249</v>
      </c>
      <c r="C16" s="2286" t="str">
        <f>C4</f>
        <v>一般</v>
      </c>
      <c r="D16" s="2264"/>
      <c r="E16" s="2252"/>
      <c r="F16" s="2287" t="s">
        <v>2250</v>
      </c>
      <c r="G16" s="2288" t="str">
        <f>G4</f>
        <v>一般</v>
      </c>
    </row>
    <row r="17" spans="1:17">
      <c r="A17" s="2251"/>
      <c r="B17" s="2285" t="s">
        <v>2251</v>
      </c>
      <c r="C17" s="2286" t="str">
        <f>C5</f>
        <v>一般</v>
      </c>
      <c r="D17" s="2244"/>
      <c r="E17" s="2252"/>
      <c r="F17" s="2287" t="s">
        <v>2263</v>
      </c>
      <c r="G17" s="2289"/>
    </row>
    <row r="18" spans="1:17">
      <c r="A18" s="2251"/>
      <c r="B18" s="2287" t="s">
        <v>2253</v>
      </c>
      <c r="C18" s="2288" t="str">
        <f>C6</f>
        <v>一般</v>
      </c>
      <c r="D18" s="2244"/>
      <c r="E18" s="2252"/>
      <c r="F18" s="2287" t="s">
        <v>2255</v>
      </c>
      <c r="G18" s="2288" t="str">
        <f>G7</f>
        <v>较好</v>
      </c>
    </row>
    <row r="19" spans="1:17">
      <c r="A19" s="2251"/>
      <c r="B19" s="2287" t="s">
        <v>2264</v>
      </c>
      <c r="C19" s="2289"/>
      <c r="D19" s="2264"/>
      <c r="E19" s="2252"/>
      <c r="F19" s="315" t="s">
        <v>2252</v>
      </c>
      <c r="G19" s="2288" t="str">
        <f>G5</f>
        <v>一般</v>
      </c>
    </row>
    <row r="20" spans="1:17">
      <c r="A20" s="2251"/>
      <c r="B20" s="2287" t="s">
        <v>2265</v>
      </c>
      <c r="C20" s="2286" t="str">
        <f>C9</f>
        <v>较好</v>
      </c>
      <c r="D20" s="2244"/>
      <c r="E20" s="2252"/>
      <c r="F20" s="315" t="s">
        <v>2254</v>
      </c>
      <c r="G20" s="2288" t="str">
        <f>G6</f>
        <v>七通</v>
      </c>
    </row>
    <row r="21" spans="1:17">
      <c r="A21" s="2251"/>
      <c r="B21" s="315" t="s">
        <v>2252</v>
      </c>
      <c r="C21" s="2288" t="str">
        <f>C7</f>
        <v>一般</v>
      </c>
      <c r="D21" s="2264"/>
      <c r="E21" s="2252"/>
      <c r="F21" s="2287" t="s">
        <v>2266</v>
      </c>
      <c r="G21" s="2290"/>
    </row>
    <row r="22" spans="1:17" ht="13.5" customHeight="1">
      <c r="A22" s="2251"/>
      <c r="B22" s="315" t="s">
        <v>2254</v>
      </c>
      <c r="C22" s="2288" t="str">
        <f>C8</f>
        <v>七通</v>
      </c>
      <c r="D22" s="2264"/>
      <c r="E22" s="2252"/>
      <c r="F22" s="2287" t="s">
        <v>2257</v>
      </c>
      <c r="G22" s="2289"/>
    </row>
    <row r="23" spans="1:17" s="751" customFormat="1" ht="15" thickBot="1">
      <c r="A23" s="2251"/>
      <c r="B23" s="2287" t="s">
        <v>2266</v>
      </c>
      <c r="C23" s="2290"/>
      <c r="D23" s="1614"/>
      <c r="E23" s="2253"/>
      <c r="F23" s="2291" t="s">
        <v>2267</v>
      </c>
      <c r="G23" s="2292"/>
      <c r="H23" s="2271"/>
      <c r="I23" s="2271"/>
      <c r="J23" s="2271"/>
      <c r="K23" s="2271"/>
      <c r="L23" s="2271"/>
      <c r="M23" s="2271"/>
      <c r="N23" s="2271"/>
      <c r="O23" s="2271"/>
      <c r="P23" s="2271"/>
      <c r="Q23" s="2271"/>
    </row>
    <row r="24" spans="1:17" s="751" customFormat="1" ht="15" thickBot="1">
      <c r="A24" s="2254"/>
      <c r="B24" s="2291" t="s">
        <v>2268</v>
      </c>
      <c r="C24" s="2293">
        <f>C10</f>
        <v>0</v>
      </c>
      <c r="D24" s="1614"/>
      <c r="E24" s="2244"/>
      <c r="F24" s="2244"/>
      <c r="G24" s="2244"/>
      <c r="H24" s="2271"/>
      <c r="I24" s="2271"/>
      <c r="J24" s="2271"/>
      <c r="K24" s="2271"/>
      <c r="L24" s="2271"/>
      <c r="M24" s="2271"/>
      <c r="N24" s="2271"/>
      <c r="O24" s="2271"/>
      <c r="P24" s="2271"/>
      <c r="Q24" s="2271"/>
    </row>
    <row r="25" spans="1:17" s="751" customFormat="1">
      <c r="B25" s="2271"/>
      <c r="C25" s="2271"/>
      <c r="D25" s="2271"/>
      <c r="H25" s="2271"/>
      <c r="I25" s="2271"/>
      <c r="J25" s="2271"/>
      <c r="K25" s="2271"/>
      <c r="L25" s="2271"/>
      <c r="M25" s="2271"/>
      <c r="N25" s="2271"/>
      <c r="O25" s="2271"/>
      <c r="P25" s="2271"/>
      <c r="Q25" s="2271"/>
    </row>
    <row r="26" spans="1:17" s="751" customFormat="1">
      <c r="B26" s="2271"/>
      <c r="C26" s="2271"/>
      <c r="D26" s="2271"/>
      <c r="H26" s="2271"/>
      <c r="I26" s="2271"/>
      <c r="J26" s="2271"/>
      <c r="K26" s="2271"/>
      <c r="L26" s="2271"/>
      <c r="M26" s="2271"/>
      <c r="N26" s="2271"/>
      <c r="O26" s="2271"/>
      <c r="P26" s="2271"/>
      <c r="Q26" s="2271"/>
    </row>
    <row r="27" spans="1:17" s="751" customFormat="1">
      <c r="B27" s="2271"/>
      <c r="C27" s="2271"/>
      <c r="D27" s="2271"/>
      <c r="H27" s="2271"/>
      <c r="I27" s="2271"/>
      <c r="J27" s="2271"/>
      <c r="K27" s="2271"/>
      <c r="L27" s="2271"/>
      <c r="M27" s="2271"/>
      <c r="N27" s="2271"/>
      <c r="O27" s="2271"/>
      <c r="P27" s="2271"/>
      <c r="Q27" s="2271"/>
    </row>
    <row r="28" spans="1:17" s="751" customFormat="1">
      <c r="B28" s="2271"/>
      <c r="C28" s="2271"/>
      <c r="D28" s="2271"/>
      <c r="H28" s="2271"/>
      <c r="I28" s="2271"/>
      <c r="J28" s="2271"/>
      <c r="K28" s="2271"/>
      <c r="L28" s="2271"/>
      <c r="M28" s="2271"/>
      <c r="N28" s="2271"/>
      <c r="O28" s="2271"/>
      <c r="P28" s="2271"/>
      <c r="Q28" s="2271"/>
    </row>
    <row r="29" spans="1:17" s="751" customFormat="1">
      <c r="B29" s="2271"/>
      <c r="C29" s="2271"/>
      <c r="D29" s="2271"/>
      <c r="H29" s="2271"/>
      <c r="I29" s="2271"/>
      <c r="J29" s="2271"/>
      <c r="K29" s="2271"/>
      <c r="L29" s="2271"/>
      <c r="M29" s="2271"/>
      <c r="N29" s="2271"/>
      <c r="O29" s="2271"/>
      <c r="P29" s="2271"/>
      <c r="Q29" s="2271"/>
    </row>
    <row r="30" spans="1:17" s="751" customFormat="1">
      <c r="B30" s="2271"/>
      <c r="C30" s="2271"/>
      <c r="D30" s="2271"/>
      <c r="H30" s="2271"/>
      <c r="I30" s="2271"/>
      <c r="J30" s="2271"/>
      <c r="K30" s="2271"/>
      <c r="L30" s="2271"/>
      <c r="M30" s="2271"/>
      <c r="N30" s="2271"/>
      <c r="O30" s="2271"/>
      <c r="P30" s="2271"/>
      <c r="Q30" s="2271"/>
    </row>
    <row r="31" spans="1:17" s="751" customFormat="1">
      <c r="B31" s="2271"/>
      <c r="C31" s="2271"/>
      <c r="D31" s="2271"/>
      <c r="H31" s="2271"/>
      <c r="I31" s="2271"/>
      <c r="J31" s="2271"/>
      <c r="K31" s="2271"/>
      <c r="L31" s="2271"/>
      <c r="M31" s="2271"/>
      <c r="N31" s="2271"/>
      <c r="O31" s="2271"/>
      <c r="P31" s="2271"/>
      <c r="Q31" s="2271"/>
    </row>
    <row r="32" spans="1:17" s="751" customFormat="1">
      <c r="B32" s="2271"/>
      <c r="C32" s="2271"/>
      <c r="D32" s="2271"/>
      <c r="H32" s="2271"/>
      <c r="I32" s="2271"/>
      <c r="J32" s="2271"/>
      <c r="K32" s="2271"/>
      <c r="L32" s="2271"/>
      <c r="M32" s="2271"/>
      <c r="N32" s="2271"/>
      <c r="O32" s="2271"/>
      <c r="P32" s="2271"/>
      <c r="Q32" s="2271"/>
    </row>
    <row r="33" spans="2:17" s="751" customFormat="1">
      <c r="B33" s="2271"/>
      <c r="C33" s="2271"/>
      <c r="D33" s="2271"/>
      <c r="H33" s="2271"/>
      <c r="I33" s="2271"/>
      <c r="J33" s="2271"/>
      <c r="K33" s="2271"/>
      <c r="L33" s="2271"/>
      <c r="M33" s="2271"/>
      <c r="N33" s="2271"/>
      <c r="O33" s="2271"/>
      <c r="P33" s="2271"/>
      <c r="Q33" s="2271"/>
    </row>
    <row r="34" spans="2:17" s="751" customFormat="1">
      <c r="B34" s="2271"/>
      <c r="C34" s="2271"/>
      <c r="D34" s="2271"/>
      <c r="H34" s="2271"/>
      <c r="I34" s="2271"/>
      <c r="J34" s="2271"/>
      <c r="K34" s="2271"/>
      <c r="L34" s="2271"/>
      <c r="M34" s="2271"/>
      <c r="N34" s="2271"/>
      <c r="O34" s="2271"/>
      <c r="P34" s="2271"/>
      <c r="Q34" s="2271"/>
    </row>
    <row r="35" spans="2:17" s="751" customFormat="1">
      <c r="B35" s="2271"/>
      <c r="C35" s="2271"/>
      <c r="D35" s="2271"/>
      <c r="H35" s="2271"/>
      <c r="I35" s="2271"/>
      <c r="J35" s="2271"/>
      <c r="K35" s="2271"/>
      <c r="L35" s="2271"/>
      <c r="M35" s="2271"/>
      <c r="N35" s="2271"/>
      <c r="O35" s="2271"/>
      <c r="P35" s="2271"/>
      <c r="Q35" s="2271"/>
    </row>
    <row r="36" spans="2:17" s="751" customFormat="1">
      <c r="B36" s="2271"/>
      <c r="C36" s="2271"/>
      <c r="D36" s="2271"/>
      <c r="H36" s="2271"/>
      <c r="I36" s="2271"/>
      <c r="J36" s="2271"/>
      <c r="K36" s="2271"/>
      <c r="L36" s="2271"/>
      <c r="M36" s="2271"/>
      <c r="N36" s="2271"/>
      <c r="O36" s="2271"/>
      <c r="P36" s="2271"/>
      <c r="Q36" s="2271"/>
    </row>
    <row r="37" spans="2:17" s="751" customFormat="1">
      <c r="B37" s="2271"/>
      <c r="C37" s="2271"/>
      <c r="D37" s="2271"/>
      <c r="H37" s="2271"/>
      <c r="I37" s="2271"/>
      <c r="J37" s="2271"/>
      <c r="K37" s="2271"/>
      <c r="L37" s="2271"/>
      <c r="M37" s="2271"/>
      <c r="N37" s="2271"/>
      <c r="O37" s="2271"/>
      <c r="P37" s="2271"/>
      <c r="Q37" s="2271"/>
    </row>
    <row r="38" spans="2:17" s="751" customFormat="1">
      <c r="B38" s="2271"/>
      <c r="C38" s="2271"/>
      <c r="D38" s="2271"/>
      <c r="E38" s="2271"/>
      <c r="F38" s="2271"/>
      <c r="G38" s="2271"/>
      <c r="H38" s="2271"/>
      <c r="I38" s="2271"/>
      <c r="J38" s="2271"/>
      <c r="K38" s="2271"/>
      <c r="L38" s="2271"/>
      <c r="M38" s="2271"/>
      <c r="N38" s="2271"/>
      <c r="O38" s="2271"/>
      <c r="P38" s="2271"/>
      <c r="Q38" s="2271"/>
    </row>
    <row r="39" spans="2:17" s="751" customFormat="1">
      <c r="B39" s="2271"/>
      <c r="C39" s="2271"/>
      <c r="D39" s="2271"/>
      <c r="E39" s="2271"/>
      <c r="F39" s="2271"/>
      <c r="G39" s="2271"/>
      <c r="H39" s="2271"/>
      <c r="I39" s="2271"/>
      <c r="J39" s="2271"/>
      <c r="K39" s="2271"/>
      <c r="L39" s="2271"/>
      <c r="M39" s="2271"/>
      <c r="N39" s="2271"/>
      <c r="O39" s="2271"/>
      <c r="P39" s="2271"/>
      <c r="Q39" s="2271"/>
    </row>
    <row r="40" spans="2:17" s="751" customFormat="1">
      <c r="B40" s="2271"/>
      <c r="C40" s="2271"/>
      <c r="D40" s="2271"/>
      <c r="E40" s="2271"/>
      <c r="F40" s="2271"/>
      <c r="G40" s="2271"/>
      <c r="H40" s="2271"/>
      <c r="I40" s="2271"/>
      <c r="J40" s="2271"/>
      <c r="K40" s="2271"/>
      <c r="L40" s="2271"/>
      <c r="M40" s="2271"/>
      <c r="N40" s="2271"/>
      <c r="O40" s="2271"/>
      <c r="P40" s="2271"/>
      <c r="Q40" s="2271"/>
    </row>
    <row r="41" spans="2:17" s="751" customFormat="1">
      <c r="B41" s="2271"/>
      <c r="C41" s="2271"/>
      <c r="D41" s="2271"/>
      <c r="E41" s="2271"/>
      <c r="F41" s="2271"/>
      <c r="G41" s="2271"/>
      <c r="H41" s="2271"/>
      <c r="I41" s="2271"/>
      <c r="J41" s="2271"/>
      <c r="K41" s="2271"/>
      <c r="L41" s="2271"/>
      <c r="M41" s="2271"/>
      <c r="N41" s="2271"/>
      <c r="O41" s="2271"/>
      <c r="P41" s="2271"/>
      <c r="Q41" s="2271"/>
    </row>
    <row r="42" spans="2:17" s="751" customFormat="1">
      <c r="B42" s="2271"/>
      <c r="C42" s="2271"/>
      <c r="D42" s="2271"/>
      <c r="E42" s="2271"/>
      <c r="F42" s="2271"/>
      <c r="G42" s="2271"/>
      <c r="H42" s="2271"/>
      <c r="I42" s="2271"/>
      <c r="J42" s="2271"/>
      <c r="K42" s="2271"/>
      <c r="L42" s="2271"/>
      <c r="M42" s="2271"/>
      <c r="N42" s="2271"/>
      <c r="O42" s="2271"/>
      <c r="P42" s="2271"/>
      <c r="Q42" s="2271"/>
    </row>
    <row r="43" spans="2:17" s="751" customFormat="1">
      <c r="B43" s="2271"/>
      <c r="C43" s="2271"/>
      <c r="D43" s="2271"/>
      <c r="E43" s="2271"/>
      <c r="F43" s="2271"/>
      <c r="G43" s="2271"/>
      <c r="H43" s="2271"/>
      <c r="I43" s="2271"/>
      <c r="J43" s="2271"/>
      <c r="K43" s="2271"/>
      <c r="L43" s="2271"/>
      <c r="M43" s="2271"/>
      <c r="N43" s="2271"/>
      <c r="O43" s="2271"/>
      <c r="P43" s="2271"/>
      <c r="Q43" s="2271"/>
    </row>
    <row r="44" spans="2:17" s="751" customFormat="1">
      <c r="B44" s="2271"/>
      <c r="C44" s="2271"/>
      <c r="D44" s="2271"/>
      <c r="E44" s="2271"/>
      <c r="F44" s="2271"/>
      <c r="G44" s="2271"/>
      <c r="H44" s="2271"/>
      <c r="I44" s="2271"/>
      <c r="J44" s="2271"/>
      <c r="K44" s="2271"/>
      <c r="L44" s="2271"/>
      <c r="M44" s="2271"/>
      <c r="N44" s="2271"/>
      <c r="O44" s="2271"/>
      <c r="P44" s="2271"/>
      <c r="Q44" s="2271"/>
    </row>
    <row r="45" spans="2:17" s="751" customFormat="1">
      <c r="B45" s="2271"/>
      <c r="C45" s="2271"/>
      <c r="D45" s="2271"/>
      <c r="E45" s="2271"/>
      <c r="F45" s="2271"/>
      <c r="G45" s="2271"/>
      <c r="H45" s="2271"/>
      <c r="I45" s="2271"/>
      <c r="J45" s="2271"/>
      <c r="K45" s="2271"/>
      <c r="L45" s="2271"/>
      <c r="M45" s="2271"/>
      <c r="N45" s="2271"/>
      <c r="O45" s="2271"/>
      <c r="P45" s="2271"/>
      <c r="Q45" s="2271"/>
    </row>
    <row r="46" spans="2:17" s="751" customFormat="1">
      <c r="B46" s="2271"/>
      <c r="C46" s="2271"/>
      <c r="D46" s="2271"/>
      <c r="E46" s="2271"/>
      <c r="F46" s="2271"/>
      <c r="G46" s="2271"/>
      <c r="H46" s="2271"/>
      <c r="I46" s="2271"/>
      <c r="J46" s="2271"/>
      <c r="K46" s="2271"/>
      <c r="L46" s="2271"/>
      <c r="M46" s="2271"/>
      <c r="N46" s="2271"/>
      <c r="O46" s="2271"/>
      <c r="P46" s="2271"/>
      <c r="Q46" s="2271"/>
    </row>
    <row r="47" spans="2:17" s="751" customFormat="1">
      <c r="B47" s="2271"/>
      <c r="C47" s="2271"/>
      <c r="D47" s="2271"/>
      <c r="E47" s="2271"/>
      <c r="F47" s="2271"/>
      <c r="G47" s="2271"/>
      <c r="H47" s="2271"/>
      <c r="I47" s="2271"/>
      <c r="J47" s="2271"/>
      <c r="K47" s="2271"/>
      <c r="L47" s="2271"/>
      <c r="M47" s="2271"/>
      <c r="N47" s="2271"/>
      <c r="O47" s="2271"/>
      <c r="P47" s="2271"/>
      <c r="Q47" s="2271"/>
    </row>
    <row r="48" spans="2:17" s="751" customFormat="1">
      <c r="B48" s="2271"/>
      <c r="C48" s="2271"/>
      <c r="D48" s="2271"/>
      <c r="E48" s="2271"/>
      <c r="F48" s="2271"/>
      <c r="G48" s="2271"/>
      <c r="H48" s="2271"/>
      <c r="I48" s="2271"/>
      <c r="J48" s="2271"/>
      <c r="K48" s="2271"/>
      <c r="L48" s="2271"/>
      <c r="M48" s="2271"/>
      <c r="N48" s="2271"/>
      <c r="O48" s="2271"/>
      <c r="P48" s="2271"/>
      <c r="Q48" s="2271"/>
    </row>
    <row r="49" spans="2:17" s="751" customFormat="1">
      <c r="B49" s="2271"/>
      <c r="C49" s="2271"/>
      <c r="D49" s="2271"/>
      <c r="E49" s="2271"/>
      <c r="F49" s="2271"/>
      <c r="G49" s="2271"/>
      <c r="H49" s="2271"/>
      <c r="I49" s="2271"/>
      <c r="J49" s="2271"/>
      <c r="K49" s="2271"/>
      <c r="L49" s="2271"/>
      <c r="M49" s="2271"/>
      <c r="N49" s="2271"/>
      <c r="O49" s="2271"/>
      <c r="P49" s="2271"/>
      <c r="Q49" s="2271"/>
    </row>
    <row r="50" spans="2:17" s="751" customFormat="1">
      <c r="B50" s="2271"/>
      <c r="C50" s="2271"/>
      <c r="D50" s="2271"/>
      <c r="E50" s="2271"/>
      <c r="F50" s="2271"/>
      <c r="G50" s="2271"/>
      <c r="H50" s="2271"/>
      <c r="I50" s="2271"/>
      <c r="J50" s="2271"/>
      <c r="K50" s="2271"/>
      <c r="L50" s="2271"/>
      <c r="M50" s="2271"/>
      <c r="N50" s="2271"/>
      <c r="O50" s="2271"/>
      <c r="P50" s="2271"/>
      <c r="Q50" s="2271"/>
    </row>
    <row r="51" spans="2:17" s="751" customFormat="1">
      <c r="B51" s="2271"/>
      <c r="C51" s="2271"/>
      <c r="D51" s="2271"/>
      <c r="E51" s="2271"/>
      <c r="F51" s="2271"/>
      <c r="G51" s="2271"/>
      <c r="H51" s="2271"/>
      <c r="I51" s="2271"/>
      <c r="J51" s="2271"/>
      <c r="K51" s="2271"/>
      <c r="L51" s="2271"/>
      <c r="M51" s="2271"/>
      <c r="N51" s="2271"/>
      <c r="O51" s="2271"/>
      <c r="P51" s="2271"/>
      <c r="Q51" s="2271"/>
    </row>
    <row r="52" spans="2:17" s="751" customFormat="1">
      <c r="B52" s="2271"/>
      <c r="C52" s="2271"/>
      <c r="D52" s="2271"/>
      <c r="E52" s="2271"/>
      <c r="F52" s="2271"/>
      <c r="G52" s="2271"/>
      <c r="H52" s="2271"/>
      <c r="I52" s="2271"/>
      <c r="J52" s="2271"/>
      <c r="K52" s="2271"/>
      <c r="L52" s="2271"/>
      <c r="M52" s="2271"/>
      <c r="N52" s="2271"/>
      <c r="O52" s="2271"/>
      <c r="P52" s="2271"/>
      <c r="Q52" s="2271"/>
    </row>
    <row r="53" spans="2:17" s="751" customFormat="1">
      <c r="B53" s="2271"/>
      <c r="C53" s="2271"/>
      <c r="D53" s="2271"/>
      <c r="E53" s="2271"/>
      <c r="F53" s="2271"/>
      <c r="G53" s="2271"/>
      <c r="H53" s="2271"/>
      <c r="I53" s="2271"/>
      <c r="J53" s="2271"/>
      <c r="K53" s="2271"/>
      <c r="L53" s="2271"/>
      <c r="M53" s="2271"/>
      <c r="N53" s="2271"/>
      <c r="O53" s="2271"/>
      <c r="P53" s="2271"/>
      <c r="Q53" s="2271"/>
    </row>
    <row r="54" spans="2:17" s="751" customFormat="1">
      <c r="B54" s="2271"/>
      <c r="C54" s="2271"/>
      <c r="D54" s="2271"/>
      <c r="E54" s="2271"/>
      <c r="F54" s="2271"/>
      <c r="G54" s="2271"/>
      <c r="H54" s="2271"/>
      <c r="I54" s="2271"/>
      <c r="J54" s="2271"/>
      <c r="K54" s="2271"/>
      <c r="L54" s="2271"/>
      <c r="M54" s="2271"/>
      <c r="N54" s="2271"/>
      <c r="O54" s="2271"/>
      <c r="P54" s="2271"/>
      <c r="Q54" s="2271"/>
    </row>
    <row r="55" spans="2:17" s="751" customFormat="1">
      <c r="B55" s="2271"/>
      <c r="C55" s="2271"/>
      <c r="D55" s="2271"/>
      <c r="E55" s="2271"/>
      <c r="F55" s="2271"/>
      <c r="G55" s="2271"/>
      <c r="H55" s="2271"/>
      <c r="I55" s="2271"/>
      <c r="J55" s="2271"/>
      <c r="K55" s="2271"/>
      <c r="L55" s="2271"/>
      <c r="M55" s="2271"/>
      <c r="N55" s="2271"/>
      <c r="O55" s="2271"/>
      <c r="P55" s="2271"/>
      <c r="Q55" s="2271"/>
    </row>
    <row r="56" spans="2:17" s="751" customFormat="1">
      <c r="B56" s="2271"/>
      <c r="C56" s="2271"/>
      <c r="D56" s="2271"/>
      <c r="E56" s="2271"/>
      <c r="F56" s="2271"/>
      <c r="G56" s="2271"/>
      <c r="H56" s="2271"/>
      <c r="I56" s="2271"/>
      <c r="J56" s="2271"/>
      <c r="K56" s="2271"/>
      <c r="L56" s="2271"/>
      <c r="M56" s="2271"/>
      <c r="N56" s="2271"/>
      <c r="O56" s="2271"/>
      <c r="P56" s="2271"/>
      <c r="Q56" s="2271"/>
    </row>
    <row r="57" spans="2:17" s="751" customFormat="1">
      <c r="B57" s="2271"/>
      <c r="C57" s="2271"/>
      <c r="D57" s="2271"/>
      <c r="E57" s="2271"/>
      <c r="F57" s="2271"/>
      <c r="G57" s="2271"/>
      <c r="H57" s="2271"/>
      <c r="I57" s="2271"/>
      <c r="J57" s="2271"/>
      <c r="K57" s="2271"/>
      <c r="L57" s="2271"/>
      <c r="M57" s="2271"/>
      <c r="N57" s="2271"/>
      <c r="O57" s="2271"/>
      <c r="P57" s="2271"/>
      <c r="Q57" s="2271"/>
    </row>
    <row r="58" spans="2:17" s="751" customFormat="1">
      <c r="B58" s="2271"/>
      <c r="C58" s="2271"/>
      <c r="D58" s="2271"/>
      <c r="E58" s="2271"/>
      <c r="F58" s="2271"/>
      <c r="G58" s="2271"/>
      <c r="H58" s="2271"/>
      <c r="I58" s="2271"/>
      <c r="J58" s="2271"/>
      <c r="K58" s="2271"/>
      <c r="L58" s="2271"/>
      <c r="M58" s="2271"/>
      <c r="N58" s="2271"/>
      <c r="O58" s="2271"/>
      <c r="P58" s="2271"/>
      <c r="Q58" s="2271"/>
    </row>
    <row r="59" spans="2:17" s="751" customFormat="1">
      <c r="B59" s="2271"/>
      <c r="C59" s="2271"/>
      <c r="D59" s="2271"/>
      <c r="E59" s="2271"/>
      <c r="F59" s="2271"/>
      <c r="G59" s="2271"/>
      <c r="H59" s="2271"/>
      <c r="I59" s="2271"/>
      <c r="J59" s="2271"/>
      <c r="K59" s="2271"/>
      <c r="L59" s="2271"/>
      <c r="M59" s="2271"/>
      <c r="N59" s="2271"/>
      <c r="O59" s="2271"/>
      <c r="P59" s="2271"/>
      <c r="Q59" s="2271"/>
    </row>
    <row r="60" spans="2:17" s="751" customFormat="1">
      <c r="B60" s="2271"/>
      <c r="C60" s="2271"/>
      <c r="D60" s="2271"/>
      <c r="E60" s="2271"/>
      <c r="F60" s="2271"/>
      <c r="G60" s="2271"/>
      <c r="H60" s="2271"/>
      <c r="I60" s="2271"/>
      <c r="J60" s="2271"/>
      <c r="K60" s="2271"/>
      <c r="L60" s="2271"/>
      <c r="M60" s="2271"/>
      <c r="N60" s="2271"/>
      <c r="O60" s="2271"/>
      <c r="P60" s="2271"/>
      <c r="Q60" s="2271"/>
    </row>
    <row r="61" spans="2:17" s="751" customFormat="1">
      <c r="B61" s="2271"/>
      <c r="C61" s="2271"/>
      <c r="D61" s="2271"/>
      <c r="E61" s="2271"/>
      <c r="F61" s="2271"/>
      <c r="G61" s="2271"/>
      <c r="H61" s="2271"/>
      <c r="I61" s="2271"/>
      <c r="J61" s="2271"/>
      <c r="K61" s="2271"/>
      <c r="L61" s="2271"/>
      <c r="M61" s="2271"/>
      <c r="N61" s="2271"/>
      <c r="O61" s="2271"/>
      <c r="P61" s="2271"/>
      <c r="Q61" s="2271"/>
    </row>
    <row r="62" spans="2:17" s="751" customFormat="1">
      <c r="B62" s="2271"/>
      <c r="C62" s="2271"/>
      <c r="D62" s="2271"/>
      <c r="E62" s="2271"/>
      <c r="F62" s="2271"/>
      <c r="G62" s="2271"/>
      <c r="H62" s="2271"/>
      <c r="I62" s="2271"/>
      <c r="J62" s="2271"/>
      <c r="K62" s="2271"/>
      <c r="L62" s="2271"/>
      <c r="M62" s="2271"/>
      <c r="N62" s="2271"/>
      <c r="O62" s="2271"/>
      <c r="P62" s="2271"/>
      <c r="Q62" s="2271"/>
    </row>
    <row r="63" spans="2:17" s="751" customFormat="1">
      <c r="B63" s="2271"/>
      <c r="C63" s="2271"/>
      <c r="D63" s="2271"/>
      <c r="E63" s="2271"/>
      <c r="F63" s="2271"/>
      <c r="G63" s="2271"/>
      <c r="H63" s="2271"/>
      <c r="I63" s="2271"/>
      <c r="J63" s="2271"/>
      <c r="K63" s="2271"/>
      <c r="L63" s="2271"/>
      <c r="M63" s="2271"/>
      <c r="N63" s="2271"/>
      <c r="O63" s="2271"/>
      <c r="P63" s="2271"/>
      <c r="Q63" s="2271"/>
    </row>
    <row r="64" spans="2:17" s="751" customFormat="1">
      <c r="B64" s="2271"/>
      <c r="C64" s="2271"/>
      <c r="D64" s="2271"/>
      <c r="E64" s="2271"/>
      <c r="F64" s="2271"/>
      <c r="G64" s="2271"/>
      <c r="H64" s="2271"/>
      <c r="I64" s="2271"/>
      <c r="J64" s="2271"/>
      <c r="K64" s="2271"/>
      <c r="L64" s="2271"/>
      <c r="M64" s="2271"/>
      <c r="N64" s="2271"/>
      <c r="O64" s="2271"/>
      <c r="P64" s="2271"/>
      <c r="Q64" s="2271"/>
    </row>
    <row r="65" spans="2:17" s="751" customFormat="1">
      <c r="B65" s="2271"/>
      <c r="C65" s="2271"/>
      <c r="D65" s="2271"/>
      <c r="E65" s="2271"/>
      <c r="F65" s="2271"/>
      <c r="G65" s="2271"/>
      <c r="H65" s="2271"/>
      <c r="I65" s="2271"/>
      <c r="J65" s="2271"/>
      <c r="K65" s="2271"/>
      <c r="L65" s="2271"/>
      <c r="M65" s="2271"/>
      <c r="N65" s="2271"/>
      <c r="O65" s="2271"/>
      <c r="P65" s="2271"/>
      <c r="Q65" s="2271"/>
    </row>
    <row r="66" spans="2:17" s="751" customFormat="1">
      <c r="B66" s="2271"/>
      <c r="C66" s="2271"/>
      <c r="D66" s="2271"/>
      <c r="E66" s="2271"/>
      <c r="F66" s="2271"/>
      <c r="G66" s="2271"/>
      <c r="H66" s="2271"/>
      <c r="I66" s="2271"/>
      <c r="J66" s="2271"/>
      <c r="K66" s="2271"/>
      <c r="L66" s="2271"/>
      <c r="M66" s="2271"/>
      <c r="N66" s="2271"/>
      <c r="O66" s="2271"/>
      <c r="P66" s="2271"/>
      <c r="Q66" s="2271"/>
    </row>
    <row r="67" spans="2:17" s="751" customFormat="1">
      <c r="B67" s="2271"/>
      <c r="C67" s="2271"/>
      <c r="D67" s="2271"/>
      <c r="E67" s="2271"/>
      <c r="F67" s="2271"/>
      <c r="G67" s="2271"/>
      <c r="H67" s="2271"/>
      <c r="I67" s="2271"/>
      <c r="J67" s="2271"/>
      <c r="K67" s="2271"/>
      <c r="L67" s="2271"/>
      <c r="M67" s="2271"/>
      <c r="N67" s="2271"/>
      <c r="O67" s="2271"/>
      <c r="P67" s="2271"/>
      <c r="Q67" s="2271"/>
    </row>
    <row r="68" spans="2:17" s="751" customFormat="1">
      <c r="B68" s="2271"/>
      <c r="C68" s="2271"/>
      <c r="D68" s="2271"/>
      <c r="E68" s="2271"/>
      <c r="F68" s="2271"/>
      <c r="G68" s="2271"/>
      <c r="H68" s="2271"/>
      <c r="I68" s="2271"/>
      <c r="J68" s="2271"/>
      <c r="K68" s="2271"/>
      <c r="L68" s="2271"/>
      <c r="M68" s="2271"/>
      <c r="N68" s="2271"/>
      <c r="O68" s="2271"/>
      <c r="P68" s="2271"/>
      <c r="Q68" s="2271"/>
    </row>
    <row r="69" spans="2:17" s="751" customFormat="1">
      <c r="B69" s="2271"/>
      <c r="C69" s="2271"/>
      <c r="D69" s="2271"/>
      <c r="E69" s="2271"/>
      <c r="F69" s="2271"/>
      <c r="G69" s="2271"/>
      <c r="H69" s="2271"/>
      <c r="I69" s="2271"/>
      <c r="J69" s="2271"/>
      <c r="K69" s="2271"/>
      <c r="L69" s="2271"/>
      <c r="M69" s="2271"/>
      <c r="N69" s="2271"/>
      <c r="O69" s="2271"/>
      <c r="P69" s="2271"/>
      <c r="Q69" s="2271"/>
    </row>
    <row r="70" spans="2:17" s="751" customFormat="1">
      <c r="B70" s="2271"/>
      <c r="C70" s="2271"/>
      <c r="D70" s="2271"/>
      <c r="E70" s="2271"/>
      <c r="F70" s="2271"/>
      <c r="G70" s="2271"/>
      <c r="H70" s="2271"/>
      <c r="I70" s="2271"/>
      <c r="J70" s="2271"/>
      <c r="K70" s="2271"/>
      <c r="L70" s="2271"/>
      <c r="M70" s="2271"/>
      <c r="N70" s="2271"/>
      <c r="O70" s="2271"/>
      <c r="P70" s="2271"/>
      <c r="Q70" s="2271"/>
    </row>
    <row r="71" spans="2:17" s="751" customFormat="1">
      <c r="B71" s="2271"/>
      <c r="C71" s="2271"/>
      <c r="D71" s="2271"/>
      <c r="E71" s="2271"/>
      <c r="F71" s="2271"/>
      <c r="G71" s="2271"/>
      <c r="H71" s="2271"/>
      <c r="I71" s="2271"/>
      <c r="J71" s="2271"/>
      <c r="K71" s="2271"/>
      <c r="L71" s="2271"/>
      <c r="M71" s="2271"/>
      <c r="N71" s="2271"/>
      <c r="O71" s="2271"/>
      <c r="P71" s="2271"/>
      <c r="Q71" s="2271"/>
    </row>
    <row r="72" spans="2:17" s="751" customFormat="1">
      <c r="B72" s="2271"/>
      <c r="C72" s="2271"/>
      <c r="D72" s="2271"/>
      <c r="E72" s="2271"/>
      <c r="F72" s="2271"/>
      <c r="G72" s="2271"/>
      <c r="H72" s="2271"/>
      <c r="I72" s="2271"/>
      <c r="J72" s="2271"/>
      <c r="K72" s="2271"/>
      <c r="L72" s="2271"/>
      <c r="M72" s="2271"/>
      <c r="N72" s="2271"/>
      <c r="O72" s="2271"/>
      <c r="P72" s="2271"/>
      <c r="Q72" s="2271"/>
    </row>
    <row r="73" spans="2:17" s="751" customFormat="1">
      <c r="B73" s="2271"/>
      <c r="C73" s="2271"/>
      <c r="D73" s="2271"/>
      <c r="E73" s="2271"/>
      <c r="F73" s="2271"/>
      <c r="G73" s="2271"/>
      <c r="H73" s="2271"/>
      <c r="I73" s="2271"/>
      <c r="J73" s="2271"/>
      <c r="K73" s="2271"/>
      <c r="L73" s="2271"/>
      <c r="M73" s="2271"/>
      <c r="N73" s="2271"/>
      <c r="O73" s="2271"/>
      <c r="P73" s="2271"/>
      <c r="Q73" s="2271"/>
    </row>
    <row r="74" spans="2:17" s="751" customFormat="1">
      <c r="B74" s="2271"/>
      <c r="C74" s="2271"/>
      <c r="D74" s="2271"/>
      <c r="E74" s="2271"/>
      <c r="F74" s="2271"/>
      <c r="G74" s="2271"/>
      <c r="H74" s="2271"/>
      <c r="I74" s="2271"/>
      <c r="J74" s="2271"/>
      <c r="K74" s="2271"/>
      <c r="L74" s="2271"/>
      <c r="M74" s="2271"/>
      <c r="N74" s="2271"/>
      <c r="O74" s="2271"/>
      <c r="P74" s="2271"/>
      <c r="Q74" s="2271"/>
    </row>
    <row r="75" spans="2:17" s="751" customFormat="1">
      <c r="B75" s="2271"/>
      <c r="C75" s="2271"/>
      <c r="D75" s="2271"/>
      <c r="E75" s="2271"/>
      <c r="F75" s="2271"/>
      <c r="G75" s="2271"/>
      <c r="H75" s="2271"/>
      <c r="I75" s="2271"/>
      <c r="J75" s="2271"/>
      <c r="K75" s="2271"/>
      <c r="L75" s="2271"/>
      <c r="M75" s="2271"/>
      <c r="N75" s="2271"/>
      <c r="O75" s="2271"/>
      <c r="P75" s="2271"/>
      <c r="Q75" s="2271"/>
    </row>
    <row r="76" spans="2:17" s="751" customFormat="1">
      <c r="B76" s="2271"/>
      <c r="C76" s="2271"/>
      <c r="D76" s="2271"/>
      <c r="E76" s="2271"/>
      <c r="F76" s="2271"/>
      <c r="G76" s="2271"/>
      <c r="H76" s="2271"/>
      <c r="I76" s="2271"/>
      <c r="J76" s="2271"/>
      <c r="K76" s="2271"/>
      <c r="L76" s="2271"/>
      <c r="M76" s="2271"/>
      <c r="N76" s="2271"/>
      <c r="O76" s="2271"/>
      <c r="P76" s="2271"/>
      <c r="Q76" s="2271"/>
    </row>
    <row r="77" spans="2:17" s="751" customFormat="1">
      <c r="B77" s="2271"/>
      <c r="C77" s="2271"/>
      <c r="D77" s="2271"/>
      <c r="E77" s="2271"/>
      <c r="F77" s="2271"/>
      <c r="G77" s="2271"/>
      <c r="H77" s="2271"/>
      <c r="I77" s="2271"/>
      <c r="J77" s="2271"/>
      <c r="K77" s="2271"/>
      <c r="L77" s="2271"/>
      <c r="M77" s="2271"/>
      <c r="N77" s="2271"/>
      <c r="O77" s="2271"/>
      <c r="P77" s="2271"/>
      <c r="Q77" s="2271"/>
    </row>
    <row r="78" spans="2:17" s="751" customFormat="1">
      <c r="B78" s="2271"/>
      <c r="C78" s="2271"/>
      <c r="D78" s="2271"/>
      <c r="E78" s="2271"/>
      <c r="F78" s="2271"/>
      <c r="G78" s="2271"/>
      <c r="H78" s="2271"/>
      <c r="I78" s="2271"/>
      <c r="J78" s="2271"/>
      <c r="K78" s="2271"/>
      <c r="L78" s="2271"/>
      <c r="M78" s="2271"/>
      <c r="N78" s="2271"/>
      <c r="O78" s="2271"/>
      <c r="P78" s="2271"/>
      <c r="Q78" s="2271"/>
    </row>
    <row r="79" spans="2:17" s="751" customFormat="1">
      <c r="B79" s="2271"/>
      <c r="C79" s="2271"/>
      <c r="D79" s="2271"/>
      <c r="E79" s="2271"/>
      <c r="F79" s="2271"/>
      <c r="G79" s="2271"/>
      <c r="H79" s="2271"/>
      <c r="I79" s="2271"/>
      <c r="J79" s="2271"/>
      <c r="K79" s="2271"/>
      <c r="L79" s="2271"/>
      <c r="M79" s="2271"/>
      <c r="N79" s="2271"/>
      <c r="O79" s="2271"/>
      <c r="P79" s="2271"/>
      <c r="Q79" s="2271"/>
    </row>
    <row r="80" spans="2:17" s="751" customFormat="1">
      <c r="B80" s="2271"/>
      <c r="C80" s="2271"/>
      <c r="D80" s="2271"/>
      <c r="E80" s="2271"/>
      <c r="F80" s="2271"/>
      <c r="G80" s="2271"/>
      <c r="H80" s="2271"/>
      <c r="I80" s="2271"/>
      <c r="J80" s="2271"/>
      <c r="K80" s="2271"/>
      <c r="L80" s="2271"/>
      <c r="M80" s="2271"/>
      <c r="N80" s="2271"/>
      <c r="O80" s="2271"/>
      <c r="P80" s="2271"/>
      <c r="Q80" s="2271"/>
    </row>
    <row r="81" spans="2:17" s="751" customFormat="1">
      <c r="B81" s="2271"/>
      <c r="C81" s="2271"/>
      <c r="D81" s="2271"/>
      <c r="E81" s="2271"/>
      <c r="F81" s="2271"/>
      <c r="G81" s="2271"/>
      <c r="H81" s="2271"/>
      <c r="I81" s="2271"/>
      <c r="J81" s="2271"/>
      <c r="K81" s="2271"/>
      <c r="L81" s="2271"/>
      <c r="M81" s="2271"/>
      <c r="N81" s="2271"/>
      <c r="O81" s="2271"/>
      <c r="P81" s="2271"/>
      <c r="Q81" s="2271"/>
    </row>
    <row r="82" spans="2:17" s="751" customFormat="1">
      <c r="B82" s="2271"/>
      <c r="C82" s="2271"/>
      <c r="D82" s="2271"/>
      <c r="E82" s="2271"/>
      <c r="F82" s="2271"/>
      <c r="G82" s="2271"/>
      <c r="H82" s="2271"/>
      <c r="I82" s="2271"/>
      <c r="J82" s="2271"/>
      <c r="K82" s="2271"/>
      <c r="L82" s="2271"/>
      <c r="M82" s="2271"/>
      <c r="N82" s="2271"/>
      <c r="O82" s="2271"/>
      <c r="P82" s="2271"/>
      <c r="Q82" s="2271"/>
    </row>
    <row r="83" spans="2:17" s="751" customFormat="1">
      <c r="B83" s="2271"/>
      <c r="C83" s="2271"/>
      <c r="D83" s="2271"/>
      <c r="E83" s="2271"/>
      <c r="F83" s="2271"/>
      <c r="G83" s="2271"/>
      <c r="H83" s="2271"/>
      <c r="I83" s="2271"/>
      <c r="J83" s="2271"/>
      <c r="K83" s="2271"/>
      <c r="L83" s="2271"/>
      <c r="M83" s="2271"/>
      <c r="N83" s="2271"/>
      <c r="O83" s="2271"/>
      <c r="P83" s="2271"/>
      <c r="Q83" s="2271"/>
    </row>
    <row r="84" spans="2:17" s="751" customFormat="1">
      <c r="B84" s="2271"/>
      <c r="C84" s="2271"/>
      <c r="D84" s="2271"/>
      <c r="E84" s="2271"/>
      <c r="F84" s="2271"/>
      <c r="G84" s="2271"/>
      <c r="H84" s="2271"/>
      <c r="I84" s="2271"/>
      <c r="J84" s="2271"/>
      <c r="K84" s="2271"/>
      <c r="L84" s="2271"/>
      <c r="M84" s="2271"/>
      <c r="N84" s="2271"/>
      <c r="O84" s="2271"/>
      <c r="P84" s="2271"/>
      <c r="Q84" s="2271"/>
    </row>
    <row r="85" spans="2:17" s="751" customFormat="1">
      <c r="B85" s="2271"/>
      <c r="C85" s="2271"/>
      <c r="D85" s="2271"/>
      <c r="E85" s="2271"/>
      <c r="F85" s="2271"/>
      <c r="G85" s="2271"/>
      <c r="H85" s="2271"/>
      <c r="I85" s="2271"/>
      <c r="J85" s="2271"/>
      <c r="K85" s="2271"/>
      <c r="L85" s="2271"/>
      <c r="M85" s="2271"/>
      <c r="N85" s="2271"/>
      <c r="O85" s="2271"/>
      <c r="P85" s="2271"/>
      <c r="Q85" s="2271"/>
    </row>
    <row r="86" spans="2:17" s="751" customFormat="1">
      <c r="B86" s="2271"/>
      <c r="C86" s="2271"/>
      <c r="D86" s="2271"/>
      <c r="E86" s="2271"/>
      <c r="F86" s="2271"/>
      <c r="G86" s="2271"/>
      <c r="H86" s="2271"/>
      <c r="I86" s="2271"/>
      <c r="J86" s="2271"/>
      <c r="K86" s="2271"/>
      <c r="L86" s="2271"/>
      <c r="M86" s="2271"/>
      <c r="N86" s="2271"/>
      <c r="O86" s="2271"/>
      <c r="P86" s="2271"/>
      <c r="Q86" s="2271"/>
    </row>
    <row r="87" spans="2:17" s="751" customFormat="1">
      <c r="B87" s="2271"/>
      <c r="C87" s="2271"/>
      <c r="D87" s="2271"/>
      <c r="E87" s="2271"/>
      <c r="F87" s="2271"/>
      <c r="G87" s="2271"/>
      <c r="H87" s="2271"/>
      <c r="I87" s="2271"/>
      <c r="J87" s="2271"/>
      <c r="K87" s="2271"/>
      <c r="L87" s="2271"/>
      <c r="M87" s="2271"/>
      <c r="N87" s="2271"/>
      <c r="O87" s="2271"/>
      <c r="P87" s="2271"/>
      <c r="Q87" s="2271"/>
    </row>
    <row r="88" spans="2:17" s="751" customFormat="1">
      <c r="B88" s="2271"/>
      <c r="C88" s="2271"/>
      <c r="D88" s="2271"/>
      <c r="E88" s="2271"/>
      <c r="F88" s="2271"/>
      <c r="G88" s="2271"/>
      <c r="H88" s="2271"/>
      <c r="I88" s="2271"/>
      <c r="J88" s="2271"/>
      <c r="K88" s="2271"/>
      <c r="L88" s="2271"/>
      <c r="M88" s="2271"/>
      <c r="N88" s="2271"/>
      <c r="O88" s="2271"/>
      <c r="P88" s="2271"/>
      <c r="Q88" s="2271"/>
    </row>
    <row r="89" spans="2:17" s="751" customFormat="1">
      <c r="B89" s="2271"/>
      <c r="C89" s="2271"/>
      <c r="D89" s="2271"/>
      <c r="E89" s="2271"/>
      <c r="F89" s="2271"/>
      <c r="G89" s="2271"/>
      <c r="H89" s="2271"/>
      <c r="I89" s="2271"/>
      <c r="J89" s="2271"/>
      <c r="K89" s="2271"/>
      <c r="L89" s="2271"/>
      <c r="M89" s="2271"/>
      <c r="N89" s="2271"/>
      <c r="O89" s="2271"/>
      <c r="P89" s="2271"/>
      <c r="Q89" s="2271"/>
    </row>
    <row r="90" spans="2:17" s="751" customFormat="1">
      <c r="B90" s="2271"/>
      <c r="C90" s="2271"/>
      <c r="D90" s="2271"/>
      <c r="E90" s="2271"/>
      <c r="F90" s="2271"/>
      <c r="G90" s="2271"/>
      <c r="H90" s="2271"/>
      <c r="I90" s="2271"/>
      <c r="J90" s="2271"/>
      <c r="K90" s="2271"/>
      <c r="L90" s="2271"/>
      <c r="M90" s="2271"/>
      <c r="N90" s="2271"/>
      <c r="O90" s="2271"/>
      <c r="P90" s="2271"/>
      <c r="Q90" s="2271"/>
    </row>
    <row r="91" spans="2:17" s="751" customFormat="1">
      <c r="B91" s="2271"/>
      <c r="C91" s="2271"/>
      <c r="D91" s="2271"/>
      <c r="E91" s="2271"/>
      <c r="F91" s="2271"/>
      <c r="G91" s="2271"/>
      <c r="H91" s="2271"/>
      <c r="I91" s="2271"/>
      <c r="J91" s="2271"/>
      <c r="K91" s="2271"/>
      <c r="L91" s="2271"/>
      <c r="M91" s="2271"/>
      <c r="N91" s="2271"/>
      <c r="O91" s="2271"/>
      <c r="P91" s="2271"/>
      <c r="Q91" s="2271"/>
    </row>
    <row r="92" spans="2:17" s="751" customFormat="1">
      <c r="B92" s="2271"/>
      <c r="C92" s="2271"/>
      <c r="D92" s="2271"/>
      <c r="E92" s="2271"/>
      <c r="F92" s="2271"/>
      <c r="G92" s="2271"/>
      <c r="H92" s="2271"/>
      <c r="I92" s="2271"/>
      <c r="J92" s="2271"/>
      <c r="K92" s="2271"/>
      <c r="L92" s="2271"/>
      <c r="M92" s="2271"/>
      <c r="N92" s="2271"/>
      <c r="O92" s="2271"/>
      <c r="P92" s="2271"/>
      <c r="Q92" s="2271"/>
    </row>
    <row r="93" spans="2:17" s="751" customFormat="1">
      <c r="B93" s="2271"/>
      <c r="C93" s="2271"/>
      <c r="D93" s="2271"/>
      <c r="E93" s="2271"/>
      <c r="F93" s="2271"/>
      <c r="G93" s="2271"/>
      <c r="H93" s="2271"/>
      <c r="I93" s="2271"/>
      <c r="J93" s="2271"/>
      <c r="K93" s="2271"/>
      <c r="L93" s="2271"/>
      <c r="M93" s="2271"/>
      <c r="N93" s="2271"/>
      <c r="O93" s="2271"/>
      <c r="P93" s="2271"/>
      <c r="Q93" s="2271"/>
    </row>
    <row r="94" spans="2:17" s="751" customFormat="1">
      <c r="B94" s="2271"/>
      <c r="C94" s="2271"/>
      <c r="D94" s="2271"/>
      <c r="E94" s="2271"/>
      <c r="F94" s="2271"/>
      <c r="G94" s="2271"/>
      <c r="H94" s="2271"/>
      <c r="I94" s="2271"/>
      <c r="J94" s="2271"/>
      <c r="K94" s="2271"/>
      <c r="L94" s="2271"/>
      <c r="M94" s="2271"/>
      <c r="N94" s="2271"/>
      <c r="O94" s="2271"/>
      <c r="P94" s="2271"/>
      <c r="Q94" s="2271"/>
    </row>
    <row r="95" spans="2:17" s="751" customFormat="1">
      <c r="B95" s="2271"/>
      <c r="C95" s="2271"/>
      <c r="D95" s="2271"/>
      <c r="E95" s="2271"/>
      <c r="F95" s="2271"/>
      <c r="G95" s="2271"/>
      <c r="H95" s="2271"/>
      <c r="I95" s="2271"/>
      <c r="J95" s="2271"/>
      <c r="K95" s="2271"/>
      <c r="L95" s="2271"/>
      <c r="M95" s="2271"/>
      <c r="N95" s="2271"/>
      <c r="O95" s="2271"/>
      <c r="P95" s="2271"/>
      <c r="Q95" s="2271"/>
    </row>
    <row r="96" spans="2:17" s="751" customFormat="1">
      <c r="B96" s="2271"/>
      <c r="C96" s="2271"/>
      <c r="D96" s="2271"/>
      <c r="E96" s="2271"/>
      <c r="F96" s="2271"/>
      <c r="G96" s="2271"/>
      <c r="H96" s="2271"/>
      <c r="I96" s="2271"/>
      <c r="J96" s="2271"/>
      <c r="K96" s="2271"/>
      <c r="L96" s="2271"/>
      <c r="M96" s="2271"/>
      <c r="N96" s="2271"/>
      <c r="O96" s="2271"/>
      <c r="P96" s="2271"/>
      <c r="Q96" s="2271"/>
    </row>
    <row r="97" spans="2:17" s="751" customFormat="1">
      <c r="B97" s="2271"/>
      <c r="C97" s="2271"/>
      <c r="D97" s="2271"/>
      <c r="E97" s="2271"/>
      <c r="F97" s="2271"/>
      <c r="G97" s="2271"/>
      <c r="H97" s="2271"/>
      <c r="I97" s="2271"/>
      <c r="J97" s="2271"/>
      <c r="K97" s="2271"/>
      <c r="L97" s="2271"/>
      <c r="M97" s="2271"/>
      <c r="N97" s="2271"/>
      <c r="O97" s="2271"/>
      <c r="P97" s="2271"/>
      <c r="Q97" s="2271"/>
    </row>
    <row r="98" spans="2:17" s="751" customFormat="1">
      <c r="B98" s="2271"/>
      <c r="C98" s="2271"/>
      <c r="D98" s="2271"/>
      <c r="E98" s="2271"/>
      <c r="F98" s="2271"/>
      <c r="G98" s="2271"/>
      <c r="H98" s="2271"/>
      <c r="I98" s="2271"/>
      <c r="J98" s="2271"/>
      <c r="K98" s="2271"/>
      <c r="L98" s="2271"/>
      <c r="M98" s="2271"/>
      <c r="N98" s="2271"/>
      <c r="O98" s="2271"/>
      <c r="P98" s="2271"/>
      <c r="Q98" s="2271"/>
    </row>
    <row r="99" spans="2:17" s="751" customFormat="1">
      <c r="B99" s="2271"/>
      <c r="C99" s="2271"/>
      <c r="D99" s="2271"/>
      <c r="E99" s="2271"/>
      <c r="F99" s="2271"/>
      <c r="G99" s="2271"/>
      <c r="H99" s="2271"/>
      <c r="I99" s="2271"/>
      <c r="J99" s="2271"/>
      <c r="K99" s="2271"/>
      <c r="L99" s="2271"/>
      <c r="M99" s="2271"/>
      <c r="N99" s="2271"/>
      <c r="O99" s="2271"/>
      <c r="P99" s="2271"/>
      <c r="Q99" s="2271"/>
    </row>
    <row r="100" spans="2:17" s="751" customFormat="1">
      <c r="B100" s="2271"/>
      <c r="C100" s="2271"/>
      <c r="D100" s="2271"/>
      <c r="E100" s="2271"/>
      <c r="F100" s="2271"/>
      <c r="G100" s="2271"/>
      <c r="H100" s="2271"/>
      <c r="I100" s="2271"/>
      <c r="J100" s="2271"/>
      <c r="K100" s="2271"/>
      <c r="L100" s="2271"/>
      <c r="M100" s="2271"/>
      <c r="N100" s="2271"/>
      <c r="O100" s="2271"/>
      <c r="P100" s="2271"/>
      <c r="Q100" s="2271"/>
    </row>
    <row r="101" spans="2:17" s="751" customFormat="1">
      <c r="B101" s="2271"/>
      <c r="C101" s="2271"/>
      <c r="D101" s="2271"/>
      <c r="E101" s="2271"/>
      <c r="F101" s="2271"/>
      <c r="G101" s="2271"/>
      <c r="H101" s="2271"/>
      <c r="I101" s="2271"/>
      <c r="J101" s="2271"/>
      <c r="K101" s="2271"/>
      <c r="L101" s="2271"/>
      <c r="M101" s="2271"/>
      <c r="N101" s="2271"/>
      <c r="O101" s="2271"/>
      <c r="P101" s="2271"/>
      <c r="Q101" s="2271"/>
    </row>
    <row r="102" spans="2:17" s="751" customFormat="1">
      <c r="B102" s="2271"/>
      <c r="C102" s="2271"/>
      <c r="D102" s="2271"/>
      <c r="E102" s="2271"/>
      <c r="F102" s="2271"/>
      <c r="G102" s="2271"/>
      <c r="H102" s="2271"/>
      <c r="I102" s="2271"/>
      <c r="J102" s="2271"/>
      <c r="K102" s="2271"/>
      <c r="L102" s="2271"/>
      <c r="M102" s="2271"/>
      <c r="N102" s="2271"/>
      <c r="O102" s="2271"/>
      <c r="P102" s="2271"/>
      <c r="Q102" s="2271"/>
    </row>
    <row r="103" spans="2:17" s="751" customFormat="1">
      <c r="B103" s="2271"/>
      <c r="C103" s="2271"/>
      <c r="D103" s="2271"/>
      <c r="E103" s="2271"/>
      <c r="F103" s="2271"/>
      <c r="G103" s="2271"/>
      <c r="H103" s="2271"/>
      <c r="I103" s="2271"/>
      <c r="J103" s="2271"/>
      <c r="K103" s="2271"/>
      <c r="L103" s="2271"/>
      <c r="M103" s="2271"/>
      <c r="N103" s="2271"/>
      <c r="O103" s="2271"/>
      <c r="P103" s="2271"/>
      <c r="Q103" s="2271"/>
    </row>
    <row r="104" spans="2:17" s="751" customFormat="1">
      <c r="B104" s="2271"/>
      <c r="C104" s="2271"/>
      <c r="D104" s="2271"/>
      <c r="E104" s="2271"/>
      <c r="F104" s="2271"/>
      <c r="G104" s="2271"/>
      <c r="H104" s="2271"/>
      <c r="I104" s="2271"/>
      <c r="J104" s="2271"/>
      <c r="K104" s="2271"/>
      <c r="L104" s="2271"/>
      <c r="M104" s="2271"/>
      <c r="N104" s="2271"/>
      <c r="O104" s="2271"/>
      <c r="P104" s="2271"/>
      <c r="Q104" s="2271"/>
    </row>
    <row r="105" spans="2:17" s="751" customFormat="1">
      <c r="B105" s="2271"/>
      <c r="C105" s="2271"/>
      <c r="D105" s="2271"/>
      <c r="E105" s="2271"/>
      <c r="F105" s="2271"/>
      <c r="G105" s="2271"/>
      <c r="H105" s="2271"/>
      <c r="I105" s="2271"/>
      <c r="J105" s="2271"/>
      <c r="K105" s="2271"/>
      <c r="L105" s="2271"/>
      <c r="M105" s="2271"/>
      <c r="N105" s="2271"/>
      <c r="O105" s="2271"/>
      <c r="P105" s="2271"/>
      <c r="Q105" s="2271"/>
    </row>
    <row r="106" spans="2:17" s="751" customFormat="1">
      <c r="B106" s="2271"/>
      <c r="C106" s="2271"/>
      <c r="D106" s="2271"/>
      <c r="E106" s="2271"/>
      <c r="F106" s="2271"/>
      <c r="G106" s="2271"/>
      <c r="H106" s="2271"/>
      <c r="I106" s="2271"/>
      <c r="J106" s="2271"/>
      <c r="K106" s="2271"/>
      <c r="L106" s="2271"/>
      <c r="M106" s="2271"/>
      <c r="N106" s="2271"/>
      <c r="O106" s="2271"/>
      <c r="P106" s="2271"/>
      <c r="Q106" s="2271"/>
    </row>
    <row r="107" spans="2:17" s="751" customFormat="1">
      <c r="B107" s="2271"/>
      <c r="C107" s="2271"/>
      <c r="D107" s="2271"/>
      <c r="E107" s="2271"/>
      <c r="F107" s="2271"/>
      <c r="G107" s="2271"/>
      <c r="H107" s="2271"/>
      <c r="I107" s="2271"/>
      <c r="J107" s="2271"/>
      <c r="K107" s="2271"/>
      <c r="L107" s="2271"/>
      <c r="M107" s="2271"/>
      <c r="N107" s="2271"/>
      <c r="O107" s="2271"/>
      <c r="P107" s="2271"/>
      <c r="Q107" s="2271"/>
    </row>
    <row r="108" spans="2:17" s="751" customFormat="1">
      <c r="B108" s="2271"/>
      <c r="C108" s="2271"/>
      <c r="D108" s="2271"/>
      <c r="E108" s="2271"/>
      <c r="F108" s="2271"/>
      <c r="G108" s="2271"/>
      <c r="H108" s="2271"/>
      <c r="I108" s="2271"/>
      <c r="J108" s="2271"/>
      <c r="K108" s="2271"/>
      <c r="L108" s="2271"/>
      <c r="M108" s="2271"/>
      <c r="N108" s="2271"/>
      <c r="O108" s="2271"/>
      <c r="P108" s="2271"/>
      <c r="Q108" s="2271"/>
    </row>
    <row r="109" spans="2:17" s="751" customFormat="1">
      <c r="B109" s="2271"/>
      <c r="C109" s="2271"/>
      <c r="D109" s="2271"/>
      <c r="E109" s="2271"/>
      <c r="F109" s="2271"/>
      <c r="G109" s="2271"/>
      <c r="H109" s="2271"/>
      <c r="I109" s="2271"/>
      <c r="J109" s="2271"/>
      <c r="K109" s="2271"/>
      <c r="L109" s="2271"/>
      <c r="M109" s="2271"/>
      <c r="N109" s="2271"/>
      <c r="O109" s="2271"/>
      <c r="P109" s="2271"/>
      <c r="Q109" s="2271"/>
    </row>
    <row r="110" spans="2:17" s="751" customFormat="1">
      <c r="B110" s="2271"/>
      <c r="C110" s="2271"/>
      <c r="D110" s="2271"/>
      <c r="E110" s="2271"/>
      <c r="F110" s="2271"/>
      <c r="G110" s="2271"/>
      <c r="H110" s="2271"/>
      <c r="I110" s="2271"/>
      <c r="J110" s="2271"/>
      <c r="K110" s="2271"/>
      <c r="L110" s="2271"/>
      <c r="M110" s="2271"/>
      <c r="N110" s="2271"/>
      <c r="O110" s="2271"/>
      <c r="P110" s="2271"/>
      <c r="Q110" s="2271"/>
    </row>
    <row r="111" spans="2:17" s="751" customFormat="1">
      <c r="B111" s="2271"/>
      <c r="C111" s="2271"/>
      <c r="D111" s="2271"/>
      <c r="E111" s="2271"/>
      <c r="F111" s="2271"/>
      <c r="G111" s="2271"/>
      <c r="H111" s="2271"/>
      <c r="I111" s="2271"/>
      <c r="J111" s="2271"/>
      <c r="K111" s="2271"/>
      <c r="L111" s="2271"/>
      <c r="M111" s="2271"/>
      <c r="N111" s="2271"/>
      <c r="O111" s="2271"/>
      <c r="P111" s="2271"/>
      <c r="Q111" s="2271"/>
    </row>
    <row r="112" spans="2:17" s="751" customFormat="1">
      <c r="B112" s="2271"/>
      <c r="C112" s="2271"/>
      <c r="D112" s="2271"/>
      <c r="E112" s="2271"/>
      <c r="F112" s="2271"/>
      <c r="G112" s="2271"/>
      <c r="H112" s="2271"/>
      <c r="I112" s="2271"/>
      <c r="J112" s="2271"/>
      <c r="K112" s="2271"/>
      <c r="L112" s="2271"/>
      <c r="M112" s="2271"/>
      <c r="N112" s="2271"/>
      <c r="O112" s="2271"/>
      <c r="P112" s="2271"/>
      <c r="Q112" s="2271"/>
    </row>
    <row r="113" spans="2:17" s="751" customFormat="1">
      <c r="B113" s="2271"/>
      <c r="C113" s="2271"/>
      <c r="D113" s="2271"/>
      <c r="E113" s="2271"/>
      <c r="F113" s="2271"/>
      <c r="G113" s="2271"/>
      <c r="H113" s="2271"/>
      <c r="I113" s="2271"/>
      <c r="J113" s="2271"/>
      <c r="K113" s="2271"/>
      <c r="L113" s="2271"/>
      <c r="M113" s="2271"/>
      <c r="N113" s="2271"/>
      <c r="O113" s="2271"/>
      <c r="P113" s="2271"/>
      <c r="Q113" s="2271"/>
    </row>
    <row r="114" spans="2:17" s="751" customFormat="1">
      <c r="B114" s="2271"/>
      <c r="C114" s="2271"/>
      <c r="D114" s="2271"/>
      <c r="E114" s="2271"/>
      <c r="F114" s="2271"/>
      <c r="G114" s="2271"/>
      <c r="H114" s="2271"/>
      <c r="I114" s="2271"/>
      <c r="J114" s="2271"/>
      <c r="K114" s="2271"/>
      <c r="L114" s="2271"/>
      <c r="M114" s="2271"/>
      <c r="N114" s="2271"/>
      <c r="O114" s="2271"/>
      <c r="P114" s="2271"/>
      <c r="Q114" s="2271"/>
    </row>
    <row r="115" spans="2:17" s="751" customFormat="1">
      <c r="B115" s="2271"/>
      <c r="C115" s="2271"/>
      <c r="D115" s="2271"/>
      <c r="E115" s="2271"/>
      <c r="F115" s="2271"/>
      <c r="G115" s="2271"/>
      <c r="H115" s="2271"/>
      <c r="I115" s="2271"/>
      <c r="J115" s="2271"/>
      <c r="K115" s="2271"/>
      <c r="L115" s="2271"/>
      <c r="M115" s="2271"/>
      <c r="N115" s="2271"/>
      <c r="O115" s="2271"/>
      <c r="P115" s="2271"/>
      <c r="Q115" s="2271"/>
    </row>
    <row r="116" spans="2:17" s="751" customFormat="1">
      <c r="B116" s="2271"/>
      <c r="C116" s="2271"/>
      <c r="D116" s="2271"/>
      <c r="E116" s="2271"/>
      <c r="F116" s="2271"/>
      <c r="G116" s="2271"/>
      <c r="H116" s="2271"/>
      <c r="I116" s="2271"/>
      <c r="J116" s="2271"/>
      <c r="K116" s="2271"/>
      <c r="L116" s="2271"/>
      <c r="M116" s="2271"/>
      <c r="N116" s="2271"/>
      <c r="O116" s="2271"/>
      <c r="P116" s="2271"/>
      <c r="Q116" s="2271"/>
    </row>
    <row r="117" spans="2:17" s="751" customFormat="1">
      <c r="B117" s="2271"/>
      <c r="C117" s="2271"/>
      <c r="D117" s="2271"/>
      <c r="E117" s="2271"/>
      <c r="F117" s="2271"/>
      <c r="G117" s="2271"/>
      <c r="H117" s="2271"/>
      <c r="I117" s="2271"/>
      <c r="J117" s="2271"/>
      <c r="K117" s="2271"/>
      <c r="L117" s="2271"/>
      <c r="M117" s="2271"/>
      <c r="N117" s="2271"/>
      <c r="O117" s="2271"/>
      <c r="P117" s="2271"/>
      <c r="Q117" s="2271"/>
    </row>
    <row r="118" spans="2:17" s="751" customFormat="1">
      <c r="B118" s="2271"/>
      <c r="C118" s="2271"/>
      <c r="D118" s="2271"/>
      <c r="E118" s="2271"/>
      <c r="F118" s="2271"/>
      <c r="G118" s="2271"/>
      <c r="H118" s="2271"/>
      <c r="I118" s="2271"/>
      <c r="J118" s="2271"/>
      <c r="K118" s="2271"/>
      <c r="L118" s="2271"/>
      <c r="M118" s="2271"/>
      <c r="N118" s="2271"/>
      <c r="O118" s="2271"/>
      <c r="P118" s="2271"/>
      <c r="Q118" s="2271"/>
    </row>
    <row r="119" spans="2:17" s="751" customFormat="1">
      <c r="B119" s="2271"/>
      <c r="C119" s="2271"/>
      <c r="D119" s="2271"/>
      <c r="E119" s="2271"/>
      <c r="F119" s="2271"/>
      <c r="G119" s="2271"/>
      <c r="H119" s="2271"/>
      <c r="I119" s="2271"/>
      <c r="J119" s="2271"/>
      <c r="K119" s="2271"/>
      <c r="L119" s="2271"/>
      <c r="M119" s="2271"/>
      <c r="N119" s="2271"/>
      <c r="O119" s="2271"/>
      <c r="P119" s="2271"/>
      <c r="Q119" s="2271"/>
    </row>
    <row r="120" spans="2:17" s="751" customFormat="1">
      <c r="B120" s="2271"/>
      <c r="C120" s="2271"/>
      <c r="D120" s="2271"/>
      <c r="E120" s="2271"/>
      <c r="F120" s="2271"/>
      <c r="G120" s="2271"/>
      <c r="H120" s="2271"/>
      <c r="I120" s="2271"/>
      <c r="J120" s="2271"/>
      <c r="K120" s="2271"/>
      <c r="L120" s="2271"/>
      <c r="M120" s="2271"/>
      <c r="N120" s="2271"/>
      <c r="O120" s="2271"/>
      <c r="P120" s="2271"/>
      <c r="Q120" s="2271"/>
    </row>
    <row r="121" spans="2:17" s="751" customFormat="1">
      <c r="B121" s="2271"/>
      <c r="C121" s="2271"/>
      <c r="D121" s="2271"/>
      <c r="E121" s="2271"/>
      <c r="F121" s="2271"/>
      <c r="G121" s="2271"/>
      <c r="H121" s="2271"/>
      <c r="I121" s="2271"/>
      <c r="J121" s="2271"/>
      <c r="K121" s="2271"/>
      <c r="L121" s="2271"/>
      <c r="M121" s="2271"/>
      <c r="N121" s="2271"/>
      <c r="O121" s="2271"/>
      <c r="P121" s="2271"/>
      <c r="Q121" s="2271"/>
    </row>
    <row r="122" spans="2:17" s="751" customFormat="1">
      <c r="B122" s="2271"/>
      <c r="C122" s="2271"/>
      <c r="D122" s="2271"/>
      <c r="E122" s="2271"/>
      <c r="F122" s="2271"/>
      <c r="G122" s="2271"/>
      <c r="H122" s="2271"/>
      <c r="I122" s="2271"/>
      <c r="J122" s="2271"/>
      <c r="K122" s="2271"/>
      <c r="L122" s="2271"/>
      <c r="M122" s="2271"/>
      <c r="N122" s="2271"/>
      <c r="O122" s="2271"/>
      <c r="P122" s="2271"/>
      <c r="Q122" s="2271"/>
    </row>
    <row r="123" spans="2:17" s="751" customFormat="1">
      <c r="B123" s="2271"/>
      <c r="C123" s="2271"/>
      <c r="D123" s="2271"/>
      <c r="E123" s="2271"/>
      <c r="F123" s="2271"/>
      <c r="G123" s="2271"/>
      <c r="H123" s="2271"/>
      <c r="I123" s="2271"/>
      <c r="J123" s="2271"/>
      <c r="K123" s="2271"/>
      <c r="L123" s="2271"/>
      <c r="M123" s="2271"/>
      <c r="N123" s="2271"/>
      <c r="O123" s="2271"/>
      <c r="P123" s="2271"/>
      <c r="Q123" s="2271"/>
    </row>
    <row r="124" spans="2:17" s="751" customFormat="1">
      <c r="B124" s="2271"/>
      <c r="C124" s="2271"/>
      <c r="D124" s="2271"/>
      <c r="E124" s="2271"/>
      <c r="F124" s="2271"/>
      <c r="G124" s="2271"/>
      <c r="H124" s="2271"/>
      <c r="I124" s="2271"/>
      <c r="J124" s="2271"/>
      <c r="K124" s="2271"/>
      <c r="L124" s="2271"/>
      <c r="M124" s="2271"/>
      <c r="N124" s="2271"/>
      <c r="O124" s="2271"/>
      <c r="P124" s="2271"/>
      <c r="Q124" s="2271"/>
    </row>
    <row r="125" spans="2:17" s="751" customFormat="1">
      <c r="B125" s="2271"/>
      <c r="C125" s="2271"/>
      <c r="D125" s="2271"/>
      <c r="E125" s="2271"/>
      <c r="F125" s="2271"/>
      <c r="G125" s="2271"/>
      <c r="H125" s="2271"/>
      <c r="I125" s="2271"/>
      <c r="J125" s="2271"/>
      <c r="K125" s="2271"/>
      <c r="L125" s="2271"/>
      <c r="M125" s="2271"/>
      <c r="N125" s="2271"/>
      <c r="O125" s="2271"/>
      <c r="P125" s="2271"/>
      <c r="Q125" s="2271"/>
    </row>
    <row r="126" spans="2:17" s="751" customFormat="1">
      <c r="B126" s="2271"/>
      <c r="C126" s="2271"/>
      <c r="D126" s="2271"/>
      <c r="E126" s="2271"/>
      <c r="F126" s="2271"/>
      <c r="G126" s="2271"/>
      <c r="H126" s="2271"/>
      <c r="I126" s="2271"/>
      <c r="J126" s="2271"/>
      <c r="K126" s="2271"/>
      <c r="L126" s="2271"/>
      <c r="M126" s="2271"/>
      <c r="N126" s="2271"/>
      <c r="O126" s="2271"/>
      <c r="P126" s="2271"/>
      <c r="Q126" s="2271"/>
    </row>
    <row r="127" spans="2:17" s="751" customFormat="1">
      <c r="B127" s="2271"/>
      <c r="C127" s="2271"/>
      <c r="D127" s="2271"/>
      <c r="E127" s="2271"/>
      <c r="F127" s="2271"/>
      <c r="G127" s="2271"/>
      <c r="H127" s="2271"/>
      <c r="I127" s="2271"/>
      <c r="J127" s="2271"/>
      <c r="K127" s="2271"/>
      <c r="L127" s="2271"/>
      <c r="M127" s="2271"/>
      <c r="N127" s="2271"/>
      <c r="O127" s="2271"/>
      <c r="P127" s="2271"/>
      <c r="Q127" s="2271"/>
    </row>
    <row r="128" spans="2:17" s="751" customFormat="1">
      <c r="B128" s="2271"/>
      <c r="C128" s="2271"/>
      <c r="D128" s="2271"/>
      <c r="E128" s="2271"/>
      <c r="F128" s="2271"/>
      <c r="G128" s="2271"/>
      <c r="H128" s="2271"/>
      <c r="I128" s="2271"/>
      <c r="J128" s="2271"/>
      <c r="K128" s="2271"/>
      <c r="L128" s="2271"/>
      <c r="M128" s="2271"/>
      <c r="N128" s="2271"/>
      <c r="O128" s="2271"/>
      <c r="P128" s="2271"/>
      <c r="Q128" s="2271"/>
    </row>
    <row r="129" spans="2:17" s="751" customFormat="1">
      <c r="B129" s="2271"/>
      <c r="C129" s="2271"/>
      <c r="D129" s="2271"/>
      <c r="E129" s="2271"/>
      <c r="F129" s="2271"/>
      <c r="G129" s="2271"/>
      <c r="H129" s="2271"/>
      <c r="I129" s="2271"/>
      <c r="J129" s="2271"/>
      <c r="K129" s="2271"/>
      <c r="L129" s="2271"/>
      <c r="M129" s="2271"/>
      <c r="N129" s="2271"/>
      <c r="O129" s="2271"/>
      <c r="P129" s="2271"/>
      <c r="Q129" s="2271"/>
    </row>
    <row r="130" spans="2:17" s="751" customFormat="1">
      <c r="B130" s="2271"/>
      <c r="C130" s="2271"/>
      <c r="D130" s="2271"/>
      <c r="E130" s="2271"/>
      <c r="F130" s="2271"/>
      <c r="G130" s="2271"/>
      <c r="H130" s="2271"/>
      <c r="I130" s="2271"/>
      <c r="J130" s="2271"/>
      <c r="K130" s="2271"/>
      <c r="L130" s="2271"/>
      <c r="M130" s="2271"/>
      <c r="N130" s="2271"/>
      <c r="O130" s="2271"/>
      <c r="P130" s="2271"/>
      <c r="Q130" s="2271"/>
    </row>
    <row r="131" spans="2:17" s="751" customFormat="1">
      <c r="B131" s="2271"/>
      <c r="C131" s="2271"/>
      <c r="D131" s="2271"/>
      <c r="E131" s="2271"/>
      <c r="F131" s="2271"/>
      <c r="G131" s="2271"/>
      <c r="H131" s="2271"/>
      <c r="I131" s="2271"/>
      <c r="J131" s="2271"/>
      <c r="K131" s="2271"/>
      <c r="L131" s="2271"/>
      <c r="M131" s="2271"/>
      <c r="N131" s="2271"/>
      <c r="O131" s="2271"/>
      <c r="P131" s="2271"/>
      <c r="Q131" s="2271"/>
    </row>
    <row r="132" spans="2:17" s="751" customFormat="1">
      <c r="B132" s="2271"/>
      <c r="C132" s="2271"/>
      <c r="D132" s="2271"/>
      <c r="E132" s="2271"/>
      <c r="F132" s="2271"/>
      <c r="G132" s="2271"/>
      <c r="H132" s="2271"/>
      <c r="I132" s="2271"/>
      <c r="J132" s="2271"/>
      <c r="K132" s="2271"/>
      <c r="L132" s="2271"/>
      <c r="M132" s="2271"/>
      <c r="N132" s="2271"/>
      <c r="O132" s="2271"/>
      <c r="P132" s="2271"/>
      <c r="Q132" s="2271"/>
    </row>
    <row r="133" spans="2:17" s="751" customFormat="1">
      <c r="B133" s="2271"/>
      <c r="C133" s="2271"/>
      <c r="D133" s="2271"/>
      <c r="E133" s="2271"/>
      <c r="F133" s="2271"/>
      <c r="G133" s="2271"/>
      <c r="H133" s="2271"/>
      <c r="I133" s="2271"/>
      <c r="J133" s="2271"/>
      <c r="K133" s="2271"/>
      <c r="L133" s="2271"/>
      <c r="M133" s="2271"/>
      <c r="N133" s="2271"/>
      <c r="O133" s="2271"/>
      <c r="P133" s="2271"/>
      <c r="Q133" s="2271"/>
    </row>
    <row r="134" spans="2:17" s="751" customFormat="1">
      <c r="B134" s="2271"/>
      <c r="C134" s="2271"/>
      <c r="D134" s="2271"/>
      <c r="E134" s="2271"/>
      <c r="F134" s="2271"/>
      <c r="G134" s="2271"/>
      <c r="H134" s="2271"/>
      <c r="I134" s="2271"/>
      <c r="J134" s="2271"/>
      <c r="K134" s="2271"/>
      <c r="L134" s="2271"/>
      <c r="M134" s="2271"/>
      <c r="N134" s="2271"/>
      <c r="O134" s="2271"/>
      <c r="P134" s="2271"/>
      <c r="Q134" s="2271"/>
    </row>
    <row r="135" spans="2:17" s="751" customFormat="1">
      <c r="B135" s="2271"/>
      <c r="C135" s="2271"/>
      <c r="D135" s="2271"/>
      <c r="E135" s="2271"/>
      <c r="F135" s="2271"/>
      <c r="G135" s="2271"/>
      <c r="H135" s="2271"/>
      <c r="I135" s="2271"/>
      <c r="J135" s="2271"/>
      <c r="K135" s="2271"/>
      <c r="L135" s="2271"/>
      <c r="M135" s="2271"/>
      <c r="N135" s="2271"/>
      <c r="O135" s="2271"/>
      <c r="P135" s="2271"/>
      <c r="Q135" s="2271"/>
    </row>
    <row r="136" spans="2:17" s="751" customFormat="1">
      <c r="B136" s="2271"/>
      <c r="C136" s="2271"/>
      <c r="D136" s="2271"/>
      <c r="E136" s="2271"/>
      <c r="F136" s="2271"/>
      <c r="G136" s="2271"/>
      <c r="H136" s="2271"/>
      <c r="I136" s="2271"/>
      <c r="J136" s="2271"/>
      <c r="K136" s="2271"/>
      <c r="L136" s="2271"/>
      <c r="M136" s="2271"/>
      <c r="N136" s="2271"/>
      <c r="O136" s="2271"/>
      <c r="P136" s="2271"/>
      <c r="Q136" s="2271"/>
    </row>
    <row r="137" spans="2:17" s="751" customFormat="1">
      <c r="B137" s="2271"/>
      <c r="C137" s="2271"/>
      <c r="D137" s="2271"/>
      <c r="E137" s="2271"/>
      <c r="F137" s="2271"/>
      <c r="G137" s="2271"/>
      <c r="H137" s="2271"/>
      <c r="I137" s="2271"/>
      <c r="J137" s="2271"/>
      <c r="K137" s="2271"/>
      <c r="L137" s="2271"/>
      <c r="M137" s="2271"/>
      <c r="N137" s="2271"/>
      <c r="O137" s="2271"/>
      <c r="P137" s="2271"/>
      <c r="Q137" s="2271"/>
    </row>
    <row r="138" spans="2:17" s="751" customFormat="1">
      <c r="B138" s="2271"/>
      <c r="C138" s="2271"/>
      <c r="D138" s="2271"/>
      <c r="E138" s="2271"/>
      <c r="F138" s="2271"/>
      <c r="G138" s="2271"/>
      <c r="H138" s="2271"/>
      <c r="I138" s="2271"/>
      <c r="J138" s="2271"/>
      <c r="K138" s="2271"/>
      <c r="L138" s="2271"/>
      <c r="M138" s="2271"/>
      <c r="N138" s="2271"/>
      <c r="O138" s="2271"/>
      <c r="P138" s="2271"/>
      <c r="Q138" s="2271"/>
    </row>
    <row r="139" spans="2:17" s="751" customFormat="1">
      <c r="B139" s="2271"/>
      <c r="C139" s="2271"/>
      <c r="D139" s="2271"/>
      <c r="E139" s="2271"/>
      <c r="F139" s="2271"/>
      <c r="G139" s="2271"/>
      <c r="H139" s="2271"/>
      <c r="I139" s="2271"/>
      <c r="J139" s="2271"/>
      <c r="K139" s="2271"/>
      <c r="L139" s="2271"/>
      <c r="M139" s="2271"/>
      <c r="N139" s="2271"/>
      <c r="O139" s="2271"/>
      <c r="P139" s="2271"/>
      <c r="Q139" s="2271"/>
    </row>
    <row r="140" spans="2:17" s="751" customFormat="1">
      <c r="B140" s="2271"/>
      <c r="C140" s="2271"/>
      <c r="D140" s="2271"/>
      <c r="E140" s="2271"/>
      <c r="F140" s="2271"/>
      <c r="G140" s="2271"/>
      <c r="H140" s="2271"/>
      <c r="I140" s="2271"/>
      <c r="J140" s="2271"/>
      <c r="K140" s="2271"/>
      <c r="L140" s="2271"/>
      <c r="M140" s="2271"/>
      <c r="N140" s="2271"/>
      <c r="O140" s="2271"/>
      <c r="P140" s="2271"/>
      <c r="Q140" s="2271"/>
    </row>
    <row r="141" spans="2:17" s="751" customFormat="1">
      <c r="B141" s="2271"/>
      <c r="C141" s="2271"/>
      <c r="D141" s="2271"/>
      <c r="E141" s="2271"/>
      <c r="F141" s="2271"/>
      <c r="G141" s="2271"/>
      <c r="H141" s="2271"/>
      <c r="I141" s="2271"/>
      <c r="J141" s="2271"/>
      <c r="K141" s="2271"/>
      <c r="L141" s="2271"/>
      <c r="M141" s="2271"/>
      <c r="N141" s="2271"/>
      <c r="O141" s="2271"/>
      <c r="P141" s="2271"/>
      <c r="Q141" s="2271"/>
    </row>
    <row r="142" spans="2:17" s="751" customFormat="1">
      <c r="B142" s="2271"/>
      <c r="C142" s="2271"/>
      <c r="D142" s="2271"/>
      <c r="E142" s="2271"/>
      <c r="F142" s="2271"/>
      <c r="G142" s="2271"/>
      <c r="H142" s="2271"/>
      <c r="I142" s="2271"/>
      <c r="J142" s="2271"/>
      <c r="K142" s="2271"/>
      <c r="L142" s="2271"/>
      <c r="M142" s="2271"/>
      <c r="N142" s="2271"/>
      <c r="O142" s="2271"/>
      <c r="P142" s="2271"/>
      <c r="Q142" s="2271"/>
    </row>
    <row r="143" spans="2:17" s="751" customFormat="1">
      <c r="B143" s="2271"/>
      <c r="C143" s="2271"/>
      <c r="D143" s="2271"/>
      <c r="E143" s="2271"/>
      <c r="F143" s="2271"/>
      <c r="G143" s="2271"/>
      <c r="H143" s="2271"/>
      <c r="I143" s="2271"/>
      <c r="J143" s="2271"/>
      <c r="K143" s="2271"/>
      <c r="L143" s="2271"/>
      <c r="M143" s="2271"/>
      <c r="N143" s="2271"/>
      <c r="O143" s="2271"/>
      <c r="P143" s="2271"/>
      <c r="Q143" s="2271"/>
    </row>
    <row r="144" spans="2:17" s="751" customFormat="1">
      <c r="B144" s="2271"/>
      <c r="C144" s="2271"/>
      <c r="D144" s="2271"/>
      <c r="E144" s="2271"/>
      <c r="F144" s="2271"/>
      <c r="G144" s="2271"/>
      <c r="H144" s="2271"/>
      <c r="I144" s="2271"/>
      <c r="J144" s="2271"/>
      <c r="K144" s="2271"/>
      <c r="L144" s="2271"/>
      <c r="M144" s="2271"/>
      <c r="N144" s="2271"/>
      <c r="O144" s="2271"/>
      <c r="P144" s="2271"/>
      <c r="Q144" s="2271"/>
    </row>
    <row r="145" spans="2:17" s="751" customFormat="1">
      <c r="B145" s="2271"/>
      <c r="C145" s="2271"/>
      <c r="D145" s="2271"/>
      <c r="E145" s="2271"/>
      <c r="F145" s="2271"/>
      <c r="G145" s="2271"/>
      <c r="H145" s="2271"/>
      <c r="I145" s="2271"/>
      <c r="J145" s="2271"/>
      <c r="K145" s="2271"/>
      <c r="L145" s="2271"/>
      <c r="M145" s="2271"/>
      <c r="N145" s="2271"/>
      <c r="O145" s="2271"/>
      <c r="P145" s="2271"/>
      <c r="Q145" s="2271"/>
    </row>
    <row r="146" spans="2:17" s="751" customFormat="1">
      <c r="B146" s="2271"/>
      <c r="C146" s="2271"/>
      <c r="D146" s="2271"/>
      <c r="E146" s="2271"/>
      <c r="F146" s="2271"/>
      <c r="G146" s="2271"/>
      <c r="H146" s="2271"/>
      <c r="I146" s="2271"/>
      <c r="J146" s="2271"/>
      <c r="K146" s="2271"/>
      <c r="L146" s="2271"/>
      <c r="M146" s="2271"/>
      <c r="N146" s="2271"/>
      <c r="O146" s="2271"/>
      <c r="P146" s="2271"/>
      <c r="Q146" s="2271"/>
    </row>
    <row r="147" spans="2:17" s="751" customFormat="1">
      <c r="B147" s="2271"/>
      <c r="C147" s="2271"/>
      <c r="D147" s="2271"/>
      <c r="E147" s="2271"/>
      <c r="F147" s="2271"/>
      <c r="G147" s="2271"/>
      <c r="H147" s="2271"/>
      <c r="I147" s="2271"/>
      <c r="J147" s="2271"/>
      <c r="K147" s="2271"/>
      <c r="L147" s="2271"/>
      <c r="M147" s="2271"/>
      <c r="N147" s="2271"/>
      <c r="O147" s="2271"/>
      <c r="P147" s="2271"/>
      <c r="Q147" s="2271"/>
    </row>
    <row r="148" spans="2:17" s="751" customFormat="1">
      <c r="B148" s="2271"/>
      <c r="C148" s="2271"/>
      <c r="D148" s="2271"/>
      <c r="E148" s="2271"/>
      <c r="F148" s="2271"/>
      <c r="G148" s="2271"/>
      <c r="H148" s="2271"/>
      <c r="I148" s="2271"/>
      <c r="J148" s="2271"/>
      <c r="K148" s="2271"/>
      <c r="L148" s="2271"/>
      <c r="M148" s="2271"/>
      <c r="N148" s="2271"/>
      <c r="O148" s="2271"/>
      <c r="P148" s="2271"/>
      <c r="Q148" s="2271"/>
    </row>
    <row r="149" spans="2:17" s="751" customFormat="1">
      <c r="B149" s="2271"/>
      <c r="C149" s="2271"/>
      <c r="D149" s="2271"/>
      <c r="E149" s="2271"/>
      <c r="F149" s="2271"/>
      <c r="G149" s="2271"/>
      <c r="H149" s="2271"/>
      <c r="I149" s="2271"/>
      <c r="J149" s="2271"/>
      <c r="K149" s="2271"/>
      <c r="L149" s="2271"/>
      <c r="M149" s="2271"/>
      <c r="N149" s="2271"/>
      <c r="O149" s="2271"/>
      <c r="P149" s="2271"/>
      <c r="Q149" s="2271"/>
    </row>
    <row r="150" spans="2:17" s="751" customFormat="1">
      <c r="B150" s="2271"/>
      <c r="C150" s="2271"/>
      <c r="D150" s="2271"/>
      <c r="E150" s="2271"/>
      <c r="F150" s="2271"/>
      <c r="G150" s="2271"/>
      <c r="H150" s="2271"/>
      <c r="I150" s="2271"/>
      <c r="J150" s="2271"/>
      <c r="K150" s="2271"/>
      <c r="L150" s="2271"/>
      <c r="M150" s="2271"/>
      <c r="N150" s="2271"/>
      <c r="O150" s="2271"/>
      <c r="P150" s="2271"/>
      <c r="Q150" s="2271"/>
    </row>
    <row r="151" spans="2:17" s="751" customFormat="1">
      <c r="B151" s="2271"/>
      <c r="C151" s="2271"/>
      <c r="D151" s="2271"/>
      <c r="E151" s="2271"/>
      <c r="F151" s="2271"/>
      <c r="G151" s="2271"/>
      <c r="H151" s="2271"/>
      <c r="I151" s="2271"/>
      <c r="J151" s="2271"/>
      <c r="K151" s="2271"/>
      <c r="L151" s="2271"/>
      <c r="M151" s="2271"/>
      <c r="N151" s="2271"/>
      <c r="O151" s="2271"/>
      <c r="P151" s="2271"/>
      <c r="Q151" s="2271"/>
    </row>
    <row r="152" spans="2:17" s="751" customFormat="1">
      <c r="B152" s="2271"/>
      <c r="C152" s="2271"/>
      <c r="D152" s="2271"/>
      <c r="E152" s="2271"/>
      <c r="F152" s="2271"/>
      <c r="G152" s="2271"/>
      <c r="H152" s="2271"/>
      <c r="I152" s="2271"/>
      <c r="J152" s="2271"/>
      <c r="K152" s="2271"/>
      <c r="L152" s="2271"/>
      <c r="M152" s="2271"/>
      <c r="N152" s="2271"/>
      <c r="O152" s="2271"/>
      <c r="P152" s="2271"/>
      <c r="Q152" s="2271"/>
    </row>
    <row r="153" spans="2:17" s="751" customFormat="1">
      <c r="B153" s="2271"/>
      <c r="C153" s="2271"/>
      <c r="D153" s="2271"/>
      <c r="E153" s="2271"/>
      <c r="F153" s="2271"/>
      <c r="G153" s="2271"/>
      <c r="H153" s="2271"/>
      <c r="I153" s="2271"/>
      <c r="J153" s="2271"/>
      <c r="K153" s="2271"/>
      <c r="L153" s="2271"/>
      <c r="M153" s="2271"/>
      <c r="N153" s="2271"/>
      <c r="O153" s="2271"/>
      <c r="P153" s="2271"/>
      <c r="Q153" s="2271"/>
    </row>
    <row r="154" spans="2:17" s="751" customFormat="1">
      <c r="B154" s="2271"/>
      <c r="C154" s="2271"/>
      <c r="D154" s="2271"/>
      <c r="E154" s="2271"/>
      <c r="F154" s="2271"/>
      <c r="G154" s="2271"/>
      <c r="H154" s="2271"/>
      <c r="I154" s="2271"/>
      <c r="J154" s="2271"/>
      <c r="K154" s="2271"/>
      <c r="L154" s="2271"/>
      <c r="M154" s="2271"/>
      <c r="N154" s="2271"/>
      <c r="O154" s="2271"/>
      <c r="P154" s="2271"/>
      <c r="Q154" s="2271"/>
    </row>
    <row r="155" spans="2:17" s="751" customFormat="1">
      <c r="B155" s="2271"/>
      <c r="C155" s="2271"/>
      <c r="D155" s="2271"/>
      <c r="E155" s="2271"/>
      <c r="F155" s="2271"/>
      <c r="G155" s="2271"/>
      <c r="H155" s="2271"/>
      <c r="I155" s="2271"/>
      <c r="J155" s="2271"/>
      <c r="K155" s="2271"/>
      <c r="L155" s="2271"/>
      <c r="M155" s="2271"/>
      <c r="N155" s="2271"/>
      <c r="O155" s="2271"/>
      <c r="P155" s="2271"/>
      <c r="Q155" s="2271"/>
    </row>
    <row r="156" spans="2:17" s="751" customFormat="1">
      <c r="B156" s="2271"/>
      <c r="C156" s="2271"/>
      <c r="D156" s="2271"/>
      <c r="E156" s="2271"/>
      <c r="F156" s="2271"/>
      <c r="G156" s="2271"/>
      <c r="H156" s="2271"/>
      <c r="I156" s="2271"/>
      <c r="J156" s="2271"/>
      <c r="K156" s="2271"/>
      <c r="L156" s="2271"/>
      <c r="M156" s="2271"/>
      <c r="N156" s="2271"/>
      <c r="O156" s="2271"/>
      <c r="P156" s="2271"/>
      <c r="Q156" s="2271"/>
    </row>
    <row r="157" spans="2:17" s="751" customFormat="1">
      <c r="B157" s="2271"/>
      <c r="C157" s="2271"/>
      <c r="D157" s="2271"/>
      <c r="E157" s="2271"/>
      <c r="F157" s="2271"/>
      <c r="G157" s="2271"/>
      <c r="H157" s="2271"/>
      <c r="I157" s="2271"/>
      <c r="J157" s="2271"/>
      <c r="K157" s="2271"/>
      <c r="L157" s="2271"/>
      <c r="M157" s="2271"/>
      <c r="N157" s="2271"/>
      <c r="O157" s="2271"/>
      <c r="P157" s="2271"/>
      <c r="Q157" s="2271"/>
    </row>
    <row r="158" spans="2:17" s="751" customFormat="1">
      <c r="B158" s="2271"/>
      <c r="C158" s="2271"/>
      <c r="D158" s="2271"/>
      <c r="E158" s="2271"/>
      <c r="F158" s="2271"/>
      <c r="G158" s="2271"/>
      <c r="H158" s="2271"/>
      <c r="I158" s="2271"/>
      <c r="J158" s="2271"/>
      <c r="K158" s="2271"/>
      <c r="L158" s="2271"/>
      <c r="M158" s="2271"/>
      <c r="N158" s="2271"/>
      <c r="O158" s="2271"/>
      <c r="P158" s="2271"/>
      <c r="Q158" s="2271"/>
    </row>
    <row r="159" spans="2:17" s="751" customFormat="1">
      <c r="B159" s="2271"/>
      <c r="C159" s="2271"/>
      <c r="D159" s="2271"/>
      <c r="E159" s="2271"/>
      <c r="F159" s="2271"/>
      <c r="G159" s="2271"/>
      <c r="H159" s="2271"/>
      <c r="I159" s="2271"/>
      <c r="J159" s="2271"/>
      <c r="K159" s="2271"/>
      <c r="L159" s="2271"/>
      <c r="M159" s="2271"/>
      <c r="N159" s="2271"/>
      <c r="O159" s="2271"/>
      <c r="P159" s="2271"/>
      <c r="Q159" s="2271"/>
    </row>
    <row r="160" spans="2:17" s="751" customFormat="1">
      <c r="B160" s="2271"/>
      <c r="C160" s="2271"/>
      <c r="D160" s="2271"/>
      <c r="E160" s="2271"/>
      <c r="F160" s="2271"/>
      <c r="G160" s="2271"/>
      <c r="H160" s="2271"/>
      <c r="I160" s="2271"/>
      <c r="J160" s="2271"/>
      <c r="K160" s="2271"/>
      <c r="L160" s="2271"/>
      <c r="M160" s="2271"/>
      <c r="N160" s="2271"/>
      <c r="O160" s="2271"/>
      <c r="P160" s="2271"/>
      <c r="Q160" s="2271"/>
    </row>
    <row r="161" spans="2:17" s="751" customFormat="1">
      <c r="B161" s="2271"/>
      <c r="C161" s="2271"/>
      <c r="D161" s="2271"/>
      <c r="E161" s="2271"/>
      <c r="F161" s="2271"/>
      <c r="G161" s="2271"/>
      <c r="H161" s="2271"/>
      <c r="I161" s="2271"/>
      <c r="J161" s="2271"/>
      <c r="K161" s="2271"/>
      <c r="L161" s="2271"/>
      <c r="M161" s="2271"/>
      <c r="N161" s="2271"/>
      <c r="O161" s="2271"/>
      <c r="P161" s="2271"/>
      <c r="Q161" s="2271"/>
    </row>
    <row r="162" spans="2:17" s="751" customFormat="1">
      <c r="B162" s="2271"/>
      <c r="C162" s="2271"/>
      <c r="D162" s="2271"/>
      <c r="E162" s="2271"/>
      <c r="F162" s="2271"/>
      <c r="G162" s="2271"/>
      <c r="H162" s="2271"/>
      <c r="I162" s="2271"/>
      <c r="J162" s="2271"/>
      <c r="K162" s="2271"/>
      <c r="L162" s="2271"/>
      <c r="M162" s="2271"/>
      <c r="N162" s="2271"/>
      <c r="O162" s="2271"/>
      <c r="P162" s="2271"/>
      <c r="Q162" s="2271"/>
    </row>
    <row r="163" spans="2:17" s="751" customFormat="1">
      <c r="B163" s="2271"/>
      <c r="C163" s="2271"/>
      <c r="D163" s="2271"/>
      <c r="E163" s="2271"/>
      <c r="F163" s="2271"/>
      <c r="G163" s="2271"/>
      <c r="H163" s="2271"/>
      <c r="I163" s="2271"/>
      <c r="J163" s="2271"/>
      <c r="K163" s="2271"/>
      <c r="L163" s="2271"/>
      <c r="M163" s="2271"/>
      <c r="N163" s="2271"/>
      <c r="O163" s="2271"/>
      <c r="P163" s="2271"/>
      <c r="Q163" s="2271"/>
    </row>
    <row r="164" spans="2:17" s="751" customFormat="1">
      <c r="B164" s="2271"/>
      <c r="C164" s="2271"/>
      <c r="D164" s="2271"/>
      <c r="E164" s="2271"/>
      <c r="F164" s="2271"/>
      <c r="G164" s="2271"/>
      <c r="H164" s="2271"/>
      <c r="I164" s="2271"/>
      <c r="J164" s="2271"/>
      <c r="K164" s="2271"/>
      <c r="L164" s="2271"/>
      <c r="M164" s="2271"/>
      <c r="N164" s="2271"/>
      <c r="O164" s="2271"/>
      <c r="P164" s="2271"/>
      <c r="Q164" s="2271"/>
    </row>
    <row r="165" spans="2:17" s="751" customFormat="1">
      <c r="B165" s="2271"/>
      <c r="C165" s="2271"/>
      <c r="D165" s="2271"/>
      <c r="E165" s="2271"/>
      <c r="F165" s="2271"/>
      <c r="G165" s="2271"/>
      <c r="H165" s="2271"/>
      <c r="I165" s="2271"/>
      <c r="J165" s="2271"/>
      <c r="K165" s="2271"/>
      <c r="L165" s="2271"/>
      <c r="M165" s="2271"/>
      <c r="N165" s="2271"/>
      <c r="O165" s="2271"/>
      <c r="P165" s="2271"/>
      <c r="Q165" s="2271"/>
    </row>
    <row r="166" spans="2:17" s="751" customFormat="1">
      <c r="B166" s="2271"/>
      <c r="C166" s="2271"/>
      <c r="D166" s="2271"/>
      <c r="E166" s="2271"/>
      <c r="F166" s="2271"/>
      <c r="G166" s="2271"/>
      <c r="H166" s="2271"/>
      <c r="I166" s="2271"/>
      <c r="J166" s="2271"/>
      <c r="K166" s="2271"/>
      <c r="L166" s="2271"/>
      <c r="M166" s="2271"/>
      <c r="N166" s="2271"/>
      <c r="O166" s="2271"/>
      <c r="P166" s="2271"/>
      <c r="Q166" s="2271"/>
    </row>
    <row r="167" spans="2:17" s="751" customFormat="1">
      <c r="B167" s="2271"/>
      <c r="C167" s="2271"/>
      <c r="D167" s="2271"/>
      <c r="E167" s="2271"/>
      <c r="F167" s="2271"/>
      <c r="G167" s="2271"/>
      <c r="H167" s="2271"/>
      <c r="I167" s="2271"/>
      <c r="J167" s="2271"/>
      <c r="K167" s="2271"/>
      <c r="L167" s="2271"/>
      <c r="M167" s="2271"/>
      <c r="N167" s="2271"/>
      <c r="O167" s="2271"/>
      <c r="P167" s="2271"/>
      <c r="Q167" s="2271"/>
    </row>
    <row r="168" spans="2:17" s="751" customFormat="1">
      <c r="B168" s="2271"/>
      <c r="C168" s="2271"/>
      <c r="D168" s="2271"/>
      <c r="E168" s="2271"/>
      <c r="F168" s="2271"/>
      <c r="G168" s="2271"/>
      <c r="H168" s="2271"/>
      <c r="I168" s="2271"/>
      <c r="J168" s="2271"/>
      <c r="K168" s="2271"/>
      <c r="L168" s="2271"/>
      <c r="M168" s="2271"/>
      <c r="N168" s="2271"/>
      <c r="O168" s="2271"/>
      <c r="P168" s="2271"/>
      <c r="Q168" s="2271"/>
    </row>
    <row r="169" spans="2:17" s="751" customFormat="1">
      <c r="B169" s="2271"/>
      <c r="C169" s="2271"/>
      <c r="D169" s="2271"/>
      <c r="E169" s="2271"/>
      <c r="F169" s="2271"/>
      <c r="G169" s="2271"/>
      <c r="H169" s="2271"/>
      <c r="I169" s="2271"/>
      <c r="J169" s="2271"/>
      <c r="K169" s="2271"/>
      <c r="L169" s="2271"/>
      <c r="M169" s="2271"/>
      <c r="N169" s="2271"/>
      <c r="O169" s="2271"/>
      <c r="P169" s="2271"/>
      <c r="Q169" s="2271"/>
    </row>
    <row r="170" spans="2:17" s="751" customFormat="1">
      <c r="B170" s="2271"/>
      <c r="C170" s="2271"/>
      <c r="D170" s="2271"/>
      <c r="E170" s="2271"/>
      <c r="F170" s="2271"/>
      <c r="G170" s="2271"/>
      <c r="H170" s="2271"/>
      <c r="I170" s="2271"/>
      <c r="J170" s="2271"/>
      <c r="K170" s="2271"/>
      <c r="L170" s="2271"/>
      <c r="M170" s="2271"/>
      <c r="N170" s="2271"/>
      <c r="O170" s="2271"/>
      <c r="P170" s="2271"/>
      <c r="Q170" s="2271"/>
    </row>
    <row r="171" spans="2:17" s="751" customFormat="1">
      <c r="B171" s="2271"/>
      <c r="C171" s="2271"/>
      <c r="D171" s="2271"/>
      <c r="E171" s="2271"/>
      <c r="F171" s="2271"/>
      <c r="G171" s="2271"/>
      <c r="H171" s="2271"/>
      <c r="I171" s="2271"/>
      <c r="J171" s="2271"/>
      <c r="K171" s="2271"/>
      <c r="L171" s="2271"/>
      <c r="M171" s="2271"/>
      <c r="N171" s="2271"/>
      <c r="O171" s="2271"/>
      <c r="P171" s="2271"/>
      <c r="Q171" s="2271"/>
    </row>
    <row r="172" spans="2:17" s="751" customFormat="1">
      <c r="B172" s="2271"/>
      <c r="C172" s="2271"/>
      <c r="D172" s="2271"/>
      <c r="E172" s="2271"/>
      <c r="F172" s="2271"/>
      <c r="G172" s="2271"/>
      <c r="H172" s="2271"/>
      <c r="I172" s="2271"/>
      <c r="J172" s="2271"/>
      <c r="K172" s="2271"/>
      <c r="L172" s="2271"/>
      <c r="M172" s="2271"/>
      <c r="N172" s="2271"/>
      <c r="O172" s="2271"/>
      <c r="P172" s="2271"/>
      <c r="Q172" s="2271"/>
    </row>
    <row r="173" spans="2:17" s="751" customFormat="1">
      <c r="B173" s="2271"/>
      <c r="C173" s="2271"/>
      <c r="D173" s="2271"/>
      <c r="E173" s="2271"/>
      <c r="F173" s="2271"/>
      <c r="G173" s="2271"/>
      <c r="H173" s="2271"/>
      <c r="I173" s="2271"/>
      <c r="J173" s="2271"/>
      <c r="K173" s="2271"/>
      <c r="L173" s="2271"/>
      <c r="M173" s="2271"/>
      <c r="N173" s="2271"/>
      <c r="O173" s="2271"/>
      <c r="P173" s="2271"/>
      <c r="Q173" s="2271"/>
    </row>
    <row r="174" spans="2:17" s="751" customFormat="1">
      <c r="B174" s="2271"/>
      <c r="C174" s="2271"/>
      <c r="D174" s="2271"/>
      <c r="E174" s="2271"/>
      <c r="F174" s="2271"/>
      <c r="G174" s="2271"/>
      <c r="H174" s="2271"/>
      <c r="I174" s="2271"/>
      <c r="J174" s="2271"/>
      <c r="K174" s="2271"/>
      <c r="L174" s="2271"/>
      <c r="M174" s="2271"/>
      <c r="N174" s="2271"/>
      <c r="O174" s="2271"/>
      <c r="P174" s="2271"/>
      <c r="Q174" s="2271"/>
    </row>
    <row r="175" spans="2:17" s="751" customFormat="1">
      <c r="B175" s="2271"/>
      <c r="C175" s="2271"/>
      <c r="D175" s="2271"/>
      <c r="E175" s="2271"/>
      <c r="F175" s="2271"/>
      <c r="G175" s="2271"/>
      <c r="H175" s="2271"/>
      <c r="I175" s="2271"/>
      <c r="J175" s="2271"/>
      <c r="K175" s="2271"/>
      <c r="L175" s="2271"/>
      <c r="M175" s="2271"/>
      <c r="N175" s="2271"/>
      <c r="O175" s="2271"/>
      <c r="P175" s="2271"/>
      <c r="Q175" s="2271"/>
    </row>
    <row r="176" spans="2:17" s="751" customFormat="1">
      <c r="B176" s="2271"/>
      <c r="C176" s="2271"/>
      <c r="D176" s="2271"/>
      <c r="E176" s="2271"/>
      <c r="F176" s="2271"/>
      <c r="G176" s="2271"/>
      <c r="H176" s="2271"/>
      <c r="I176" s="2271"/>
      <c r="J176" s="2271"/>
      <c r="K176" s="2271"/>
      <c r="L176" s="2271"/>
      <c r="M176" s="2271"/>
      <c r="N176" s="2271"/>
      <c r="O176" s="2271"/>
      <c r="P176" s="2271"/>
      <c r="Q176" s="2271"/>
    </row>
    <row r="177" spans="1:17" s="751" customFormat="1">
      <c r="B177" s="2271"/>
      <c r="C177" s="2271"/>
      <c r="D177" s="2271"/>
      <c r="E177" s="2271"/>
      <c r="F177" s="2271"/>
      <c r="G177" s="2271"/>
      <c r="H177" s="2271"/>
      <c r="I177" s="2271"/>
      <c r="J177" s="2271"/>
      <c r="K177" s="2271"/>
      <c r="L177" s="2271"/>
      <c r="M177" s="2271"/>
      <c r="N177" s="2271"/>
      <c r="O177" s="2271"/>
      <c r="P177" s="2271"/>
      <c r="Q177" s="2271"/>
    </row>
    <row r="178" spans="1:17" s="751" customFormat="1">
      <c r="B178" s="2271"/>
      <c r="C178" s="2271"/>
      <c r="D178" s="2271"/>
      <c r="E178" s="2271"/>
      <c r="F178" s="2271"/>
      <c r="G178" s="2271"/>
      <c r="H178" s="2271"/>
      <c r="I178" s="2271"/>
      <c r="J178" s="2271"/>
      <c r="K178" s="2271"/>
      <c r="L178" s="2271"/>
      <c r="M178" s="2271"/>
      <c r="N178" s="2271"/>
      <c r="O178" s="2271"/>
      <c r="P178" s="2271"/>
      <c r="Q178" s="2271"/>
    </row>
    <row r="179" spans="1:17" s="751" customFormat="1">
      <c r="B179" s="2271"/>
      <c r="C179" s="2271"/>
      <c r="D179" s="2271"/>
      <c r="E179" s="2271"/>
      <c r="F179" s="2271"/>
      <c r="G179" s="2271"/>
      <c r="H179" s="2271"/>
      <c r="I179" s="2271"/>
      <c r="J179" s="2271"/>
      <c r="K179" s="2271"/>
      <c r="L179" s="2271"/>
      <c r="M179" s="2271"/>
      <c r="N179" s="2271"/>
      <c r="O179" s="2271"/>
      <c r="P179" s="2271"/>
      <c r="Q179" s="2271"/>
    </row>
    <row r="180" spans="1:17" s="751" customFormat="1">
      <c r="B180" s="2271"/>
      <c r="C180" s="2271"/>
      <c r="D180" s="2271"/>
      <c r="E180" s="2271"/>
      <c r="F180" s="2271"/>
      <c r="G180" s="2271"/>
      <c r="H180" s="2271"/>
      <c r="I180" s="2271"/>
      <c r="J180" s="2271"/>
      <c r="K180" s="2271"/>
      <c r="L180" s="2271"/>
      <c r="M180" s="2271"/>
      <c r="N180" s="2271"/>
      <c r="O180" s="2271"/>
      <c r="P180" s="2271"/>
      <c r="Q180" s="2271"/>
    </row>
    <row r="181" spans="1:17" s="751" customFormat="1">
      <c r="B181" s="2271"/>
      <c r="C181" s="2271"/>
      <c r="D181" s="2271"/>
      <c r="E181" s="2271"/>
      <c r="F181" s="2271"/>
      <c r="G181" s="2271"/>
      <c r="H181" s="2271"/>
      <c r="I181" s="2271"/>
      <c r="J181" s="2271"/>
      <c r="K181" s="2271"/>
      <c r="L181" s="2271"/>
      <c r="M181" s="2271"/>
      <c r="N181" s="2271"/>
      <c r="O181" s="2271"/>
      <c r="P181" s="2271"/>
      <c r="Q181" s="2271"/>
    </row>
    <row r="182" spans="1:17" s="751" customFormat="1">
      <c r="B182" s="2271"/>
      <c r="C182" s="2271"/>
      <c r="D182" s="2271"/>
      <c r="E182" s="2271"/>
      <c r="F182" s="2271"/>
      <c r="G182" s="2271"/>
      <c r="H182" s="2271"/>
      <c r="I182" s="2271"/>
      <c r="J182" s="2271"/>
      <c r="K182" s="2271"/>
      <c r="L182" s="2271"/>
      <c r="M182" s="2271"/>
      <c r="N182" s="2271"/>
      <c r="O182" s="2271"/>
      <c r="P182" s="2271"/>
      <c r="Q182" s="2271"/>
    </row>
    <row r="183" spans="1:17" s="751" customFormat="1">
      <c r="B183" s="2271"/>
      <c r="C183" s="2271"/>
      <c r="D183" s="2271"/>
      <c r="E183" s="2271"/>
      <c r="F183" s="2271"/>
      <c r="G183" s="2271"/>
      <c r="H183" s="2271"/>
      <c r="I183" s="2271"/>
      <c r="J183" s="2271"/>
      <c r="K183" s="2271"/>
      <c r="L183" s="2271"/>
      <c r="M183" s="2271"/>
      <c r="N183" s="2271"/>
      <c r="O183" s="2271"/>
      <c r="P183" s="2271"/>
      <c r="Q183" s="2271"/>
    </row>
    <row r="184" spans="1:17" s="751" customFormat="1">
      <c r="B184" s="2271"/>
      <c r="C184" s="2271"/>
      <c r="D184" s="2271"/>
      <c r="E184" s="2271"/>
      <c r="F184" s="2271"/>
      <c r="G184" s="2271"/>
      <c r="H184" s="2271"/>
      <c r="I184" s="2271"/>
      <c r="J184" s="2271"/>
      <c r="K184" s="2271"/>
      <c r="L184" s="2271"/>
      <c r="M184" s="2271"/>
      <c r="N184" s="2271"/>
      <c r="O184" s="2271"/>
      <c r="P184" s="2271"/>
      <c r="Q184" s="2271"/>
    </row>
    <row r="185" spans="1:17" s="751" customFormat="1">
      <c r="B185" s="2271"/>
      <c r="C185" s="2271"/>
      <c r="D185" s="2271"/>
      <c r="E185" s="2271"/>
      <c r="F185" s="2271"/>
      <c r="G185" s="2271"/>
      <c r="H185" s="2271"/>
      <c r="I185" s="2271"/>
      <c r="J185" s="2271"/>
      <c r="K185" s="2271"/>
      <c r="L185" s="2271"/>
      <c r="M185" s="2271"/>
      <c r="N185" s="2271"/>
      <c r="O185" s="2271"/>
      <c r="P185" s="2271"/>
      <c r="Q185" s="2271"/>
    </row>
    <row r="186" spans="1:17">
      <c r="A186" s="751"/>
      <c r="B186" s="2271"/>
      <c r="C186" s="2271"/>
      <c r="E186" s="2271"/>
      <c r="F186" s="2271"/>
      <c r="G186" s="2271"/>
    </row>
    <row r="187" spans="1:17">
      <c r="A187" s="751"/>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90" zoomScaleNormal="80" zoomScaleSheetLayoutView="90" workbookViewId="0">
      <selection activeCell="D14" sqref="D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15758.289999999999</v>
      </c>
      <c r="C1" s="2457"/>
      <c r="D1" s="2457"/>
      <c r="E1" s="2457"/>
      <c r="F1" s="2457"/>
      <c r="G1" s="2458"/>
      <c r="H1" s="2458"/>
      <c r="I1" s="2458"/>
      <c r="J1" s="2458"/>
      <c r="K1" s="2458"/>
    </row>
    <row r="2" spans="1:11" ht="16.5">
      <c r="A2" s="2294" t="s">
        <v>653</v>
      </c>
      <c r="B2" s="2294">
        <f>SUM(C14:C23)</f>
        <v>0</v>
      </c>
      <c r="C2" s="2457"/>
      <c r="D2" s="2457"/>
      <c r="E2" s="2457"/>
      <c r="F2" s="2457"/>
      <c r="G2" s="2458"/>
      <c r="H2" s="2458"/>
      <c r="I2" s="2458"/>
      <c r="J2" s="2458"/>
      <c r="K2" s="2458"/>
    </row>
    <row r="3" spans="1:11" ht="16.5">
      <c r="A3" s="2294" t="s">
        <v>662</v>
      </c>
      <c r="B3" s="2296">
        <f>项目基本情况!D3</f>
        <v>45355</v>
      </c>
      <c r="C3" s="2457"/>
      <c r="D3" s="2457"/>
      <c r="E3" s="2457"/>
      <c r="F3" s="2457"/>
      <c r="G3" s="2458"/>
      <c r="H3" s="2458"/>
      <c r="I3" s="2458"/>
      <c r="J3" s="2458"/>
      <c r="K3" s="2458"/>
    </row>
    <row r="4" spans="1:11" ht="33">
      <c r="A4" s="2294" t="s">
        <v>661</v>
      </c>
      <c r="B4" s="2294" t="s">
        <v>660</v>
      </c>
      <c r="C4" s="2294" t="s">
        <v>659</v>
      </c>
      <c r="D4" s="2294" t="s">
        <v>658</v>
      </c>
      <c r="E4" s="2457"/>
      <c r="F4" s="2458"/>
      <c r="G4" s="2458"/>
      <c r="H4" s="2458"/>
      <c r="I4" s="2458"/>
      <c r="J4" s="2458"/>
      <c r="K4" s="2458"/>
    </row>
    <row r="5" spans="1:11" ht="16.5">
      <c r="A5" s="2294" t="s">
        <v>657</v>
      </c>
      <c r="B5" s="2294">
        <f>SUM(D14:D23)</f>
        <v>20485.776999999998</v>
      </c>
      <c r="C5" s="2294">
        <f ca="1">IF(B5=D14,结果表!H102,ROUND(B5*10000/$B$1,0))</f>
        <v>13191</v>
      </c>
      <c r="D5" s="2294" t="e">
        <f>ROUND(B5*10000/$B$2,0)</f>
        <v>#DIV/0!</v>
      </c>
      <c r="E5" s="2457"/>
      <c r="F5" s="2458"/>
      <c r="G5" s="2458"/>
      <c r="H5" s="2458"/>
      <c r="I5" s="2458"/>
      <c r="J5" s="2458"/>
      <c r="K5" s="2458"/>
    </row>
    <row r="6" spans="1:11" ht="16.5">
      <c r="A6" s="2294" t="s">
        <v>656</v>
      </c>
      <c r="B6" s="2294">
        <f>SUM(G14:G23)</f>
        <v>20485.776999999998</v>
      </c>
      <c r="C6" s="2294">
        <f ca="1">IF(B6=G14,结果表!H108,ROUND(B6*10000/$B$1,0))</f>
        <v>13191</v>
      </c>
      <c r="D6" s="2294" t="e">
        <f>ROUND(B6*10000/$B$2,0)</f>
        <v>#DIV/0!</v>
      </c>
      <c r="E6" s="2457"/>
      <c r="F6" s="2458"/>
      <c r="G6" s="2458"/>
      <c r="H6" s="2458"/>
      <c r="I6" s="2458"/>
      <c r="J6" s="2458"/>
      <c r="K6" s="2458"/>
    </row>
    <row r="7" spans="1:11" ht="16.5">
      <c r="A7" s="2294" t="s">
        <v>664</v>
      </c>
      <c r="B7" s="2294">
        <f>SUM(H14:H23)</f>
        <v>0</v>
      </c>
      <c r="C7" s="2294" t="str">
        <f>IF(B7=H14,结果表!H110,ROUND(B7*10000/$B$1,0))</f>
        <v>——</v>
      </c>
      <c r="D7" s="2294" t="e">
        <f>ROUND(B7*10000/$B$2,0)</f>
        <v>#DIV/0!</v>
      </c>
      <c r="E7" s="2457"/>
      <c r="F7" s="2458"/>
      <c r="G7" s="2458"/>
      <c r="H7" s="2458"/>
      <c r="I7" s="2458"/>
      <c r="J7" s="2458"/>
      <c r="K7" s="2458"/>
    </row>
    <row r="8" spans="1:11" ht="16.5">
      <c r="A8" s="2294" t="s">
        <v>587</v>
      </c>
      <c r="B8" s="2294">
        <f>SUM(I14:I23)</f>
        <v>0</v>
      </c>
      <c r="C8" s="2294" t="str">
        <f>IF(B8=I14,结果表!H112,ROUND(B8*10000/$B$1,0))</f>
        <v>——</v>
      </c>
      <c r="D8" s="2294" t="e">
        <f>ROUND(B8*10000/$B$2,0)</f>
        <v>#DIV/0!</v>
      </c>
      <c r="E8" s="2457"/>
      <c r="F8" s="2458"/>
      <c r="G8" s="2458"/>
      <c r="H8" s="2458"/>
      <c r="I8" s="2458"/>
      <c r="J8" s="2458"/>
      <c r="K8" s="2458"/>
    </row>
    <row r="9" spans="1:11" ht="16.5">
      <c r="A9" s="2294" t="s">
        <v>655</v>
      </c>
      <c r="B9" s="1244"/>
      <c r="C9" s="2457"/>
      <c r="D9" s="2457"/>
      <c r="E9" s="2457"/>
      <c r="F9" s="2458"/>
      <c r="G9" s="2458"/>
      <c r="H9" s="2458"/>
      <c r="I9" s="2458"/>
      <c r="J9" s="2458"/>
      <c r="K9" s="2458"/>
    </row>
    <row r="10" spans="1:11" ht="16.5">
      <c r="A10" s="2294" t="s">
        <v>654</v>
      </c>
      <c r="B10" s="2294">
        <f>IF(E10="",0,ROUND(B1*(E10*365/G10)/10000,0))</f>
        <v>0</v>
      </c>
      <c r="C10" s="2294" t="s">
        <v>3345</v>
      </c>
      <c r="D10" s="2294" t="s">
        <v>3346</v>
      </c>
      <c r="E10" s="3132"/>
      <c r="F10" s="3136" t="s">
        <v>3347</v>
      </c>
      <c r="G10" s="3133"/>
      <c r="H10" s="2458"/>
      <c r="I10" s="2458"/>
      <c r="J10" s="2458"/>
      <c r="K10" s="2458"/>
    </row>
    <row r="11" spans="1:11" ht="16.5">
      <c r="A11" s="2294"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7" t="s">
        <v>669</v>
      </c>
      <c r="B13" s="2298" t="s">
        <v>666</v>
      </c>
      <c r="C13" s="2298" t="s">
        <v>668</v>
      </c>
      <c r="D13" s="2298" t="s">
        <v>667</v>
      </c>
      <c r="E13" s="2294" t="s">
        <v>659</v>
      </c>
      <c r="F13" s="2294" t="s">
        <v>658</v>
      </c>
      <c r="G13" s="2298" t="s">
        <v>652</v>
      </c>
      <c r="H13" s="2298" t="s">
        <v>663</v>
      </c>
      <c r="I13" s="2298" t="s">
        <v>651</v>
      </c>
      <c r="J13" s="2458"/>
      <c r="K13" s="2458"/>
    </row>
    <row r="14" spans="1:11" ht="16.5">
      <c r="A14" s="2299" t="s">
        <v>650</v>
      </c>
      <c r="B14" s="2300">
        <f>Sheet1!D8</f>
        <v>15758.289999999999</v>
      </c>
      <c r="C14" s="2300"/>
      <c r="D14" s="2300">
        <f>Sheet1!H8</f>
        <v>20485.776999999998</v>
      </c>
      <c r="E14" s="2300">
        <f>ROUND(D14*10000/B14,0)</f>
        <v>13000</v>
      </c>
      <c r="F14" s="2300" t="e">
        <f>ROUND(D14*10000/C14,0)</f>
        <v>#DIV/0!</v>
      </c>
      <c r="G14" s="2300">
        <f>D14</f>
        <v>20485.776999999998</v>
      </c>
      <c r="H14" s="2300"/>
      <c r="I14" s="2300"/>
      <c r="J14" s="2458"/>
      <c r="K14" s="2458"/>
    </row>
    <row r="15" spans="1:11" ht="16.5">
      <c r="A15" s="2299" t="s">
        <v>649</v>
      </c>
      <c r="B15" s="2301"/>
      <c r="C15" s="2301"/>
      <c r="D15" s="2301"/>
      <c r="E15" s="2300" t="e">
        <f t="shared" ref="E15:E23" si="0">ROUND(D15*10000/B15,0)</f>
        <v>#DIV/0!</v>
      </c>
      <c r="F15" s="2300" t="e">
        <f t="shared" ref="F15:F23" si="1">ROUND(D15*10000/C15,0)</f>
        <v>#DIV/0!</v>
      </c>
      <c r="G15" s="1244"/>
      <c r="H15" s="1244"/>
      <c r="I15" s="2301"/>
      <c r="J15" s="2458"/>
      <c r="K15" s="2458"/>
    </row>
    <row r="16" spans="1:11" ht="16.5">
      <c r="A16" s="2299" t="s">
        <v>648</v>
      </c>
      <c r="B16" s="2301"/>
      <c r="C16" s="2301"/>
      <c r="D16" s="2301"/>
      <c r="E16" s="2300" t="e">
        <f t="shared" si="0"/>
        <v>#DIV/0!</v>
      </c>
      <c r="F16" s="2300" t="e">
        <f t="shared" si="1"/>
        <v>#DIV/0!</v>
      </c>
      <c r="G16" s="1244"/>
      <c r="H16" s="1244"/>
      <c r="I16" s="2301"/>
      <c r="J16" s="2458"/>
      <c r="K16" s="2458"/>
    </row>
    <row r="17" spans="1:11" ht="16.5">
      <c r="A17" s="2299" t="s">
        <v>647</v>
      </c>
      <c r="B17" s="2301"/>
      <c r="C17" s="2301"/>
      <c r="D17" s="2301"/>
      <c r="E17" s="2300" t="e">
        <f t="shared" si="0"/>
        <v>#DIV/0!</v>
      </c>
      <c r="F17" s="2300" t="e">
        <f t="shared" si="1"/>
        <v>#DIV/0!</v>
      </c>
      <c r="G17" s="1244"/>
      <c r="H17" s="1244"/>
      <c r="I17" s="2301"/>
      <c r="J17" s="2458"/>
      <c r="K17" s="2458"/>
    </row>
    <row r="18" spans="1:11" ht="16.5">
      <c r="A18" s="2299" t="s">
        <v>646</v>
      </c>
      <c r="B18" s="2301"/>
      <c r="C18" s="2301"/>
      <c r="D18" s="2301"/>
      <c r="E18" s="2300" t="e">
        <f t="shared" si="0"/>
        <v>#DIV/0!</v>
      </c>
      <c r="F18" s="2300" t="e">
        <f t="shared" si="1"/>
        <v>#DIV/0!</v>
      </c>
      <c r="G18" s="2301"/>
      <c r="H18" s="2301"/>
      <c r="I18" s="2301"/>
      <c r="J18" s="2458"/>
      <c r="K18" s="2458"/>
    </row>
    <row r="19" spans="1:11" ht="16.5">
      <c r="A19" s="2299" t="s">
        <v>645</v>
      </c>
      <c r="B19" s="2301"/>
      <c r="C19" s="2301"/>
      <c r="D19" s="2301"/>
      <c r="E19" s="2300" t="e">
        <f t="shared" si="0"/>
        <v>#DIV/0!</v>
      </c>
      <c r="F19" s="2300" t="e">
        <f t="shared" si="1"/>
        <v>#DIV/0!</v>
      </c>
      <c r="G19" s="2301"/>
      <c r="H19" s="2301"/>
      <c r="I19" s="2301"/>
      <c r="J19" s="2458"/>
      <c r="K19" s="2458"/>
    </row>
    <row r="20" spans="1:11" ht="16.5">
      <c r="A20" s="2299" t="s">
        <v>644</v>
      </c>
      <c r="B20" s="2301"/>
      <c r="C20" s="2301"/>
      <c r="D20" s="2301"/>
      <c r="E20" s="2300" t="e">
        <f t="shared" si="0"/>
        <v>#DIV/0!</v>
      </c>
      <c r="F20" s="2300" t="e">
        <f t="shared" si="1"/>
        <v>#DIV/0!</v>
      </c>
      <c r="G20" s="2301"/>
      <c r="H20" s="2301"/>
      <c r="I20" s="2301"/>
      <c r="J20" s="2458"/>
      <c r="K20" s="2458"/>
    </row>
    <row r="21" spans="1:11" ht="16.5">
      <c r="A21" s="2299" t="s">
        <v>643</v>
      </c>
      <c r="B21" s="2301"/>
      <c r="C21" s="2301"/>
      <c r="D21" s="2301"/>
      <c r="E21" s="2300" t="e">
        <f t="shared" si="0"/>
        <v>#DIV/0!</v>
      </c>
      <c r="F21" s="2300" t="e">
        <f t="shared" si="1"/>
        <v>#DIV/0!</v>
      </c>
      <c r="G21" s="2301"/>
      <c r="H21" s="2301"/>
      <c r="I21" s="2301"/>
      <c r="J21" s="2458"/>
      <c r="K21" s="2458"/>
    </row>
    <row r="22" spans="1:11" ht="16.5">
      <c r="A22" s="2299" t="s">
        <v>642</v>
      </c>
      <c r="B22" s="2301"/>
      <c r="C22" s="2301"/>
      <c r="D22" s="2301"/>
      <c r="E22" s="2300" t="e">
        <f t="shared" si="0"/>
        <v>#DIV/0!</v>
      </c>
      <c r="F22" s="2300" t="e">
        <f t="shared" si="1"/>
        <v>#DIV/0!</v>
      </c>
      <c r="G22" s="2301"/>
      <c r="H22" s="2301"/>
      <c r="I22" s="2301"/>
      <c r="J22" s="2458"/>
      <c r="K22" s="2458"/>
    </row>
    <row r="23" spans="1:11" ht="16.5">
      <c r="A23" s="2299" t="s">
        <v>641</v>
      </c>
      <c r="B23" s="2301"/>
      <c r="C23" s="2301"/>
      <c r="D23" s="2301"/>
      <c r="E23" s="1244" t="e">
        <f t="shared" si="0"/>
        <v>#DIV/0!</v>
      </c>
      <c r="F23" s="1244" t="e">
        <f t="shared" si="1"/>
        <v>#DIV/0!</v>
      </c>
      <c r="G23" s="2301"/>
      <c r="H23" s="2301"/>
      <c r="I23" s="2301"/>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c r="D1" s="646"/>
      <c r="E1" s="646"/>
      <c r="F1" s="1621" t="s">
        <v>1260</v>
      </c>
      <c r="G1" s="1453"/>
      <c r="H1" s="1621" t="str">
        <f>IF(G1="现房","——","估价对象范围")</f>
        <v>估价对象范围</v>
      </c>
      <c r="I1" s="1622"/>
    </row>
    <row r="2" spans="1:12" ht="21.75" customHeight="1" thickBot="1">
      <c r="A2" s="3283" t="str">
        <f>项目基本情况!S2</f>
        <v>北京市昌平区百葛路9号院6号楼房地产</v>
      </c>
      <c r="B2" s="3284"/>
      <c r="C2" s="3284"/>
      <c r="D2" s="3284"/>
      <c r="E2" s="3284"/>
      <c r="F2" s="3284"/>
      <c r="G2" s="3284"/>
      <c r="H2" s="3284"/>
      <c r="I2" s="3285"/>
    </row>
    <row r="3" spans="1:12" ht="12.75">
      <c r="A3" s="3287" t="s">
        <v>1261</v>
      </c>
      <c r="B3" s="3288"/>
      <c r="C3" s="3288"/>
      <c r="D3" s="3288"/>
      <c r="E3" s="3288"/>
      <c r="F3" s="3288"/>
      <c r="G3" s="3288"/>
      <c r="H3" s="3288"/>
      <c r="I3" s="3288"/>
    </row>
    <row r="4" spans="1:12" ht="14.25">
      <c r="A4" s="1624" t="s">
        <v>1262</v>
      </c>
      <c r="B4" s="1625" t="s">
        <v>1263</v>
      </c>
      <c r="C4" s="1626" t="s">
        <v>3449</v>
      </c>
      <c r="D4" s="1626" t="s">
        <v>3406</v>
      </c>
      <c r="E4" s="3289" t="s">
        <v>1264</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3" t="s">
        <v>1265</v>
      </c>
      <c r="B5" s="3250">
        <v>25</v>
      </c>
      <c r="C5" s="3266"/>
      <c r="D5" s="3286"/>
      <c r="E5" s="123" t="s">
        <v>1266</v>
      </c>
      <c r="F5" s="1627"/>
      <c r="G5" s="1627"/>
      <c r="H5" s="1627"/>
      <c r="I5" s="1281"/>
    </row>
    <row r="6" spans="1:12" ht="12.75">
      <c r="A6" s="3263"/>
      <c r="B6" s="3250"/>
      <c r="C6" s="3267"/>
      <c r="D6" s="3286"/>
      <c r="E6" s="123" t="s">
        <v>1267</v>
      </c>
      <c r="F6" s="1627"/>
      <c r="G6" s="1627"/>
      <c r="H6" s="1627"/>
      <c r="I6" s="1281"/>
    </row>
    <row r="7" spans="1:12" ht="12.75">
      <c r="A7" s="3263"/>
      <c r="B7" s="3250"/>
      <c r="C7" s="3268"/>
      <c r="D7" s="3286"/>
      <c r="E7" s="123" t="s">
        <v>1268</v>
      </c>
      <c r="F7" s="1627"/>
      <c r="G7" s="1627"/>
      <c r="H7" s="1627"/>
      <c r="I7" s="1281"/>
    </row>
    <row r="8" spans="1:12" ht="12.75">
      <c r="A8" s="3263" t="s">
        <v>1269</v>
      </c>
      <c r="B8" s="3250">
        <v>15</v>
      </c>
      <c r="C8" s="3266"/>
      <c r="D8" s="3286"/>
      <c r="E8" s="123" t="s">
        <v>1270</v>
      </c>
      <c r="F8" s="1627"/>
      <c r="G8" s="1627"/>
      <c r="H8" s="1627"/>
      <c r="I8" s="1281"/>
    </row>
    <row r="9" spans="1:12" ht="12.75">
      <c r="A9" s="3263"/>
      <c r="B9" s="3250"/>
      <c r="C9" s="3268"/>
      <c r="D9" s="3286"/>
      <c r="E9" s="123" t="s">
        <v>1271</v>
      </c>
      <c r="F9" s="1627"/>
      <c r="G9" s="1627"/>
      <c r="H9" s="1627"/>
      <c r="I9" s="1281"/>
    </row>
    <row r="10" spans="1:12" ht="12.75">
      <c r="A10" s="3263" t="s">
        <v>1272</v>
      </c>
      <c r="B10" s="3250">
        <v>15</v>
      </c>
      <c r="C10" s="3266"/>
      <c r="D10" s="3286"/>
      <c r="E10" s="123" t="s">
        <v>1273</v>
      </c>
      <c r="F10" s="1627"/>
      <c r="G10" s="1627"/>
      <c r="H10" s="1627"/>
      <c r="I10" s="1281"/>
    </row>
    <row r="11" spans="1:12" ht="12.75">
      <c r="A11" s="3263"/>
      <c r="B11" s="3250"/>
      <c r="C11" s="3268"/>
      <c r="D11" s="3286"/>
      <c r="E11" s="123" t="s">
        <v>1274</v>
      </c>
      <c r="F11" s="1627"/>
      <c r="G11" s="1627"/>
      <c r="H11" s="1627"/>
      <c r="I11" s="1281"/>
    </row>
    <row r="12" spans="1:12" ht="12.75">
      <c r="A12" s="3263" t="s">
        <v>1275</v>
      </c>
      <c r="B12" s="3250">
        <v>15</v>
      </c>
      <c r="C12" s="3266"/>
      <c r="D12" s="3286"/>
      <c r="E12" s="123" t="s">
        <v>1276</v>
      </c>
      <c r="F12" s="1627"/>
      <c r="G12" s="1627"/>
      <c r="H12" s="1627"/>
      <c r="I12" s="1281"/>
    </row>
    <row r="13" spans="1:12" ht="12.75">
      <c r="A13" s="3263"/>
      <c r="B13" s="3250"/>
      <c r="C13" s="3268"/>
      <c r="D13" s="3286"/>
      <c r="E13" s="123" t="s">
        <v>1277</v>
      </c>
      <c r="F13" s="1627"/>
      <c r="G13" s="1627"/>
      <c r="H13" s="1627"/>
      <c r="I13" s="1281"/>
    </row>
    <row r="14" spans="1:12" ht="12.75">
      <c r="A14" s="3263" t="s">
        <v>1278</v>
      </c>
      <c r="B14" s="3250">
        <v>30</v>
      </c>
      <c r="C14" s="3266">
        <v>5</v>
      </c>
      <c r="D14" s="3286">
        <f>10-C14</f>
        <v>5</v>
      </c>
      <c r="E14" s="123" t="s">
        <v>1279</v>
      </c>
      <c r="F14" s="1627"/>
      <c r="G14" s="1627"/>
      <c r="H14" s="1627"/>
      <c r="I14" s="1281"/>
    </row>
    <row r="15" spans="1:12" ht="12.75">
      <c r="A15" s="3263"/>
      <c r="B15" s="3250"/>
      <c r="C15" s="3267"/>
      <c r="D15" s="3286"/>
      <c r="E15" s="123" t="s">
        <v>1280</v>
      </c>
      <c r="F15" s="1627"/>
      <c r="G15" s="1627"/>
      <c r="H15" s="1627"/>
      <c r="I15" s="1281"/>
    </row>
    <row r="16" spans="1:12" ht="12.75">
      <c r="A16" s="3263"/>
      <c r="B16" s="3250"/>
      <c r="C16" s="3268"/>
      <c r="D16" s="3286"/>
      <c r="E16" s="123" t="s">
        <v>1281</v>
      </c>
      <c r="F16" s="1627"/>
      <c r="G16" s="1627"/>
      <c r="H16" s="1627"/>
      <c r="I16" s="1281"/>
    </row>
    <row r="17" spans="1:36" ht="15">
      <c r="A17" s="1628" t="s">
        <v>1282</v>
      </c>
      <c r="B17" s="54"/>
      <c r="C17" s="124">
        <f>SUM(C5:C16)</f>
        <v>5</v>
      </c>
      <c r="D17" s="124">
        <f>SUM(D5:D16)</f>
        <v>5</v>
      </c>
      <c r="E17" s="121"/>
      <c r="F17" s="121"/>
      <c r="G17" s="121"/>
      <c r="H17" s="121"/>
      <c r="I17" s="121"/>
      <c r="K17" s="294"/>
      <c r="L17" s="294" t="s">
        <v>1283</v>
      </c>
      <c r="M17" s="294" t="s">
        <v>1284</v>
      </c>
    </row>
    <row r="18" spans="1:36" ht="31.9" customHeight="1" thickBot="1">
      <c r="A18" s="1629" t="s">
        <v>1285</v>
      </c>
      <c r="B18" s="1542"/>
      <c r="C18" s="125">
        <f>ROUND(C17/SUM(C17:D17),2)</f>
        <v>0.5</v>
      </c>
      <c r="D18" s="125">
        <f>1-C18</f>
        <v>0.5</v>
      </c>
      <c r="E18" s="3273" t="s">
        <v>2128</v>
      </c>
      <c r="F18" s="3274"/>
      <c r="G18" s="3274"/>
      <c r="H18" s="3274"/>
      <c r="I18" s="3274"/>
      <c r="K18" s="294" t="s">
        <v>1286</v>
      </c>
      <c r="L18" s="294">
        <f>IF(C1="",'数据-汇总表'!E3,SUMIF(项目类型,C1,'数据-汇总表'!E17:E26)+SUMIF(项目类型,C1,'数据-汇总表'!I17:I26))</f>
        <v>9096.41</v>
      </c>
      <c r="M18" s="294">
        <f>IF(C1="",'数据-汇总表'!E3,SUMIF(项目类型,C1,'数据-汇总表'!E17:E26))</f>
        <v>9096.41</v>
      </c>
    </row>
    <row r="19" spans="1:36" ht="15">
      <c r="A19" s="1630" t="s">
        <v>1287</v>
      </c>
      <c r="B19" s="1631" t="s">
        <v>1288</v>
      </c>
      <c r="C19" s="126">
        <f ca="1">SUMIF(INDIRECT("'"&amp;C4&amp;"'"&amp;"!A:A"),结果表!B19,INDIRECT("'"&amp;C4&amp;"'"&amp;"!B:B"))</f>
        <v>12651</v>
      </c>
      <c r="D19" s="127">
        <f ca="1">SUMIF(INDIRECT("'"&amp;D4&amp;"'"&amp;"!A:A"),结果表!B19,INDIRECT("'"&amp;D4&amp;"'"&amp;"!B:B"))</f>
        <v>11346</v>
      </c>
      <c r="E19" s="1630" t="s">
        <v>1289</v>
      </c>
      <c r="F19" s="1631" t="s">
        <v>1288</v>
      </c>
      <c r="G19" s="128">
        <f ca="1">ROUND(C19*$C$18+D19*$D$18,0)</f>
        <v>11999</v>
      </c>
      <c r="H19" s="1632" t="s">
        <v>1290</v>
      </c>
      <c r="I19" s="121"/>
      <c r="J19" s="3148" t="s">
        <v>3421</v>
      </c>
      <c r="K19" s="294" t="s">
        <v>1291</v>
      </c>
      <c r="L19" s="294">
        <f>IF(C1="",'数据-汇总表'!D3,SUMIF(项目类型,C1,'数据-汇总表'!D17:D26)+SUMIF(项目类型,C1,'数据-汇总表'!H17:H27))</f>
        <v>0</v>
      </c>
      <c r="M19" s="294">
        <f>IF(C1="",'数据-汇总表'!D3,SUMIF(项目类型,C1,'数据-汇总表'!D17:D26))</f>
        <v>0</v>
      </c>
    </row>
    <row r="20" spans="1:36" ht="15">
      <c r="A20" s="1633"/>
      <c r="B20" s="43" t="s">
        <v>1292</v>
      </c>
      <c r="C20" s="129">
        <f ca="1">SUMIF(INDIRECT("'"&amp;C4&amp;"'"&amp;"!A:A"),结果表!B20,INDIRECT("'"&amp;C4&amp;"'"&amp;"!B:B"))</f>
        <v>13908</v>
      </c>
      <c r="D20" s="130">
        <f ca="1">SUMIF(INDIRECT("'"&amp;D4&amp;"'"&amp;"!A:A"),结果表!B20,INDIRECT("'"&amp;D4&amp;"'"&amp;"!B:B"))</f>
        <v>12473</v>
      </c>
      <c r="E20" s="1633"/>
      <c r="F20" s="43" t="s">
        <v>1292</v>
      </c>
      <c r="G20" s="131">
        <f ca="1">ROUND(C20*$C$18+D20*$D$18,0)</f>
        <v>13191</v>
      </c>
      <c r="H20" s="760" t="s">
        <v>1293</v>
      </c>
      <c r="I20" s="121"/>
      <c r="J20" s="684" t="s">
        <v>3422</v>
      </c>
    </row>
    <row r="21" spans="1:36" ht="15" customHeight="1" thickBot="1">
      <c r="A21" s="449"/>
      <c r="B21" s="93" t="s">
        <v>1294</v>
      </c>
      <c r="C21" s="678" t="e">
        <f ca="1">ROUND(C19*10000/L19,0)</f>
        <v>#DIV/0!</v>
      </c>
      <c r="D21" s="679" t="e">
        <f ca="1">ROUND(D19*10000/L19,0)</f>
        <v>#DIV/0!</v>
      </c>
      <c r="E21" s="449"/>
      <c r="F21" s="93" t="s">
        <v>1294</v>
      </c>
      <c r="G21" s="132" t="e">
        <f ca="1">ROUND(G19*10000/L19,0)</f>
        <v>#DIV/0!</v>
      </c>
      <c r="H21" s="1634" t="s">
        <v>1293</v>
      </c>
      <c r="I21" s="121"/>
      <c r="J21" s="684" t="s">
        <v>3423</v>
      </c>
    </row>
    <row r="22" spans="1:36" ht="15" thickBot="1">
      <c r="A22" s="1564" t="s">
        <v>1295</v>
      </c>
      <c r="B22" s="1635"/>
      <c r="C22" s="1636"/>
      <c r="D22" s="680">
        <f ca="1">IF(C19&lt;D19,D19/C19-1,C19/D19-1)</f>
        <v>0.11501850872554198</v>
      </c>
      <c r="E22" s="121"/>
      <c r="F22" s="121"/>
      <c r="G22" s="121"/>
      <c r="H22" s="121"/>
      <c r="I22" s="121"/>
      <c r="J22" s="3149">
        <f>800/0.45</f>
        <v>1777.7777777777778</v>
      </c>
    </row>
    <row r="23" spans="1:36" ht="13.5" thickBot="1">
      <c r="A23" s="646"/>
      <c r="B23" s="646"/>
      <c r="C23" s="646"/>
      <c r="D23" s="646"/>
      <c r="E23" s="121"/>
      <c r="F23" s="121"/>
      <c r="G23" s="121"/>
      <c r="H23" s="121"/>
      <c r="I23" s="121"/>
    </row>
    <row r="24" spans="1:36" ht="14.25">
      <c r="A24" s="3257" t="s">
        <v>1296</v>
      </c>
      <c r="B24" s="1631" t="s">
        <v>1288</v>
      </c>
      <c r="C24" s="128">
        <f>IF(B30=0,0,D30)</f>
        <v>0</v>
      </c>
      <c r="D24" s="1637"/>
      <c r="E24" s="121"/>
      <c r="F24" s="121"/>
      <c r="G24" s="121"/>
      <c r="H24" s="121"/>
      <c r="I24" s="121"/>
      <c r="K24" s="684" t="s">
        <v>3419</v>
      </c>
    </row>
    <row r="25" spans="1:36" ht="14.25">
      <c r="A25" s="3258"/>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2129</v>
      </c>
      <c r="F30" s="121"/>
      <c r="G30" s="121"/>
      <c r="H30" s="121"/>
      <c r="I30" s="121"/>
    </row>
    <row r="31" spans="1:36" s="2133" customFormat="1" ht="26.45" customHeight="1" thickTop="1" thickBot="1">
      <c r="A31" s="2128"/>
      <c r="B31" s="2129"/>
      <c r="C31" s="2129"/>
      <c r="D31" s="2129"/>
      <c r="E31" s="2129"/>
      <c r="F31" s="2129"/>
      <c r="G31" s="2129"/>
      <c r="H31" s="2129"/>
      <c r="I31" s="2130" t="s">
        <v>2130</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11999</v>
      </c>
      <c r="D32" s="1641" t="s">
        <v>3418</v>
      </c>
      <c r="E32" s="121"/>
      <c r="F32" s="121"/>
      <c r="G32" s="121"/>
      <c r="H32" s="121"/>
      <c r="I32" s="121"/>
    </row>
    <row r="33" spans="1:15" ht="15">
      <c r="A33" s="740" t="s">
        <v>1303</v>
      </c>
      <c r="B33" s="123"/>
      <c r="C33" s="1642" t="s">
        <v>3420</v>
      </c>
      <c r="D33" s="1643" t="s">
        <v>3406</v>
      </c>
      <c r="E33" s="1644" t="s">
        <v>1304</v>
      </c>
      <c r="F33" s="1645" t="str">
        <f>IF(D32="楼面单价","取值（单价）","取值（总价）")</f>
        <v>取值（总价）</v>
      </c>
      <c r="G33" s="121"/>
      <c r="H33" s="121"/>
      <c r="I33" s="121"/>
    </row>
    <row r="34" spans="1:15" ht="15">
      <c r="A34" s="1646"/>
      <c r="B34" s="1647" t="s">
        <v>1305</v>
      </c>
      <c r="C34" s="140">
        <f ca="1">IF(C33="自定义",F34,C32-C35)</f>
        <v>5136</v>
      </c>
      <c r="D34" s="808">
        <f ca="1">IF(C33="自定义",ROUND(C34/C32,3),IF(C33="收益比率",SUMIF(INDIRECT("'"&amp;D33&amp;"'"&amp;"!b:b"),"土地收益比率",INDIRECT("'"&amp;D33&amp;"'"&amp;"!c:c")),SUMIF(INDIRECT("'"&amp;D33&amp;"'"&amp;"!b:b"),"土地成本比率",INDIRECT("'"&amp;D33&amp;"'"&amp;"!c:c"))))</f>
        <v>0.42800000000000005</v>
      </c>
      <c r="E34" s="1648" t="s">
        <v>1306</v>
      </c>
      <c r="F34" s="1243"/>
      <c r="G34" s="121"/>
      <c r="H34" s="121"/>
      <c r="I34" s="121"/>
    </row>
    <row r="35" spans="1:15" ht="15.75" thickBot="1">
      <c r="A35" s="1649"/>
      <c r="B35" s="1650" t="s">
        <v>1307</v>
      </c>
      <c r="C35" s="1090">
        <f ca="1">IF(C33="自定义",F35,ROUND(C32*D35,0))</f>
        <v>6863</v>
      </c>
      <c r="D35" s="1091">
        <f ca="1">IF(C33="自定义",ROUND(C35/C32,3),IF(C33="收益比率",SUMIF(INDIRECT("'"&amp;D33&amp;"'"&amp;"!b:b"),"建筑物收益比率",INDIRECT("'"&amp;D33&amp;"'"&amp;"!c:c")),SUMIF(INDIRECT("'"&amp;D33&amp;"'"&amp;"!b:b"),"建筑物成本比率",INDIRECT("'"&amp;D33&amp;"'"&amp;"!c:c"))))</f>
        <v>0.57199999999999995</v>
      </c>
      <c r="E35" s="1651" t="s">
        <v>1308</v>
      </c>
      <c r="F35" s="146"/>
      <c r="G35" s="121"/>
      <c r="H35" s="121"/>
      <c r="I35" s="121"/>
    </row>
    <row r="36" spans="1:15" ht="15.75" thickBot="1">
      <c r="A36" s="3277" t="s">
        <v>1309</v>
      </c>
      <c r="B36" s="1652" t="s">
        <v>1310</v>
      </c>
      <c r="C36" s="137"/>
      <c r="D36" s="1653"/>
      <c r="E36" s="1567"/>
      <c r="F36" s="1654"/>
      <c r="G36" s="121"/>
      <c r="H36" s="121"/>
      <c r="I36" s="121"/>
    </row>
    <row r="37" spans="1:15" ht="15.75" thickBot="1">
      <c r="A37" s="3278"/>
      <c r="B37" s="1555" t="s">
        <v>1311</v>
      </c>
      <c r="C37" s="139"/>
      <c r="D37" s="1071"/>
      <c r="E37" s="1071"/>
      <c r="F37" s="1654"/>
      <c r="G37" s="121"/>
      <c r="H37" s="121"/>
      <c r="I37" s="121"/>
    </row>
    <row r="38" spans="1:15" ht="15.75" thickBot="1">
      <c r="A38" s="3279"/>
      <c r="B38" s="1655" t="s">
        <v>1312</v>
      </c>
      <c r="C38" s="641"/>
      <c r="D38" s="1656" t="s">
        <v>1313</v>
      </c>
      <c r="E38" s="1071"/>
      <c r="F38" s="1654"/>
      <c r="G38" s="121"/>
      <c r="H38" s="121"/>
      <c r="I38" s="121"/>
    </row>
    <row r="39" spans="1:15" ht="15">
      <c r="A39" s="1633" t="s">
        <v>1314</v>
      </c>
      <c r="B39" s="1657" t="s">
        <v>1315</v>
      </c>
      <c r="C39" s="1658" t="s">
        <v>1316</v>
      </c>
      <c r="D39" s="1658" t="s">
        <v>1317</v>
      </c>
      <c r="E39" s="1659" t="s">
        <v>1318</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hidden="1">
      <c r="A44" s="1464" t="s">
        <v>1321</v>
      </c>
      <c r="B44" s="1664"/>
      <c r="C44" s="1664"/>
      <c r="D44" s="1665"/>
      <c r="E44" s="1665"/>
      <c r="F44" s="1666"/>
      <c r="G44" s="1666"/>
      <c r="H44" s="1666"/>
      <c r="I44" s="1666"/>
      <c r="J44" s="1667" t="s">
        <v>1322</v>
      </c>
      <c r="K44" s="4"/>
      <c r="L44" s="4"/>
      <c r="M44" s="4"/>
      <c r="N44" s="4"/>
      <c r="O44" s="4"/>
    </row>
    <row r="45" spans="1:15" ht="14.25" hidden="1" customHeight="1" thickBot="1">
      <c r="A45" s="3254" t="s">
        <v>1323</v>
      </c>
      <c r="B45" s="3255"/>
      <c r="C45" s="3256"/>
      <c r="D45" s="147">
        <f ca="1">ROUND(H101*F45,0)</f>
        <v>11999</v>
      </c>
      <c r="E45" s="148" t="s">
        <v>1324</v>
      </c>
      <c r="F45" s="149">
        <v>1</v>
      </c>
      <c r="G45" s="150" t="s">
        <v>1325</v>
      </c>
      <c r="H45" s="121"/>
      <c r="I45" s="121"/>
      <c r="J45" s="3332" t="s">
        <v>1326</v>
      </c>
      <c r="K45" s="3332"/>
      <c r="L45" s="3332"/>
      <c r="M45" s="3332"/>
      <c r="N45" s="3332"/>
      <c r="O45" s="3332"/>
    </row>
    <row r="46" spans="1:15" ht="14.25" hidden="1" customHeight="1">
      <c r="A46" s="3251" t="s">
        <v>1327</v>
      </c>
      <c r="B46" s="3252"/>
      <c r="C46" s="3252"/>
      <c r="D46" s="3252"/>
      <c r="E46" s="3252"/>
      <c r="F46" s="3252"/>
      <c r="G46" s="3253"/>
      <c r="H46" s="1668"/>
      <c r="I46" s="151"/>
      <c r="J46" s="2304">
        <v>1</v>
      </c>
      <c r="K46" s="3313" t="s">
        <v>1328</v>
      </c>
      <c r="L46" s="3313"/>
      <c r="M46" s="3333"/>
      <c r="N46" s="3333"/>
      <c r="O46" s="3333"/>
    </row>
    <row r="47" spans="1:15" ht="12" hidden="1" customHeight="1">
      <c r="A47" s="152" t="s">
        <v>1329</v>
      </c>
      <c r="B47" s="153"/>
      <c r="C47" s="154"/>
      <c r="D47" s="1024" t="s">
        <v>1330</v>
      </c>
      <c r="E47" s="294" t="s">
        <v>1331</v>
      </c>
      <c r="F47" s="155" t="s">
        <v>1332</v>
      </c>
      <c r="G47" s="2327" t="s">
        <v>1333</v>
      </c>
      <c r="H47" s="2328"/>
      <c r="I47" s="151"/>
      <c r="J47" s="2304">
        <v>2</v>
      </c>
      <c r="K47" s="3313" t="s">
        <v>1334</v>
      </c>
      <c r="L47" s="3313"/>
      <c r="M47" s="3334">
        <f>'数据-取费表'!B2</f>
        <v>45355</v>
      </c>
      <c r="N47" s="3334"/>
      <c r="O47" s="3334"/>
    </row>
    <row r="48" spans="1:15" ht="25.5" hidden="1">
      <c r="A48" s="3282" t="s">
        <v>1335</v>
      </c>
      <c r="B48" s="3265"/>
      <c r="C48" s="3265"/>
      <c r="D48" s="12" t="b">
        <f>IF(H48="情况1",0,IF(H48="情况2",D52,IF(H48="情况3",D53,IF(H48="情况4",D54))))</f>
        <v>0</v>
      </c>
      <c r="E48" s="1256" t="str">
        <f>IF(H48="情况4","(销售额-原购置价)×税（费）率","销售额×税（费）率")</f>
        <v>销售额×税（费）率</v>
      </c>
      <c r="F48" s="2329">
        <f>IF(H48="情况1","免征",'数据-取费表'!B41)</f>
        <v>5.5000000000000007E-2</v>
      </c>
      <c r="G48" s="2330" t="s">
        <v>1336</v>
      </c>
      <c r="H48" s="2331"/>
      <c r="I48" s="1668"/>
      <c r="J48" s="2304">
        <v>3</v>
      </c>
      <c r="K48" s="3313" t="s">
        <v>1337</v>
      </c>
      <c r="L48" s="3313"/>
      <c r="M48" s="3335">
        <f ca="1">H101</f>
        <v>11999</v>
      </c>
      <c r="N48" s="3335"/>
      <c r="O48" s="3335"/>
    </row>
    <row r="49" spans="1:35" ht="25.5" hidden="1" customHeight="1">
      <c r="A49" s="2152" t="s">
        <v>1338</v>
      </c>
      <c r="B49" s="3249" t="s">
        <v>1339</v>
      </c>
      <c r="C49" s="3249"/>
      <c r="D49" s="1478">
        <v>0</v>
      </c>
      <c r="E49" s="316" t="s">
        <v>1340</v>
      </c>
      <c r="F49" s="2232" t="s">
        <v>28</v>
      </c>
      <c r="G49" s="3319"/>
      <c r="H49" s="2134" t="s">
        <v>2131</v>
      </c>
      <c r="I49" s="2135"/>
      <c r="J49" s="2304">
        <v>4</v>
      </c>
      <c r="K49" s="3313" t="str">
        <f>IF(项目基本情况!E8="房地产抵押价值","房地产抵押价值","抵押担保权已注销时的房地产抵押价值")</f>
        <v>房地产抵押价值</v>
      </c>
      <c r="L49" s="3313"/>
      <c r="M49" s="3335">
        <f ca="1">IF(项目基本情况!E8="房地产抵押价值",H107,H109)</f>
        <v>11999</v>
      </c>
      <c r="N49" s="3335"/>
      <c r="O49" s="3335"/>
    </row>
    <row r="50" spans="1:35" ht="25.5" hidden="1" customHeight="1">
      <c r="A50" s="2332"/>
      <c r="B50" s="3249" t="s">
        <v>1341</v>
      </c>
      <c r="C50" s="3249"/>
      <c r="D50" s="2189"/>
      <c r="E50" s="323"/>
      <c r="F50" s="2232"/>
      <c r="G50" s="3320"/>
      <c r="H50" s="2136" t="s">
        <v>2132</v>
      </c>
      <c r="I50" s="2135"/>
      <c r="J50" s="3332" t="s">
        <v>1342</v>
      </c>
      <c r="K50" s="3332"/>
      <c r="L50" s="3332"/>
      <c r="M50" s="3332"/>
      <c r="N50" s="3332"/>
      <c r="O50" s="3332"/>
    </row>
    <row r="51" spans="1:35" ht="20.45" hidden="1" customHeight="1">
      <c r="A51" s="2333"/>
      <c r="B51" s="3249" t="s">
        <v>1343</v>
      </c>
      <c r="C51" s="3249"/>
      <c r="D51" s="1024"/>
      <c r="E51" s="319"/>
      <c r="F51" s="2232"/>
      <c r="G51" s="3321"/>
      <c r="H51" s="2136" t="s">
        <v>2133</v>
      </c>
      <c r="I51" s="2135"/>
      <c r="J51" s="2305" t="s">
        <v>1344</v>
      </c>
      <c r="K51" s="3313" t="s">
        <v>1345</v>
      </c>
      <c r="L51" s="3313"/>
      <c r="M51" s="2305" t="s">
        <v>1346</v>
      </c>
      <c r="N51" s="2305" t="s">
        <v>1347</v>
      </c>
      <c r="O51" s="2305" t="s">
        <v>1348</v>
      </c>
    </row>
    <row r="52" spans="1:35" ht="24" hidden="1" customHeight="1">
      <c r="A52" s="2153" t="s">
        <v>1349</v>
      </c>
      <c r="B52" s="3249" t="s">
        <v>1350</v>
      </c>
      <c r="C52" s="3249"/>
      <c r="D52" s="1024">
        <f ca="1">ROUND(D45*'数据-取费表'!B41/(1+'数据-取费表'!C42),0)</f>
        <v>629</v>
      </c>
      <c r="E52" s="1256" t="s">
        <v>1351</v>
      </c>
      <c r="F52" s="2334">
        <f>'数据-取费表'!B41</f>
        <v>5.5000000000000007E-2</v>
      </c>
      <c r="G52" s="2335"/>
      <c r="H52" s="2325"/>
      <c r="I52" s="1669"/>
      <c r="J52" s="2304">
        <v>1</v>
      </c>
      <c r="K52" s="3314" t="s">
        <v>1352</v>
      </c>
      <c r="L52" s="3314"/>
      <c r="M52" s="2306" t="b">
        <f>D48</f>
        <v>0</v>
      </c>
      <c r="N52" s="2304" t="str">
        <f>E48</f>
        <v>销售额×税（费）率</v>
      </c>
      <c r="O52" s="2307">
        <f>F48</f>
        <v>5.5000000000000007E-2</v>
      </c>
    </row>
    <row r="53" spans="1:35" ht="12" hidden="1" customHeight="1">
      <c r="A53" s="2153" t="s">
        <v>1353</v>
      </c>
      <c r="B53" s="3275" t="s">
        <v>2277</v>
      </c>
      <c r="C53" s="3276"/>
      <c r="D53" s="1024">
        <f ca="1">ROUND(D45*'数据-取费表'!B41/(1+'数据-取费表'!C42),0)</f>
        <v>629</v>
      </c>
      <c r="E53" s="1256" t="s">
        <v>1351</v>
      </c>
      <c r="F53" s="2334">
        <f>'数据-取费表'!B41</f>
        <v>5.5000000000000007E-2</v>
      </c>
      <c r="G53" s="2335"/>
      <c r="H53" s="2325"/>
      <c r="I53" s="1669"/>
      <c r="J53" s="2304">
        <v>2</v>
      </c>
      <c r="K53" s="3314" t="s">
        <v>1354</v>
      </c>
      <c r="L53" s="3314"/>
      <c r="M53" s="2306">
        <f t="shared" ref="M53:O54" ca="1" si="0">D55</f>
        <v>6</v>
      </c>
      <c r="N53" s="2304" t="str">
        <f t="shared" si="0"/>
        <v>销售额×税（费）率</v>
      </c>
      <c r="O53" s="2307" t="str">
        <f t="shared" si="0"/>
        <v>免征</v>
      </c>
    </row>
    <row r="54" spans="1:35" ht="12" hidden="1" customHeight="1">
      <c r="A54" s="2153" t="s">
        <v>1355</v>
      </c>
      <c r="B54" s="3275" t="s">
        <v>2278</v>
      </c>
      <c r="C54" s="3276"/>
      <c r="D54" s="1024">
        <f ca="1">C68</f>
        <v>629</v>
      </c>
      <c r="E54" s="319" t="s">
        <v>1356</v>
      </c>
      <c r="F54" s="2334">
        <f>'数据-取费表'!B41</f>
        <v>5.5000000000000007E-2</v>
      </c>
      <c r="G54" s="2335"/>
      <c r="H54" s="2336"/>
      <c r="I54" s="1669"/>
      <c r="J54" s="2304">
        <v>3</v>
      </c>
      <c r="K54" s="3314" t="s">
        <v>1357</v>
      </c>
      <c r="L54" s="3314"/>
      <c r="M54" s="2306">
        <f t="shared" ca="1" si="0"/>
        <v>6803</v>
      </c>
      <c r="N54" s="2304" t="str">
        <f t="shared" si="0"/>
        <v>增值额×税（费）率</v>
      </c>
      <c r="O54" s="2308" t="str">
        <f t="shared" si="0"/>
        <v>免征</v>
      </c>
    </row>
    <row r="55" spans="1:35" ht="24" hidden="1" customHeight="1">
      <c r="A55" s="3264" t="s">
        <v>1358</v>
      </c>
      <c r="B55" s="3265"/>
      <c r="C55" s="3265"/>
      <c r="D55" s="12">
        <f ca="1">IF(H55="个人住宅",0,ROUND(D45*I55,0))</f>
        <v>6</v>
      </c>
      <c r="E55" s="1256" t="s">
        <v>1359</v>
      </c>
      <c r="F55" s="2334" t="str">
        <f>IF(H55="正常",I55,"免征")</f>
        <v>免征</v>
      </c>
      <c r="G55" s="2335"/>
      <c r="H55" s="2331"/>
      <c r="I55" s="157">
        <f>'数据-取费表'!B49</f>
        <v>5.0000000000000001E-4</v>
      </c>
      <c r="J55" s="2304">
        <f>IF(H59="非个人房产","",4)</f>
        <v>4</v>
      </c>
      <c r="K55" s="3314" t="str">
        <f>IF(H59="非个人房产","——","个人所得税")</f>
        <v>个人所得税</v>
      </c>
      <c r="L55" s="3314"/>
      <c r="M55" s="2309">
        <f ca="1">D59</f>
        <v>114</v>
      </c>
      <c r="N55" s="1883" t="str">
        <f>E59</f>
        <v>差额计税</v>
      </c>
      <c r="O55" s="2310">
        <f>F59</f>
        <v>0.01</v>
      </c>
    </row>
    <row r="56" spans="1:35" ht="24.75" hidden="1">
      <c r="A56" s="3264" t="s">
        <v>1360</v>
      </c>
      <c r="B56" s="3265"/>
      <c r="C56" s="3265"/>
      <c r="D56" s="12">
        <f ca="1">IF(H56="个人住宅",D57,D58)</f>
        <v>6803</v>
      </c>
      <c r="E56" s="1256" t="s">
        <v>1361</v>
      </c>
      <c r="F56" s="2334" t="str">
        <f>IF(H56="正常",F58,"免征")</f>
        <v>免征</v>
      </c>
      <c r="G56" s="2337" t="s">
        <v>1362</v>
      </c>
      <c r="H56" s="2338"/>
      <c r="I56" s="1670"/>
      <c r="J56" s="2304" t="str">
        <f>IF(项目基本情况!K6="上海银行",IF(J55="",4,J55+1),"")</f>
        <v/>
      </c>
      <c r="K56" s="3337" t="str">
        <f>IF(项目基本情况!K6="上海银行","其他处置费用","")</f>
        <v/>
      </c>
      <c r="L56" s="3338"/>
      <c r="M56" s="2306" t="str">
        <f>IF(项目基本情况!K6="上海银行",M69,"")</f>
        <v/>
      </c>
      <c r="N56" s="3337" t="str">
        <f>IF(项目基本情况!K6="上海银行","包含处置中涉及的律师、诉讼、拍卖、评估等费用","")</f>
        <v/>
      </c>
      <c r="O56" s="3340"/>
    </row>
    <row r="57" spans="1:35" ht="12.75" hidden="1">
      <c r="A57" s="2153" t="s">
        <v>1338</v>
      </c>
      <c r="B57" s="3275" t="s">
        <v>1363</v>
      </c>
      <c r="C57" s="3276"/>
      <c r="D57" s="1478">
        <v>0</v>
      </c>
      <c r="E57" s="316" t="s">
        <v>1340</v>
      </c>
      <c r="F57" s="294"/>
      <c r="G57" s="2335"/>
      <c r="H57" s="2339"/>
      <c r="I57" s="1670"/>
      <c r="J57" s="3314">
        <f>IF(AND(J55="",J56=""),4,IF(项目基本情况!K6="上海银行",结果表!J56+1,结果表!J55+1))</f>
        <v>5</v>
      </c>
      <c r="K57" s="3314" t="s">
        <v>1364</v>
      </c>
      <c r="L57" s="2311" t="s">
        <v>1365</v>
      </c>
      <c r="M57" s="2312"/>
      <c r="N57" s="2313">
        <f ca="1">SUMIF(M52:M56,"&lt;9e307")</f>
        <v>6923</v>
      </c>
      <c r="O57" s="2314"/>
      <c r="P57" s="2460">
        <f ca="1">N57/M49</f>
        <v>0.5769647470622552</v>
      </c>
    </row>
    <row r="58" spans="1:35" ht="24.75" hidden="1">
      <c r="A58" s="2153" t="s">
        <v>1349</v>
      </c>
      <c r="B58" s="3275" t="s">
        <v>1366</v>
      </c>
      <c r="C58" s="3249"/>
      <c r="D58" s="12">
        <f ca="1">IF(H58="转让取得",C81,C97)</f>
        <v>6803</v>
      </c>
      <c r="E58" s="1256" t="s">
        <v>1361</v>
      </c>
      <c r="F58" s="294" t="s">
        <v>28</v>
      </c>
      <c r="G58" s="2335"/>
      <c r="H58" s="2338"/>
      <c r="I58" s="1670"/>
      <c r="J58" s="3314"/>
      <c r="K58" s="3314"/>
      <c r="L58" s="2311" t="s">
        <v>1367</v>
      </c>
      <c r="M58" s="2315"/>
      <c r="N58" s="2316" t="str">
        <f ca="1">NUMBERSTRING(INT(N57*10000),2)&amp;"元整"</f>
        <v>陆仟玖佰贰拾叁万元整</v>
      </c>
      <c r="O58" s="2317"/>
    </row>
    <row r="59" spans="1:35" ht="24.75" hidden="1" thickBot="1">
      <c r="A59" s="3317" t="s">
        <v>1368</v>
      </c>
      <c r="B59" s="3318"/>
      <c r="C59" s="3318"/>
      <c r="D59" s="2340">
        <f ca="1">IF(H59="非个人房产","——",IF(H59="个人住宅（满五唯一有凭证）",0,IF(H59="个人其他（无凭证）",ROUND(D45*F59,0),ROUND(C67*F59,0))))</f>
        <v>114</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1362</v>
      </c>
      <c r="H59" s="2138"/>
      <c r="I59" s="2137" t="s">
        <v>2134</v>
      </c>
      <c r="J59" s="3315">
        <f>J57+1</f>
        <v>6</v>
      </c>
      <c r="K59" s="3314" t="s">
        <v>1369</v>
      </c>
      <c r="L59" s="2304" t="s">
        <v>1365</v>
      </c>
      <c r="M59" s="2318"/>
      <c r="N59" s="2319">
        <f ca="1">M49-N57</f>
        <v>5076</v>
      </c>
      <c r="O59" s="2320"/>
    </row>
    <row r="60" spans="1:35" ht="12" hidden="1" customHeight="1">
      <c r="A60" s="1671"/>
      <c r="B60" s="646"/>
      <c r="C60" s="646"/>
      <c r="D60" s="646"/>
      <c r="E60" s="1466"/>
      <c r="F60" s="1670"/>
      <c r="G60" s="1670"/>
      <c r="H60" s="151"/>
      <c r="I60" s="121"/>
      <c r="J60" s="3316"/>
      <c r="K60" s="3314"/>
      <c r="L60" s="2311" t="s">
        <v>1367</v>
      </c>
      <c r="M60" s="2315"/>
      <c r="N60" s="2316" t="str">
        <f ca="1">NUMBERSTRING(INT(N59*10000),2)&amp;"元整"</f>
        <v>伍仟零柒拾陆万元整</v>
      </c>
      <c r="O60" s="2317"/>
    </row>
    <row r="61" spans="1:35" ht="13.5" hidden="1" thickBot="1">
      <c r="A61" s="3262" t="s">
        <v>1370</v>
      </c>
      <c r="B61" s="3262"/>
      <c r="C61" s="3262"/>
      <c r="D61" s="3262"/>
      <c r="E61" s="3262"/>
      <c r="F61" s="1670"/>
      <c r="G61" s="1670"/>
      <c r="H61" s="151"/>
      <c r="I61" s="121"/>
      <c r="J61" s="2304">
        <f>J59+1</f>
        <v>7</v>
      </c>
      <c r="K61" s="3314" t="s">
        <v>1371</v>
      </c>
      <c r="L61" s="3314"/>
      <c r="M61" s="2321"/>
      <c r="N61" s="2322">
        <f ca="1">ROUND(N59*10000/'数据-汇总表'!E3,0)</f>
        <v>5580</v>
      </c>
      <c r="O61" s="2323"/>
    </row>
    <row r="62" spans="1:35" ht="12.75" hidden="1">
      <c r="A62" s="3280" t="s">
        <v>1372</v>
      </c>
      <c r="B62" s="3281"/>
      <c r="C62" s="1865"/>
      <c r="D62" s="1865" t="s">
        <v>1373</v>
      </c>
      <c r="E62" s="158" t="s">
        <v>1374</v>
      </c>
      <c r="F62" s="1670"/>
      <c r="G62" s="1670"/>
      <c r="H62" s="151"/>
      <c r="I62" s="121"/>
    </row>
    <row r="63" spans="1:35" ht="12.75" hidden="1">
      <c r="A63" s="165" t="s">
        <v>330</v>
      </c>
      <c r="B63" s="159" t="s">
        <v>1375</v>
      </c>
      <c r="C63" s="2344">
        <f ca="1">ROUND((C64+C65)/(1+'数据-取费表'!C42),0)</f>
        <v>11428</v>
      </c>
      <c r="D63" s="159"/>
      <c r="E63" s="160"/>
      <c r="F63" s="1670"/>
      <c r="G63" s="1670"/>
      <c r="H63" s="151"/>
      <c r="I63" s="121"/>
      <c r="J63" s="3339" t="s">
        <v>1376</v>
      </c>
      <c r="K63" s="1245" t="s">
        <v>1377</v>
      </c>
      <c r="L63" s="1245">
        <f ca="1">IF(M49&gt;10000,M49*0.5%,IF(AND(M49&gt;1000,M49&lt;=10000),M49*1%,IF(AND(M49&gt;100,M49&lt;=1000),M49*3%,IF(AND(M49&gt;10,M49&lt;=100),M49*5%,M49*8%))))</f>
        <v>59.995000000000005</v>
      </c>
      <c r="M63" s="294">
        <f ca="1">ROUND(L63,1)</f>
        <v>60</v>
      </c>
      <c r="N63" s="2324"/>
      <c r="Z63" s="1623"/>
      <c r="AI63" s="1561"/>
    </row>
    <row r="64" spans="1:35" ht="14.25" hidden="1" customHeight="1">
      <c r="A64" s="161" t="s">
        <v>325</v>
      </c>
      <c r="B64" s="162" t="s">
        <v>1378</v>
      </c>
      <c r="C64" s="2345">
        <f ca="1">D45</f>
        <v>11999</v>
      </c>
      <c r="D64" s="162" t="s">
        <v>26</v>
      </c>
      <c r="E64" s="164"/>
      <c r="F64" s="1670"/>
      <c r="G64" s="1670"/>
      <c r="H64" s="151"/>
      <c r="I64" s="121"/>
      <c r="J64" s="3339"/>
      <c r="K64" s="1245" t="s">
        <v>1379</v>
      </c>
      <c r="L64" s="1245">
        <f ca="1">IF(M49&gt;2000,M49*0.5%,IF(AND(M49&gt;1000,M49&lt;=2000),M49*0.6%,IF(AND(M49&gt;500,M49&lt;=1000),M49*0.7%,IF(AND(M49&gt;200,M49&lt;=500),M49*0.8%,IF(AND(M49&gt;100,M49&lt;=200),M49*0.9%,IF(AND(M49&gt;50,M49&lt;=100),M49*1%,IF(AND(M49&gt;20,M49&lt;=50),M49*1.5%,IF(AND(M49&gt;10,M49&lt;=20),M49*2%,IF(AND(M49&gt;1,M49&lt;=10),M49*2.5%)))))))))</f>
        <v>59.995000000000005</v>
      </c>
      <c r="M64" s="294">
        <f t="shared" ref="M64:M65" ca="1" si="1">ROUND(L64,1)</f>
        <v>60</v>
      </c>
      <c r="N64" s="2325" t="s">
        <v>1380</v>
      </c>
      <c r="Z64" s="1623"/>
      <c r="AI64" s="1561"/>
    </row>
    <row r="65" spans="1:35" ht="14.25" hidden="1" customHeight="1">
      <c r="A65" s="161" t="s">
        <v>326</v>
      </c>
      <c r="B65" s="162" t="s">
        <v>1381</v>
      </c>
      <c r="C65" s="2346"/>
      <c r="D65" s="162"/>
      <c r="E65" s="164"/>
      <c r="F65" s="1670"/>
      <c r="G65" s="1670"/>
      <c r="H65" s="151"/>
      <c r="I65" s="121"/>
      <c r="J65" s="3339"/>
      <c r="K65" s="1245" t="s">
        <v>1382</v>
      </c>
      <c r="L65" s="1245">
        <f ca="1">IF(M49&gt;1000,M49*0.1%,IF(AND(M49&gt;500,M49&lt;=1000),M49*0.5%,IF(AND(M49&gt;50,M49&lt;=500),M49*1%,IF(AND(M49&gt;1,M49&lt;=50),M49*1.5%))))</f>
        <v>11.999000000000001</v>
      </c>
      <c r="M65" s="294">
        <f t="shared" ca="1" si="1"/>
        <v>12</v>
      </c>
      <c r="N65" s="2325" t="s">
        <v>1380</v>
      </c>
      <c r="Z65" s="1623"/>
      <c r="AI65" s="1561"/>
    </row>
    <row r="66" spans="1:35" ht="14.25" hidden="1" customHeight="1">
      <c r="A66" s="165" t="s">
        <v>327</v>
      </c>
      <c r="B66" s="166" t="s">
        <v>1383</v>
      </c>
      <c r="C66" s="2347"/>
      <c r="D66" s="166" t="s">
        <v>26</v>
      </c>
      <c r="E66" s="1251" t="s">
        <v>671</v>
      </c>
      <c r="F66" s="1670"/>
      <c r="G66" s="1670"/>
      <c r="H66" s="151"/>
      <c r="I66" s="121"/>
      <c r="J66" s="3339"/>
      <c r="K66" s="1245" t="s">
        <v>1384</v>
      </c>
      <c r="L66" s="1245">
        <f ca="1">M49*0.5%</f>
        <v>59.995000000000005</v>
      </c>
      <c r="M66" s="294">
        <f ca="1">IF(L66&gt;0.5,0.5,ROUND(L66,0))</f>
        <v>0.5</v>
      </c>
      <c r="N66" s="2325" t="s">
        <v>1385</v>
      </c>
      <c r="Z66" s="1623"/>
      <c r="AI66" s="1561"/>
    </row>
    <row r="67" spans="1:35" ht="14.25" hidden="1" customHeight="1">
      <c r="A67" s="165" t="s">
        <v>328</v>
      </c>
      <c r="B67" s="166" t="s">
        <v>1386</v>
      </c>
      <c r="C67" s="2348">
        <f ca="1">C63-C66</f>
        <v>11428</v>
      </c>
      <c r="D67" s="162" t="s">
        <v>26</v>
      </c>
      <c r="E67" s="164"/>
      <c r="F67" s="1670"/>
      <c r="G67" s="1670"/>
      <c r="H67" s="151"/>
      <c r="I67" s="121"/>
      <c r="J67" s="3339"/>
      <c r="K67" s="1245" t="s">
        <v>1387</v>
      </c>
      <c r="L67" s="1245">
        <f ca="1">IF(M49&gt;=10000,(8.25+(M49-10000)*0.01%),IF(AND(M49&gt;=8000,M49&lt;10000),(7.85+(M49-8000)*0.02%),IF(AND(M49&gt;=5000,M49&lt;8000),(6.65+(M49-5000)*0.04%),IF(AND(M49&gt;=2000,M49&lt;5000),(4.25+(PM49-2000)*0.08%),IF(AND(M49&gt;=1000,M49&lt;2000),(2.75+(M49-1000)*0.15%),IF(AND(M49&gt;=100,M49&lt;1000),(0.5+(M49-100)*0.25%),IF(AND(M49&gt;0,M49&lt;100),M49*0.5%)))))))</f>
        <v>8.4498999999999995</v>
      </c>
      <c r="M67" s="294">
        <f ca="1">ROUND(L67*0.9,1)</f>
        <v>7.6</v>
      </c>
      <c r="N67" s="2324"/>
      <c r="Z67" s="1623"/>
      <c r="AI67" s="1561"/>
    </row>
    <row r="68" spans="1:35" ht="14.25" hidden="1" customHeight="1" thickBot="1">
      <c r="A68" s="168" t="s">
        <v>329</v>
      </c>
      <c r="B68" s="169" t="s">
        <v>1388</v>
      </c>
      <c r="C68" s="2349">
        <f ca="1">IF(C67&lt;=0,0,ROUND(C67*D68,0))</f>
        <v>629</v>
      </c>
      <c r="D68" s="2350">
        <f>'数据-取费表'!B41</f>
        <v>5.5000000000000007E-2</v>
      </c>
      <c r="E68" s="170"/>
      <c r="F68" s="1670"/>
      <c r="G68" s="1670"/>
      <c r="H68" s="151"/>
      <c r="I68" s="121"/>
      <c r="J68" s="3339"/>
      <c r="K68" s="1245" t="s">
        <v>1389</v>
      </c>
      <c r="L68" s="1245">
        <f ca="1">IF(M49&gt;10000,M49*0.5%,IF(AND(M49&gt;5000,M49&lt;=10000),M49*1%,IF(AND(M49&gt;1000,M49&lt;=5000),M49*2%,IF(AND(M49&gt;200,M49&lt;=1000),M49*3%,M49*5%))))</f>
        <v>59.995000000000005</v>
      </c>
      <c r="M68" s="294">
        <f ca="1">ROUND(L68,1)</f>
        <v>60</v>
      </c>
      <c r="N68" s="2324"/>
      <c r="Z68" s="1623"/>
      <c r="AI68" s="1561"/>
    </row>
    <row r="69" spans="1:35" ht="16.5" hidden="1" customHeight="1">
      <c r="A69" s="1672"/>
      <c r="B69" s="1673"/>
      <c r="C69" s="1674"/>
      <c r="D69" s="1675"/>
      <c r="E69" s="1676"/>
      <c r="F69" s="1466"/>
      <c r="G69" s="1466"/>
      <c r="H69" s="1467"/>
      <c r="I69" s="646"/>
      <c r="J69" s="3339"/>
      <c r="K69" s="1245" t="s">
        <v>1390</v>
      </c>
      <c r="L69" s="1245"/>
      <c r="M69" s="294">
        <f ca="1">ROUND(SUM(M63:M68),0)</f>
        <v>200</v>
      </c>
      <c r="N69" s="2326">
        <f ca="1">M69/M49</f>
        <v>1.6668055671305942E-2</v>
      </c>
      <c r="Z69" s="1623"/>
      <c r="AI69" s="1561"/>
    </row>
    <row r="70" spans="1:35" s="642" customFormat="1" ht="15" hidden="1" thickBot="1">
      <c r="A70" s="3301" t="s">
        <v>1391</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hidden="1">
      <c r="A71" s="3280" t="s">
        <v>1372</v>
      </c>
      <c r="B71" s="3281"/>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hidden="1">
      <c r="A72" s="165" t="s">
        <v>330</v>
      </c>
      <c r="B72" s="166" t="s">
        <v>1392</v>
      </c>
      <c r="C72" s="2348">
        <f ca="1">ROUND(D45/(1+'数据-取费表'!C42),0)</f>
        <v>11428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hidden="1">
      <c r="A73" s="165" t="s">
        <v>327</v>
      </c>
      <c r="B73" s="155" t="s">
        <v>1393</v>
      </c>
      <c r="C73" s="2348">
        <f ca="1">C74+C78</f>
        <v>57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hidden="1">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hidden="1">
      <c r="A75" s="161" t="s">
        <v>331</v>
      </c>
      <c r="B75" s="162" t="s">
        <v>1395</v>
      </c>
      <c r="C75" s="2351"/>
      <c r="D75" s="162" t="s">
        <v>26</v>
      </c>
      <c r="E75" s="176" t="s">
        <v>1396</v>
      </c>
      <c r="F75" s="2352"/>
      <c r="G75" s="176" t="s">
        <v>1397</v>
      </c>
      <c r="H75" s="2353"/>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hidden="1" customHeight="1">
      <c r="A76" s="161" t="s">
        <v>332</v>
      </c>
      <c r="B76" s="177" t="s">
        <v>1398</v>
      </c>
      <c r="C76" s="162">
        <f>IF(F75="购房发票",ROUND(C75*H75*D76,0),0)</f>
        <v>0</v>
      </c>
      <c r="D76" s="2354">
        <v>0.05</v>
      </c>
      <c r="E76" s="3275" t="s">
        <v>1399</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hidden="1" customHeight="1">
      <c r="A77" s="161" t="s">
        <v>333</v>
      </c>
      <c r="B77" s="162" t="s">
        <v>1400</v>
      </c>
      <c r="C77" s="162">
        <f>ROUND(IF(G77="个人住宅",0,IF(G77="2016年5月1日前购买",C75*D77,C75*D77/(1+'数据-取费表'!C42))),0)</f>
        <v>0</v>
      </c>
      <c r="D77" s="2355">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hidden="1" customHeight="1">
      <c r="A78" s="161" t="s">
        <v>326</v>
      </c>
      <c r="B78" s="162" t="s">
        <v>1402</v>
      </c>
      <c r="C78" s="2356">
        <f ca="1">ROUND(D45*D78/(1+'数据-取费表'!C42),0)</f>
        <v>57</v>
      </c>
      <c r="D78" s="2357">
        <f>'数据-取费表'!B43</f>
        <v>5.000000000000001E-3</v>
      </c>
      <c r="E78" s="3259" t="s">
        <v>1403</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hidden="1">
      <c r="A79" s="165" t="s">
        <v>334</v>
      </c>
      <c r="B79" s="166" t="s">
        <v>1404</v>
      </c>
      <c r="C79" s="2348">
        <f ca="1">C72-C73</f>
        <v>11371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hidden="1">
      <c r="A80" s="165" t="s">
        <v>335</v>
      </c>
      <c r="B80" s="166" t="s">
        <v>1405</v>
      </c>
      <c r="C80" s="2358">
        <f ca="1">IF(C79&lt;=0,0,C79/C73)</f>
        <v>199.49122807017545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hidden="1" thickBot="1">
      <c r="A81" s="168" t="s">
        <v>336</v>
      </c>
      <c r="B81" s="169" t="s">
        <v>1406</v>
      </c>
      <c r="C81" s="2359">
        <f ca="1">ROUND(IF(C79&lt;=0,0,IF(C80&gt;=200%,C79*60%-C73*35%,IF(C80&gt;=100%,C79*50%-C73*15%,IF(C80&gt;=50%,C79*40%-C73*5%,IF(C80&lt;50%,C79*30%,0))))),0)</f>
        <v>6803</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hidden="1"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hidden="1" thickBot="1">
      <c r="A83" s="3301" t="s">
        <v>1407</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hidden="1">
      <c r="A84" s="3280" t="s">
        <v>1372</v>
      </c>
      <c r="B84" s="3281"/>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hidden="1">
      <c r="A85" s="165" t="s">
        <v>330</v>
      </c>
      <c r="B85" s="166" t="s">
        <v>1392</v>
      </c>
      <c r="C85" s="2348">
        <f ca="1">ROUND(D45/(1+'数据-取费表'!C42),0)</f>
        <v>11428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hidden="1">
      <c r="A86" s="165" t="s">
        <v>327</v>
      </c>
      <c r="B86" s="155" t="s">
        <v>1393</v>
      </c>
      <c r="C86" s="2348">
        <f ca="1">IF(H88="仅含出让金",C87+C90+C91+C92+C93+C94,C87+C91+C92+C93+C94)</f>
        <v>57</v>
      </c>
      <c r="D86" s="2361"/>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hidden="1">
      <c r="A87" s="161" t="s">
        <v>325</v>
      </c>
      <c r="B87" s="162" t="s">
        <v>1408</v>
      </c>
      <c r="C87" s="2356">
        <f>C88+C89</f>
        <v>0</v>
      </c>
      <c r="D87" s="2357"/>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hidden="1">
      <c r="A88" s="161" t="s">
        <v>331</v>
      </c>
      <c r="B88" s="162" t="s">
        <v>1409</v>
      </c>
      <c r="C88" s="2362"/>
      <c r="D88" s="2357"/>
      <c r="E88" s="185" t="s">
        <v>1410</v>
      </c>
      <c r="F88" s="2148"/>
      <c r="G88" s="186" t="s">
        <v>1411</v>
      </c>
      <c r="H88" s="1684"/>
      <c r="I88" s="1681"/>
      <c r="J88" s="2302" t="s">
        <v>2274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hidden="1">
      <c r="A89" s="161" t="s">
        <v>332</v>
      </c>
      <c r="B89" s="162" t="s">
        <v>1400</v>
      </c>
      <c r="C89" s="2356">
        <f>ROUND(C88*D89,0)</f>
        <v>0</v>
      </c>
      <c r="D89" s="2357">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hidden="1">
      <c r="A90" s="161" t="s">
        <v>326</v>
      </c>
      <c r="B90" s="162" t="s">
        <v>1413</v>
      </c>
      <c r="C90" s="2362"/>
      <c r="D90" s="2357"/>
      <c r="E90" s="185" t="str">
        <f>IF(H88="-","土地取得成本中已包含该笔费用"," ")</f>
        <v xml:space="preserve"> </v>
      </c>
      <c r="F90" s="2148"/>
      <c r="G90" s="3341" t="s">
        <v>2126</v>
      </c>
      <c r="H90" s="3342"/>
      <c r="I90" s="1681"/>
      <c r="J90" s="2302" t="s">
        <v>2275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hidden="1" customHeight="1">
      <c r="A91" s="161" t="s">
        <v>1414</v>
      </c>
      <c r="B91" s="162" t="s">
        <v>1415</v>
      </c>
      <c r="C91" s="2356">
        <f>IF(H91="——",成本法!C33,I91)</f>
        <v>0</v>
      </c>
      <c r="D91" s="2357"/>
      <c r="E91" s="3259" t="s">
        <v>1416</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hidden="1" customHeight="1">
      <c r="A92" s="161" t="s">
        <v>1417</v>
      </c>
      <c r="B92" s="162" t="s">
        <v>1418</v>
      </c>
      <c r="C92" s="2356">
        <f>ROUND((C87+C90+C91)*D92,0)</f>
        <v>0</v>
      </c>
      <c r="D92" s="2363"/>
      <c r="E92" s="3259" t="s">
        <v>1419</v>
      </c>
      <c r="F92" s="3260"/>
      <c r="G92" s="3260"/>
      <c r="H92" s="3269"/>
      <c r="I92" s="1681"/>
      <c r="J92" s="2303" t="s">
        <v>2276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hidden="1" customHeight="1">
      <c r="A93" s="161" t="s">
        <v>1420</v>
      </c>
      <c r="B93" s="162" t="s">
        <v>1402</v>
      </c>
      <c r="C93" s="2356">
        <f ca="1">ROUND(D45*D93/(1+'数据-取费表'!C42),0)</f>
        <v>57</v>
      </c>
      <c r="D93" s="2357">
        <f>'数据-取费表'!B43</f>
        <v>5.000000000000001E-3</v>
      </c>
      <c r="E93" s="3259" t="s">
        <v>1403</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hidden="1" customHeight="1">
      <c r="A94" s="161" t="s">
        <v>1421</v>
      </c>
      <c r="B94" s="162" t="s">
        <v>1422</v>
      </c>
      <c r="C94" s="2362">
        <f>ROUND((C87+C90+C91)*D94,0)</f>
        <v>0</v>
      </c>
      <c r="D94" s="2357">
        <v>0.2</v>
      </c>
      <c r="E94" s="3270" t="s">
        <v>1423</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hidden="1">
      <c r="A95" s="165" t="s">
        <v>334</v>
      </c>
      <c r="B95" s="166" t="s">
        <v>1404</v>
      </c>
      <c r="C95" s="2348">
        <f ca="1">ROUND(C85-C86,0)</f>
        <v>11371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hidden="1">
      <c r="A96" s="165" t="s">
        <v>335</v>
      </c>
      <c r="B96" s="166" t="s">
        <v>1405</v>
      </c>
      <c r="C96" s="2358">
        <f ca="1">IF(C95&lt;=0,0,C95/C86)</f>
        <v>199.49122807017545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hidden="1" thickBot="1">
      <c r="A97" s="168" t="s">
        <v>336</v>
      </c>
      <c r="B97" s="169" t="s">
        <v>1406</v>
      </c>
      <c r="C97" s="2359">
        <f ca="1">ROUND(IF(C95&lt;=0,0,IF(C96&gt;=200%,C95*60%-C86*35%,IF(C96&gt;=100%,C95*50%-C86*15%,IF(C96&gt;=50%,C95*40%-C86*5%,IF(C96&lt;50%,C95*30%,0))))),0)</f>
        <v>6803</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hidden="1"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43" t="s">
        <v>1425</v>
      </c>
      <c r="B100" s="3244"/>
      <c r="C100" s="3244"/>
      <c r="D100" s="3261"/>
      <c r="E100" s="3244" t="s">
        <v>1426</v>
      </c>
      <c r="F100" s="3244"/>
      <c r="G100" s="3244"/>
      <c r="H100" s="3261"/>
      <c r="I100" s="121"/>
    </row>
    <row r="101" spans="1:35" ht="18.75" customHeight="1">
      <c r="A101" s="3322" t="s">
        <v>1427</v>
      </c>
      <c r="B101" s="3323"/>
      <c r="C101" s="2365" t="str">
        <f>C4</f>
        <v>比较法</v>
      </c>
      <c r="D101" s="2366" t="str">
        <f>D4</f>
        <v>收益法</v>
      </c>
      <c r="E101" s="3336" t="s">
        <v>1428</v>
      </c>
      <c r="F101" s="3293"/>
      <c r="G101" s="1687" t="s">
        <v>1429</v>
      </c>
      <c r="H101" s="2375">
        <f ca="1">H118</f>
        <v>11999</v>
      </c>
      <c r="I101" s="121"/>
    </row>
    <row r="102" spans="1:35" ht="18.75" customHeight="1">
      <c r="A102" s="3295" t="s">
        <v>1430</v>
      </c>
      <c r="B102" s="2364" t="s">
        <v>1429</v>
      </c>
      <c r="C102" s="2365">
        <f ca="1">IF(D32="楼面单价",ROUND(C19,0),C19)</f>
        <v>12651</v>
      </c>
      <c r="D102" s="2366">
        <f ca="1">IF(D32="楼面单价",ROUND(D19,0),D19)</f>
        <v>11346</v>
      </c>
      <c r="E102" s="3336"/>
      <c r="F102" s="3293"/>
      <c r="G102" s="1687" t="s">
        <v>1431</v>
      </c>
      <c r="H102" s="2335">
        <f ca="1">I118</f>
        <v>13191</v>
      </c>
      <c r="I102" s="121"/>
    </row>
    <row r="103" spans="1:35" ht="42.75" customHeight="1">
      <c r="A103" s="3295"/>
      <c r="B103" s="2364" t="s">
        <v>1431</v>
      </c>
      <c r="C103" s="2367">
        <f ca="1">C20</f>
        <v>13908</v>
      </c>
      <c r="D103" s="2368">
        <f ca="1">D20</f>
        <v>12473</v>
      </c>
      <c r="E103" s="3330" t="s">
        <v>1432</v>
      </c>
      <c r="F103" s="3331"/>
      <c r="G103" s="1688" t="s">
        <v>1433</v>
      </c>
      <c r="H103" s="2375">
        <f>IF(D36="正常操作",H104+H105+H106,H105+H106)</f>
        <v>0</v>
      </c>
      <c r="I103" s="121"/>
    </row>
    <row r="104" spans="1:35" ht="18.75" customHeight="1">
      <c r="A104" s="3295" t="s">
        <v>1434</v>
      </c>
      <c r="B104" s="2369" t="s">
        <v>1429</v>
      </c>
      <c r="C104" s="2370">
        <f ca="1">H118</f>
        <v>11999</v>
      </c>
      <c r="D104" s="2371"/>
      <c r="E104" s="1555" t="s">
        <v>1435</v>
      </c>
      <c r="F104" s="1548"/>
      <c r="G104" s="1688" t="s">
        <v>1433</v>
      </c>
      <c r="H104" s="2376">
        <f>IF(D36="同一抵押权人同一抵押物续贷",C36&amp;"（续贷，未扣减，详见特别提示）",C36)</f>
        <v>0</v>
      </c>
      <c r="I104" s="121"/>
    </row>
    <row r="105" spans="1:35" ht="18.75" customHeight="1" thickBot="1">
      <c r="A105" s="3296"/>
      <c r="B105" s="2372" t="s">
        <v>1431</v>
      </c>
      <c r="C105" s="2373">
        <f ca="1">I118</f>
        <v>13191</v>
      </c>
      <c r="D105" s="2374"/>
      <c r="E105" s="1555" t="s">
        <v>1436</v>
      </c>
      <c r="F105" s="1548"/>
      <c r="G105" s="1688" t="s">
        <v>1433</v>
      </c>
      <c r="H105" s="2377">
        <f>C37</f>
        <v>0</v>
      </c>
      <c r="I105" s="121"/>
    </row>
    <row r="106" spans="1:35" ht="18.75" customHeight="1">
      <c r="A106" s="646" t="s">
        <v>1437</v>
      </c>
      <c r="B106" s="646"/>
      <c r="C106" s="646"/>
      <c r="D106" s="646"/>
      <c r="E106" s="1689" t="s">
        <v>1438</v>
      </c>
      <c r="F106" s="1548"/>
      <c r="G106" s="1688" t="s">
        <v>1433</v>
      </c>
      <c r="H106" s="2377">
        <f>C38</f>
        <v>0</v>
      </c>
      <c r="I106" s="121"/>
    </row>
    <row r="107" spans="1:35" ht="18.75" customHeight="1">
      <c r="A107" s="121"/>
      <c r="B107" s="121"/>
      <c r="C107" s="121"/>
      <c r="D107" s="121"/>
      <c r="E107" s="3292" t="str">
        <f>IF(项目基本情况!E8="已注销","——","3.房地产抵押价值")</f>
        <v>3.房地产抵押价值</v>
      </c>
      <c r="F107" s="3293"/>
      <c r="G107" s="1687" t="s">
        <v>1429</v>
      </c>
      <c r="H107" s="2375">
        <f ca="1">IF(E107="——","——",H101-H103)</f>
        <v>11999</v>
      </c>
      <c r="I107" s="121"/>
    </row>
    <row r="108" spans="1:35" ht="18.75" customHeight="1">
      <c r="A108" s="121"/>
      <c r="B108" s="121"/>
      <c r="C108" s="121"/>
      <c r="D108" s="121"/>
      <c r="E108" s="3292"/>
      <c r="F108" s="3293"/>
      <c r="G108" s="1687" t="s">
        <v>1431</v>
      </c>
      <c r="H108" s="2335">
        <f ca="1">IF(H107=H101,H102,ROUND(H107*10000/'数据-汇总表'!E3,0))</f>
        <v>13191</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1429</v>
      </c>
      <c r="H109" s="2378" t="str">
        <f>IF(E109="——","——",H101-H105-H106)</f>
        <v>——</v>
      </c>
      <c r="I109" s="121"/>
    </row>
    <row r="110" spans="1:35" ht="18.75" customHeight="1">
      <c r="A110" s="121"/>
      <c r="B110" s="121"/>
      <c r="C110" s="121"/>
      <c r="D110" s="121"/>
      <c r="E110" s="3292"/>
      <c r="F110" s="3293"/>
      <c r="G110" s="1687" t="s">
        <v>1431</v>
      </c>
      <c r="H110" s="2335"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7" t="s">
        <v>1429</v>
      </c>
      <c r="H111" s="2375" t="str">
        <f>IF(E111="——","——",N59)</f>
        <v>——</v>
      </c>
      <c r="I111" s="121"/>
    </row>
    <row r="112" spans="1:35" ht="18.75" customHeight="1" thickBot="1">
      <c r="A112" s="121"/>
      <c r="B112" s="121"/>
      <c r="C112" s="121"/>
      <c r="D112" s="121"/>
      <c r="E112" s="3325"/>
      <c r="F112" s="3326"/>
      <c r="G112" s="1690" t="s">
        <v>1431</v>
      </c>
      <c r="H112" s="2379" t="str">
        <f>IF(E111="——","——",N61)</f>
        <v>——</v>
      </c>
      <c r="I112" s="121"/>
    </row>
    <row r="113" spans="1:27" ht="18.75" customHeight="1">
      <c r="A113" s="121"/>
      <c r="B113" s="121"/>
      <c r="C113" s="121"/>
      <c r="D113" s="121"/>
      <c r="E113" s="3297" t="s">
        <v>1437</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1439</v>
      </c>
      <c r="B115" s="3308"/>
      <c r="C115" s="3308"/>
      <c r="D115" s="3308"/>
      <c r="E115" s="3308"/>
      <c r="F115" s="3308"/>
      <c r="G115" s="3308"/>
      <c r="H115" s="3308"/>
      <c r="I115" s="3309"/>
    </row>
    <row r="116" spans="1:27" ht="27" customHeight="1">
      <c r="A116" s="3263" t="s">
        <v>1440</v>
      </c>
      <c r="B116" s="3298" t="s">
        <v>1441</v>
      </c>
      <c r="C116" s="3298" t="s">
        <v>1442</v>
      </c>
      <c r="D116" s="3311" t="s">
        <v>1443</v>
      </c>
      <c r="E116" s="3312"/>
      <c r="F116" s="3306" t="s">
        <v>1444</v>
      </c>
      <c r="G116" s="3306"/>
      <c r="H116" s="3263" t="s">
        <v>1445</v>
      </c>
      <c r="I116" s="3263"/>
    </row>
    <row r="117" spans="1:27" ht="18.75" customHeight="1">
      <c r="A117" s="3263"/>
      <c r="B117" s="3299"/>
      <c r="C117" s="3299"/>
      <c r="D117" s="2150" t="s">
        <v>1446</v>
      </c>
      <c r="E117" s="2150" t="s">
        <v>1447</v>
      </c>
      <c r="F117" s="2150" t="s">
        <v>1446</v>
      </c>
      <c r="G117" s="2150" t="s">
        <v>1448</v>
      </c>
      <c r="H117" s="2150" t="s">
        <v>1446</v>
      </c>
      <c r="I117" s="2150" t="s">
        <v>1448</v>
      </c>
    </row>
    <row r="118" spans="1:27" ht="24.75" customHeight="1">
      <c r="A118" s="2380" t="str">
        <f>项目基本情况!S2</f>
        <v>北京市昌平区百葛路9号院6号楼房地产</v>
      </c>
      <c r="B118" s="2150">
        <f>M18</f>
        <v>9096.41</v>
      </c>
      <c r="C118" s="2150">
        <f>M19</f>
        <v>0</v>
      </c>
      <c r="D118" s="2150">
        <f ca="1">ROUND(IF(D32="总价",C34,E118*B118/10000),0)</f>
        <v>5136</v>
      </c>
      <c r="E118" s="2150">
        <f ca="1">ROUND(IF(C33="自定义",IF(D32="楼面单价",C34,D118*10000/B118),I118-G118),0)</f>
        <v>5646</v>
      </c>
      <c r="F118" s="2150">
        <f ca="1">ROUND(IF(D32="总价",C35,G118*B118/10000),0)</f>
        <v>6863</v>
      </c>
      <c r="G118" s="2150">
        <f ca="1">ROUND(IF(D32="楼面单价",C35,F118*10000/B118),0)</f>
        <v>7545</v>
      </c>
      <c r="H118" s="2150">
        <f ca="1">ROUND(IF(D32="总价",C32,I118*B118/10000),0)</f>
        <v>11999</v>
      </c>
      <c r="I118" s="2150">
        <f ca="1">ROUND(IF(D32="楼面单价",C32,H118*10000/B118),0)</f>
        <v>13191</v>
      </c>
    </row>
    <row r="119" spans="1:27" ht="18.75" customHeight="1">
      <c r="A119" s="3263" t="s">
        <v>1449</v>
      </c>
      <c r="B119" s="3263"/>
      <c r="C119" s="3263"/>
      <c r="D119" s="3303" t="str">
        <f ca="1">NUMBERSTRING(INT(D118*10000),2)&amp;"元整"</f>
        <v>伍仟壹佰叁拾陆万元整</v>
      </c>
      <c r="E119" s="3305"/>
      <c r="F119" s="3303" t="str">
        <f ca="1">NUMBERSTRING(INT(F118*10000),2)&amp;"元整"</f>
        <v>陆仟捌佰陆拾叁万元整</v>
      </c>
      <c r="G119" s="3305"/>
      <c r="H119" s="3303" t="str">
        <f ca="1">NUMBERSTRING(INT(H118*10000),2)&amp;"元整"</f>
        <v>壹亿壹仟玖佰玖拾玖万元整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1449</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11999</v>
      </c>
      <c r="E122" s="3328"/>
      <c r="F122" s="3328"/>
      <c r="G122" s="3328"/>
      <c r="H122" s="3328"/>
      <c r="I122" s="3329"/>
      <c r="AA122" s="684"/>
    </row>
    <row r="123" spans="1:27" ht="18.75" customHeight="1">
      <c r="A123" s="3263" t="s">
        <v>1449</v>
      </c>
      <c r="B123" s="3263"/>
      <c r="C123" s="3263"/>
      <c r="D123" s="3303" t="str">
        <f ca="1">NUMBERSTRING(INT(D122*10000),2)&amp;"元整"</f>
        <v>壹亿壹仟玖佰玖拾玖万元整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1449</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7" t="str">
        <f>H111</f>
        <v>——</v>
      </c>
      <c r="E126" s="3328"/>
      <c r="F126" s="3328"/>
      <c r="G126" s="3328"/>
      <c r="H126" s="3328"/>
      <c r="I126" s="3329"/>
      <c r="AA126" s="684"/>
    </row>
    <row r="127" spans="1:27" ht="18.75" customHeight="1">
      <c r="A127" s="3263" t="s">
        <v>1449</v>
      </c>
      <c r="B127" s="3263"/>
      <c r="C127" s="3263"/>
      <c r="D127" s="3303" t="e">
        <f>NUMBERSTRING(INT(D126*10000),2)&amp;"元整"</f>
        <v>#VALUE!</v>
      </c>
      <c r="E127" s="3304"/>
      <c r="F127" s="3304"/>
      <c r="G127" s="3304"/>
      <c r="H127" s="3304"/>
      <c r="I127" s="3305"/>
      <c r="AA127" s="684"/>
    </row>
    <row r="128" spans="1:27" ht="21.75" customHeight="1">
      <c r="A128" s="3310" t="s">
        <v>1450</v>
      </c>
      <c r="B128" s="3310"/>
      <c r="C128" s="3310"/>
      <c r="D128" s="3310"/>
      <c r="E128" s="3310"/>
      <c r="F128" s="3310"/>
      <c r="G128" s="3310"/>
      <c r="H128" s="3310"/>
      <c r="I128" s="3310"/>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北京市昌平区百葛路9号院6号楼房地产抵押价值预评估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FFC000"/>
    <pageSetUpPr fitToPage="1"/>
  </sheetPr>
  <dimension ref="A1:AC113"/>
  <sheetViews>
    <sheetView view="pageBreakPreview" topLeftCell="A5" zoomScale="80" zoomScaleNormal="60" zoomScaleSheetLayoutView="80" workbookViewId="0">
      <selection activeCell="D93" sqref="D9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1823</v>
      </c>
      <c r="C1" s="1141" t="s">
        <v>1659</v>
      </c>
      <c r="D1" s="1142" t="s">
        <v>3397</v>
      </c>
      <c r="E1" s="3127" t="s">
        <v>3451</v>
      </c>
      <c r="F1" s="1735" t="s">
        <v>3446</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f>IF(E1="项目模式",IF(C2="——",ROUND(C43*D3/10000,0),ROUND(C43*D3/10000,0)-D2),IF(E1="单套模式",IF(C2="——",ROUND(C43*D3/10000,4),ROUND(C43*D3/10000,4)-D2)))</f>
        <v>12651</v>
      </c>
      <c r="C2" s="1737" t="s">
        <v>43</v>
      </c>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13908</v>
      </c>
      <c r="C3" s="344" t="s">
        <v>1765</v>
      </c>
      <c r="D3" s="343">
        <f>IF(D1="",'数据-汇总表'!E3,SUMIF('数据-汇总表'!$C19:$C33,D1,'数据-汇总表'!$E19:$E33))</f>
        <v>9096.41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356" t="s">
        <v>1767</v>
      </c>
      <c r="D4" s="3357"/>
      <c r="E4" s="3358" t="s">
        <v>1768</v>
      </c>
      <c r="F4" s="3359"/>
      <c r="G4" s="3356" t="s">
        <v>1769</v>
      </c>
      <c r="H4" s="3357"/>
      <c r="I4" s="3356" t="s">
        <v>1770</v>
      </c>
      <c r="J4" s="3357"/>
      <c r="K4" s="537" t="s">
        <v>1771</v>
      </c>
      <c r="L4" s="860"/>
      <c r="M4" s="861"/>
      <c r="N4" s="861"/>
      <c r="O4" s="861"/>
      <c r="P4" s="3360" t="s">
        <v>1772</v>
      </c>
      <c r="Q4" s="3361"/>
      <c r="R4" s="3366" t="s">
        <v>1768</v>
      </c>
      <c r="S4" s="3367"/>
      <c r="T4" s="3366" t="s">
        <v>1769</v>
      </c>
      <c r="U4" s="3367"/>
      <c r="V4" s="3344" t="s">
        <v>1770</v>
      </c>
      <c r="W4" s="3344"/>
      <c r="X4" s="1265"/>
      <c r="Y4" s="3366" t="s">
        <v>1772</v>
      </c>
      <c r="Z4" s="3367"/>
      <c r="AA4" s="3353" t="s">
        <v>1768</v>
      </c>
      <c r="AB4" s="3354" t="s">
        <v>1769</v>
      </c>
      <c r="AC4" s="3353" t="s">
        <v>1770</v>
      </c>
    </row>
    <row r="5" spans="1:29" ht="15">
      <c r="A5" s="348"/>
      <c r="B5" s="349"/>
      <c r="C5" s="3379" t="s">
        <v>1670</v>
      </c>
      <c r="D5" s="3375"/>
      <c r="E5" s="3383" t="s">
        <v>3428</v>
      </c>
      <c r="F5" s="3384"/>
      <c r="G5" s="3374" t="s">
        <v>3428</v>
      </c>
      <c r="H5" s="3375"/>
      <c r="I5" s="3374" t="s">
        <v>3428</v>
      </c>
      <c r="J5" s="3375"/>
      <c r="K5" s="537"/>
      <c r="L5" s="860"/>
      <c r="M5" s="861"/>
      <c r="N5" s="861"/>
      <c r="O5" s="861"/>
      <c r="P5" s="3362"/>
      <c r="Q5" s="3363"/>
      <c r="R5" s="3368"/>
      <c r="S5" s="3369"/>
      <c r="T5" s="3368"/>
      <c r="U5" s="3369"/>
      <c r="V5" s="3344"/>
      <c r="W5" s="3344"/>
      <c r="X5" s="1265"/>
      <c r="Y5" s="3368"/>
      <c r="Z5" s="3369"/>
      <c r="AA5" s="3354"/>
      <c r="AB5" s="3354"/>
      <c r="AC5" s="3354"/>
    </row>
    <row r="6" spans="1:29" ht="15.75" thickBot="1">
      <c r="A6" s="350"/>
      <c r="B6" s="351"/>
      <c r="C6" s="3380" t="s">
        <v>1674</v>
      </c>
      <c r="D6" s="3373"/>
      <c r="E6" s="3381" t="s">
        <v>3429</v>
      </c>
      <c r="F6" s="3382"/>
      <c r="G6" s="3372" t="s">
        <v>3429</v>
      </c>
      <c r="H6" s="3373"/>
      <c r="I6" s="3372" t="s">
        <v>3430</v>
      </c>
      <c r="J6" s="3373"/>
      <c r="K6" s="537" t="s">
        <v>1675</v>
      </c>
      <c r="L6" s="860"/>
      <c r="M6" s="861"/>
      <c r="N6" s="861"/>
      <c r="O6" s="861"/>
      <c r="P6" s="3364"/>
      <c r="Q6" s="3365"/>
      <c r="R6" s="3368"/>
      <c r="S6" s="3369"/>
      <c r="T6" s="3370"/>
      <c r="U6" s="3371"/>
      <c r="V6" s="3344"/>
      <c r="W6" s="3344"/>
      <c r="X6" s="1265"/>
      <c r="Y6" s="3370"/>
      <c r="Z6" s="3371"/>
      <c r="AA6" s="3355"/>
      <c r="AB6" s="3355"/>
      <c r="AC6" s="3355"/>
    </row>
    <row r="7" spans="1:29" s="102" customFormat="1" ht="15.75" thickBot="1">
      <c r="A7" s="352" t="s">
        <v>1676</v>
      </c>
      <c r="B7" s="353"/>
      <c r="C7" s="354">
        <f>'数据-取费表'!B2</f>
        <v>45355</v>
      </c>
      <c r="D7" s="355">
        <v>100</v>
      </c>
      <c r="E7" s="356">
        <v>45323</v>
      </c>
      <c r="F7" s="357">
        <f>SUMIF(52:52,YEAR(E7)&amp;"-"&amp;MONTH(E7),53:53)</f>
        <v>100</v>
      </c>
      <c r="G7" s="356">
        <v>45323</v>
      </c>
      <c r="H7" s="355">
        <f>SUMIF(52:52,YEAR(G7)&amp;"-"&amp;MONTH(G7),53:53)</f>
        <v>100</v>
      </c>
      <c r="I7" s="356">
        <v>45323</v>
      </c>
      <c r="J7" s="355">
        <f>SUMIF(52:52,YEAR(I7)&amp;"-"&amp;MONTH(I7),53:53)</f>
        <v>100</v>
      </c>
      <c r="K7" s="38"/>
      <c r="L7" s="862"/>
      <c r="M7" s="863"/>
      <c r="N7" s="863"/>
      <c r="O7" s="863"/>
      <c r="P7" s="3376" t="s">
        <v>1677</v>
      </c>
      <c r="Q7" s="3378"/>
      <c r="R7" s="664" t="s">
        <v>14</v>
      </c>
      <c r="S7" s="665">
        <f t="shared" ref="S7:S15" si="0">F7</f>
        <v>100</v>
      </c>
      <c r="T7" s="664" t="s">
        <v>14</v>
      </c>
      <c r="U7" s="665">
        <f t="shared" ref="U7:U15" si="1">H7</f>
        <v>100</v>
      </c>
      <c r="V7" s="664" t="s">
        <v>14</v>
      </c>
      <c r="W7" s="665">
        <f t="shared" ref="W7:W15" si="2">J7</f>
        <v>100</v>
      </c>
      <c r="X7" s="666"/>
      <c r="Y7" s="3376" t="s">
        <v>1677</v>
      </c>
      <c r="Z7" s="3377"/>
      <c r="AA7" s="50">
        <f>D7/F7</f>
        <v>1</v>
      </c>
      <c r="AB7" s="50">
        <f>D7/H7</f>
        <v>1</v>
      </c>
      <c r="AC7" s="50">
        <f>D7/J7</f>
        <v>1</v>
      </c>
    </row>
    <row r="8" spans="1:29" s="102" customFormat="1" ht="15.75" thickBot="1">
      <c r="A8" s="352" t="s">
        <v>1678</v>
      </c>
      <c r="B8" s="353"/>
      <c r="C8" s="358" t="s">
        <v>3431</v>
      </c>
      <c r="D8" s="355">
        <v>100</v>
      </c>
      <c r="E8" s="358" t="s">
        <v>3424</v>
      </c>
      <c r="F8" s="357">
        <f>SUMIF(55:55,E8,56:56)-SUMIF(55:55,C8,56:56)+100</f>
        <v>105</v>
      </c>
      <c r="G8" s="358" t="s">
        <v>3424</v>
      </c>
      <c r="H8" s="355">
        <f>SUMIF(55:55,G8,56:56)-SUMIF(55:55,C8,56:56)+100</f>
        <v>105</v>
      </c>
      <c r="I8" s="358" t="s">
        <v>3424</v>
      </c>
      <c r="J8" s="355">
        <f>SUMIF(55:55,I8,56:56)-SUMIF(55:55,C8,56:56)+100</f>
        <v>105</v>
      </c>
      <c r="K8" s="38"/>
      <c r="L8" s="862"/>
      <c r="M8" s="863"/>
      <c r="N8" s="863"/>
      <c r="O8" s="863"/>
      <c r="P8" s="3376" t="s">
        <v>1680</v>
      </c>
      <c r="Q8" s="3377"/>
      <c r="R8" s="664" t="s">
        <v>14</v>
      </c>
      <c r="S8" s="665">
        <f t="shared" si="0"/>
        <v>105</v>
      </c>
      <c r="T8" s="664" t="s">
        <v>14</v>
      </c>
      <c r="U8" s="665">
        <f t="shared" si="1"/>
        <v>105</v>
      </c>
      <c r="V8" s="664" t="s">
        <v>14</v>
      </c>
      <c r="W8" s="665">
        <f t="shared" si="2"/>
        <v>105</v>
      </c>
      <c r="X8" s="666"/>
      <c r="Y8" s="3376" t="s">
        <v>1680</v>
      </c>
      <c r="Z8" s="3377"/>
      <c r="AA8" s="50">
        <f t="shared" ref="AA8:AA40" si="3">D8/F8</f>
        <v>0.95238095238095233</v>
      </c>
      <c r="AB8" s="50">
        <f t="shared" ref="AB8:AB40" si="4">D8/H8</f>
        <v>0.95238095238095233</v>
      </c>
      <c r="AC8" s="50">
        <f t="shared" ref="AC8:AC40" si="5">D8/J8</f>
        <v>0.95238095238095233</v>
      </c>
    </row>
    <row r="9" spans="1:29" s="102" customFormat="1" ht="15">
      <c r="A9" s="359" t="s">
        <v>1681</v>
      </c>
      <c r="B9" s="60" t="s">
        <v>1682</v>
      </c>
      <c r="C9" s="3150" t="s">
        <v>3432</v>
      </c>
      <c r="D9" s="59">
        <v>100</v>
      </c>
      <c r="E9" s="362" t="s">
        <v>3</v>
      </c>
      <c r="F9" s="59">
        <f>SUMIF(57:57,E9,58:58)-SUMIF(57:57,C9,58:58)+100</f>
        <v>95</v>
      </c>
      <c r="G9" s="361" t="s">
        <v>3</v>
      </c>
      <c r="H9" s="59">
        <f>SUMIF(57:57,G9,58:58)-SUMIF(57:57,C9,58:58)+100</f>
        <v>95</v>
      </c>
      <c r="I9" s="361" t="s">
        <v>3</v>
      </c>
      <c r="J9" s="59">
        <f>SUMIF(57:57,I9,58:58)-SUMIF(57:57,C9,58:58)+100</f>
        <v>95</v>
      </c>
      <c r="K9" s="38"/>
      <c r="L9" s="862"/>
      <c r="M9" s="863"/>
      <c r="N9" s="863"/>
      <c r="O9" s="864"/>
      <c r="P9" s="3343" t="s">
        <v>1683</v>
      </c>
      <c r="Q9" s="530" t="str">
        <f t="shared" ref="Q9:Q15" si="6">B9</f>
        <v>用途</v>
      </c>
      <c r="R9" s="664" t="s">
        <v>14</v>
      </c>
      <c r="S9" s="665">
        <f t="shared" si="0"/>
        <v>95</v>
      </c>
      <c r="T9" s="664" t="s">
        <v>14</v>
      </c>
      <c r="U9" s="665">
        <f t="shared" si="1"/>
        <v>95</v>
      </c>
      <c r="V9" s="664" t="s">
        <v>14</v>
      </c>
      <c r="W9" s="665">
        <f t="shared" si="2"/>
        <v>95</v>
      </c>
      <c r="X9" s="666"/>
      <c r="Y9" s="3250" t="s">
        <v>1684</v>
      </c>
      <c r="Z9" s="50" t="str">
        <f t="shared" ref="Z9:Z15" si="7">Q9</f>
        <v>用途</v>
      </c>
      <c r="AA9" s="50">
        <f t="shared" si="3"/>
        <v>1.0526315789473684</v>
      </c>
      <c r="AB9" s="50">
        <f t="shared" si="4"/>
        <v>1.0526315789473684</v>
      </c>
      <c r="AC9" s="50">
        <f t="shared" si="5"/>
        <v>1.0526315789473684</v>
      </c>
    </row>
    <row r="10" spans="1:29" s="366" customFormat="1" ht="27">
      <c r="A10" s="363"/>
      <c r="B10" s="364" t="s">
        <v>1685</v>
      </c>
      <c r="C10" s="3128" t="s">
        <v>3444</v>
      </c>
      <c r="D10" s="119">
        <v>100</v>
      </c>
      <c r="E10" s="3128" t="s">
        <v>3425</v>
      </c>
      <c r="F10" s="119">
        <f>SUMIF(59:59,E10,60:60)-SUMIF(59:59,C10,60:60)+100</f>
        <v>100</v>
      </c>
      <c r="G10" s="3129" t="s">
        <v>3425</v>
      </c>
      <c r="H10" s="119">
        <f>SUMIF(59:59,G10,60:60)-SUMIF(59:59,C10,60:60)+100</f>
        <v>100</v>
      </c>
      <c r="I10" s="3128" t="s">
        <v>3425</v>
      </c>
      <c r="J10" s="119">
        <f>SUMIF(59:59,I10,60:60)-SUMIF(59:59,C10,60:60)+100</f>
        <v>100</v>
      </c>
      <c r="K10" s="38"/>
      <c r="L10" s="865"/>
      <c r="M10" s="866"/>
      <c r="N10" s="866"/>
      <c r="O10" s="867"/>
      <c r="P10" s="3343"/>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75" thickBot="1">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3"/>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3"/>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3"/>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75" hidden="1"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3"/>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15">
      <c r="A15" s="379" t="s">
        <v>1687</v>
      </c>
      <c r="B15" s="58" t="s">
        <v>1824</v>
      </c>
      <c r="C15" s="1819" t="str">
        <f>估价对象房地状况!G3</f>
        <v>较好</v>
      </c>
      <c r="D15" s="380">
        <v>100</v>
      </c>
      <c r="E15" s="381" t="s">
        <v>3391</v>
      </c>
      <c r="F15" s="382">
        <f>SUMIF(70:70,E16,71:71)-SUMIF(70:70,C16,71:71)+100</f>
        <v>100</v>
      </c>
      <c r="G15" s="381" t="s">
        <v>3391</v>
      </c>
      <c r="H15" s="380">
        <f>SUMIF(70:70,G16,71:71)-SUMIF(70:70,C16,71:71)+100</f>
        <v>100</v>
      </c>
      <c r="I15" s="381" t="s">
        <v>3391</v>
      </c>
      <c r="J15" s="380">
        <f>SUMIF(70:70,I16,71:71)-SUMIF(70:70,C16,71:71)+100</f>
        <v>100</v>
      </c>
      <c r="K15" s="540">
        <v>2</v>
      </c>
      <c r="L15" s="870"/>
      <c r="M15" s="861"/>
      <c r="N15" s="861"/>
      <c r="O15" s="869"/>
      <c r="P15" s="3348" t="s">
        <v>1688</v>
      </c>
      <c r="Q15" s="1263" t="str">
        <f t="shared" si="6"/>
        <v>产业集聚程度</v>
      </c>
      <c r="R15" s="667" t="s">
        <v>14</v>
      </c>
      <c r="S15" s="668">
        <f t="shared" si="0"/>
        <v>100</v>
      </c>
      <c r="T15" s="667" t="s">
        <v>14</v>
      </c>
      <c r="U15" s="668">
        <f t="shared" si="1"/>
        <v>100</v>
      </c>
      <c r="V15" s="667" t="s">
        <v>14</v>
      </c>
      <c r="W15" s="668">
        <f t="shared" si="2"/>
        <v>100</v>
      </c>
      <c r="X15" s="1265"/>
      <c r="Y15" s="3348" t="s">
        <v>1688</v>
      </c>
      <c r="Z15" s="1264" t="str">
        <f t="shared" si="7"/>
        <v>产业集聚程度</v>
      </c>
      <c r="AA15" s="1264">
        <f t="shared" si="3"/>
        <v>1</v>
      </c>
      <c r="AB15" s="1264">
        <f t="shared" si="4"/>
        <v>1</v>
      </c>
      <c r="AC15" s="1264">
        <f t="shared" si="5"/>
        <v>1</v>
      </c>
    </row>
    <row r="16" spans="1:29" ht="15.75" thickBot="1">
      <c r="A16" s="367"/>
      <c r="B16" s="385"/>
      <c r="C16" s="386" t="s">
        <v>3391</v>
      </c>
      <c r="D16" s="387"/>
      <c r="E16" s="386" t="s">
        <v>3391</v>
      </c>
      <c r="F16" s="388"/>
      <c r="G16" s="386" t="s">
        <v>3391</v>
      </c>
      <c r="H16" s="389"/>
      <c r="I16" s="386" t="s">
        <v>3391</v>
      </c>
      <c r="J16" s="387"/>
      <c r="K16" s="541"/>
      <c r="L16" s="870"/>
      <c r="M16" s="861"/>
      <c r="N16" s="861"/>
      <c r="O16" s="869"/>
      <c r="P16" s="3349"/>
      <c r="Q16" s="1263"/>
      <c r="R16" s="667"/>
      <c r="S16" s="668"/>
      <c r="T16" s="667"/>
      <c r="U16" s="668"/>
      <c r="V16" s="667"/>
      <c r="W16" s="668"/>
      <c r="X16" s="1265"/>
      <c r="Y16" s="3349"/>
      <c r="Z16" s="1264"/>
      <c r="AA16" s="1264">
        <v>1</v>
      </c>
      <c r="AB16" s="1264">
        <v>1</v>
      </c>
      <c r="AC16" s="1264">
        <v>1</v>
      </c>
    </row>
    <row r="17" spans="1:29" ht="15">
      <c r="A17" s="367"/>
      <c r="B17" s="390" t="s">
        <v>1256</v>
      </c>
      <c r="C17" s="1754" t="str">
        <f>估价对象房地状况!G4</f>
        <v>一般</v>
      </c>
      <c r="D17" s="389">
        <v>100</v>
      </c>
      <c r="E17" s="381" t="s">
        <v>3391</v>
      </c>
      <c r="F17" s="392">
        <f>SUMIF(72:72,E18,73:73)-SUMIF(72:72,C18,73:73)+100</f>
        <v>102</v>
      </c>
      <c r="G17" s="381" t="s">
        <v>3391</v>
      </c>
      <c r="H17" s="394">
        <f>SUMIF(72:72,G18,73:73)-SUMIF(72:72,C18,73:73)+100</f>
        <v>102</v>
      </c>
      <c r="I17" s="381" t="s">
        <v>3391</v>
      </c>
      <c r="J17" s="394">
        <f>SUMIF(72:72,I18,73:73)-SUMIF(72:72,C18,73:73)+100</f>
        <v>102</v>
      </c>
      <c r="K17" s="540">
        <v>2</v>
      </c>
      <c r="L17" s="870"/>
      <c r="M17" s="861"/>
      <c r="N17" s="861"/>
      <c r="O17" s="869"/>
      <c r="P17" s="3349"/>
      <c r="Q17" s="1263" t="str">
        <f>B17</f>
        <v>交通便捷度</v>
      </c>
      <c r="R17" s="667" t="s">
        <v>14</v>
      </c>
      <c r="S17" s="668">
        <f>F17</f>
        <v>102</v>
      </c>
      <c r="T17" s="667" t="s">
        <v>14</v>
      </c>
      <c r="U17" s="668">
        <f>H17</f>
        <v>102</v>
      </c>
      <c r="V17" s="667" t="s">
        <v>14</v>
      </c>
      <c r="W17" s="668">
        <f>J17</f>
        <v>102</v>
      </c>
      <c r="X17" s="1265"/>
      <c r="Y17" s="3349"/>
      <c r="Z17" s="1264" t="str">
        <f>Q17</f>
        <v>交通便捷度</v>
      </c>
      <c r="AA17" s="1264">
        <f t="shared" si="3"/>
        <v>0.98039215686274506</v>
      </c>
      <c r="AB17" s="1264">
        <f t="shared" si="4"/>
        <v>0.98039215686274506</v>
      </c>
      <c r="AC17" s="1264">
        <f t="shared" si="5"/>
        <v>0.98039215686274506</v>
      </c>
    </row>
    <row r="18" spans="1:29" ht="15.75" thickBot="1">
      <c r="A18" s="367"/>
      <c r="B18" s="395"/>
      <c r="C18" s="1755" t="s">
        <v>3392</v>
      </c>
      <c r="D18" s="389"/>
      <c r="E18" s="1757" t="s">
        <v>3391</v>
      </c>
      <c r="F18" s="392"/>
      <c r="G18" s="1756" t="s">
        <v>3391</v>
      </c>
      <c r="H18" s="387"/>
      <c r="I18" s="1757" t="s">
        <v>3391</v>
      </c>
      <c r="J18" s="387"/>
      <c r="K18" s="541"/>
      <c r="L18" s="870"/>
      <c r="M18" s="861"/>
      <c r="N18" s="861"/>
      <c r="O18" s="869"/>
      <c r="P18" s="3349"/>
      <c r="Q18" s="1263"/>
      <c r="R18" s="667"/>
      <c r="S18" s="668"/>
      <c r="T18" s="667"/>
      <c r="U18" s="668"/>
      <c r="V18" s="667"/>
      <c r="W18" s="668"/>
      <c r="X18" s="1265"/>
      <c r="Y18" s="3349"/>
      <c r="Z18" s="1264"/>
      <c r="AA18" s="1264">
        <v>1</v>
      </c>
      <c r="AB18" s="1264">
        <v>1</v>
      </c>
      <c r="AC18" s="1264">
        <v>1</v>
      </c>
    </row>
    <row r="19" spans="1:29" ht="15">
      <c r="A19" s="367"/>
      <c r="B19" s="390" t="s">
        <v>1809</v>
      </c>
      <c r="C19" s="1754" t="str">
        <f>估价对象房地状况!G5</f>
        <v>一般</v>
      </c>
      <c r="D19" s="394">
        <v>100</v>
      </c>
      <c r="E19" s="381" t="s">
        <v>3391</v>
      </c>
      <c r="F19" s="397">
        <f>SUMIF(74:74,E20,75:75)-SUMIF(74:74,C20,75:75)+100</f>
        <v>102</v>
      </c>
      <c r="G19" s="381" t="s">
        <v>3391</v>
      </c>
      <c r="H19" s="389">
        <f>SUMIF(74:74,G20,75:75)-SUMIF(74:74,C20,75:75)+100</f>
        <v>102</v>
      </c>
      <c r="I19" s="381" t="s">
        <v>3391</v>
      </c>
      <c r="J19" s="389">
        <f>SUMIF(74:74,I20,75:75)-SUMIF(74:74,C20,75:75)+100</f>
        <v>102</v>
      </c>
      <c r="K19" s="540">
        <v>2</v>
      </c>
      <c r="L19" s="870"/>
      <c r="M19" s="861"/>
      <c r="N19" s="861"/>
      <c r="O19" s="869"/>
      <c r="P19" s="3349"/>
      <c r="Q19" s="1263" t="str">
        <f>B19</f>
        <v>公共配套设施</v>
      </c>
      <c r="R19" s="667" t="s">
        <v>14</v>
      </c>
      <c r="S19" s="668">
        <f>F19</f>
        <v>102</v>
      </c>
      <c r="T19" s="667" t="s">
        <v>14</v>
      </c>
      <c r="U19" s="668">
        <f>H19</f>
        <v>102</v>
      </c>
      <c r="V19" s="667" t="s">
        <v>14</v>
      </c>
      <c r="W19" s="668">
        <f>J19</f>
        <v>102</v>
      </c>
      <c r="X19" s="1265"/>
      <c r="Y19" s="3349"/>
      <c r="Z19" s="1264" t="str">
        <f>Q19</f>
        <v>公共配套设施</v>
      </c>
      <c r="AA19" s="1264">
        <f t="shared" si="3"/>
        <v>0.98039215686274506</v>
      </c>
      <c r="AB19" s="1264">
        <f t="shared" si="4"/>
        <v>0.98039215686274506</v>
      </c>
      <c r="AC19" s="1264">
        <f t="shared" si="5"/>
        <v>0.98039215686274506</v>
      </c>
    </row>
    <row r="20" spans="1:29" ht="15">
      <c r="A20" s="367"/>
      <c r="B20" s="395"/>
      <c r="C20" s="386" t="s">
        <v>3392</v>
      </c>
      <c r="D20" s="387"/>
      <c r="E20" s="1752" t="s">
        <v>3391</v>
      </c>
      <c r="F20" s="388"/>
      <c r="G20" s="1751" t="s">
        <v>3391</v>
      </c>
      <c r="H20" s="387"/>
      <c r="I20" s="1752" t="s">
        <v>3391</v>
      </c>
      <c r="J20" s="387"/>
      <c r="K20" s="541"/>
      <c r="L20" s="870"/>
      <c r="M20" s="861"/>
      <c r="N20" s="861"/>
      <c r="O20" s="869"/>
      <c r="P20" s="3349"/>
      <c r="Q20" s="1263"/>
      <c r="R20" s="667"/>
      <c r="S20" s="668"/>
      <c r="T20" s="667"/>
      <c r="U20" s="668"/>
      <c r="V20" s="667"/>
      <c r="W20" s="668"/>
      <c r="X20" s="1265"/>
      <c r="Y20" s="3349"/>
      <c r="Z20" s="1264"/>
      <c r="AA20" s="1264">
        <v>1</v>
      </c>
      <c r="AB20" s="1264">
        <v>1</v>
      </c>
      <c r="AC20" s="1264">
        <v>1</v>
      </c>
    </row>
    <row r="21" spans="1:29" ht="15">
      <c r="A21" s="367"/>
      <c r="B21" s="586" t="s">
        <v>1810</v>
      </c>
      <c r="C21" s="1754" t="str">
        <f>估价对象房地状况!G6</f>
        <v>七通</v>
      </c>
      <c r="D21" s="389">
        <v>100</v>
      </c>
      <c r="E21" s="396" t="s">
        <v>3410</v>
      </c>
      <c r="F21" s="397">
        <f>SUMIF(76:76,E22,77:77)-SUMIF(76:76,C22,77:77)+100</f>
        <v>100</v>
      </c>
      <c r="G21" s="396" t="s">
        <v>3410</v>
      </c>
      <c r="H21" s="389">
        <f>SUMIF(76:76,G22,77:77)-SUMIF(76:76,C22,77:77)+100</f>
        <v>100</v>
      </c>
      <c r="I21" s="396" t="s">
        <v>3410</v>
      </c>
      <c r="J21" s="389">
        <f>SUMIF(76:76,I22,77:77)-SUMIF(76:76,C22,77:77)+100</f>
        <v>100</v>
      </c>
      <c r="K21" s="540">
        <v>1</v>
      </c>
      <c r="L21" s="870"/>
      <c r="M21" s="861"/>
      <c r="N21" s="861"/>
      <c r="O21" s="869"/>
      <c r="P21" s="3349"/>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264">
        <f t="shared" ref="AC21" si="10">D21/J21</f>
        <v>1</v>
      </c>
    </row>
    <row r="22" spans="1:29" ht="15">
      <c r="A22" s="367"/>
      <c r="B22" s="586"/>
      <c r="C22" s="1755" t="s">
        <v>3410</v>
      </c>
      <c r="D22" s="387"/>
      <c r="E22" s="386" t="s">
        <v>3410</v>
      </c>
      <c r="F22" s="388"/>
      <c r="G22" s="386" t="s">
        <v>3410</v>
      </c>
      <c r="H22" s="387"/>
      <c r="I22" s="386" t="s">
        <v>3410</v>
      </c>
      <c r="J22" s="387"/>
      <c r="K22" s="1064"/>
      <c r="L22" s="870"/>
      <c r="M22" s="861"/>
      <c r="N22" s="861"/>
      <c r="O22" s="869"/>
      <c r="P22" s="3349"/>
      <c r="Q22" s="1263"/>
      <c r="R22" s="667"/>
      <c r="S22" s="668"/>
      <c r="T22" s="667"/>
      <c r="U22" s="668"/>
      <c r="V22" s="667"/>
      <c r="W22" s="668"/>
      <c r="X22" s="1265"/>
      <c r="Y22" s="3349"/>
      <c r="Z22" s="1264"/>
      <c r="AA22" s="1264">
        <v>1</v>
      </c>
      <c r="AB22" s="1264">
        <v>1</v>
      </c>
      <c r="AC22" s="1264">
        <v>1</v>
      </c>
    </row>
    <row r="23" spans="1:29" ht="15">
      <c r="A23" s="367"/>
      <c r="B23" s="390" t="s">
        <v>1811</v>
      </c>
      <c r="C23" s="1754" t="str">
        <f>估价对象房地状况!G7</f>
        <v>较好</v>
      </c>
      <c r="D23" s="389">
        <v>100</v>
      </c>
      <c r="E23" s="391" t="s">
        <v>3391</v>
      </c>
      <c r="F23" s="392">
        <f>SUMIF(78:78,E24,79:79)-SUMIF(78:78,C24,79:79)+100</f>
        <v>100</v>
      </c>
      <c r="G23" s="391" t="s">
        <v>3391</v>
      </c>
      <c r="H23" s="389">
        <f>SUMIF(78:78,G24,79:79)-SUMIF(78:78,C24,79:79)+100</f>
        <v>100</v>
      </c>
      <c r="I23" s="391" t="s">
        <v>3391</v>
      </c>
      <c r="J23" s="389">
        <f>SUMIF(78:78,I24,79:79)-SUMIF(78:78,C24,79:79)+100</f>
        <v>100</v>
      </c>
      <c r="K23" s="540">
        <v>2</v>
      </c>
      <c r="L23" s="870"/>
      <c r="M23" s="861"/>
      <c r="N23" s="861"/>
      <c r="O23" s="869"/>
      <c r="P23" s="3349"/>
      <c r="Q23" s="1263" t="str">
        <f>B23</f>
        <v>环境质量</v>
      </c>
      <c r="R23" s="667" t="s">
        <v>14</v>
      </c>
      <c r="S23" s="668">
        <f>F23</f>
        <v>100</v>
      </c>
      <c r="T23" s="667" t="s">
        <v>14</v>
      </c>
      <c r="U23" s="668">
        <f>H23</f>
        <v>100</v>
      </c>
      <c r="V23" s="667" t="s">
        <v>14</v>
      </c>
      <c r="W23" s="668">
        <f>J23</f>
        <v>100</v>
      </c>
      <c r="X23" s="1265"/>
      <c r="Y23" s="3349"/>
      <c r="Z23" s="1264" t="str">
        <f>Q23</f>
        <v>环境质量</v>
      </c>
      <c r="AA23" s="1264">
        <f t="shared" si="3"/>
        <v>1</v>
      </c>
      <c r="AB23" s="1264">
        <f t="shared" si="4"/>
        <v>1</v>
      </c>
      <c r="AC23" s="1264">
        <f t="shared" si="5"/>
        <v>1</v>
      </c>
    </row>
    <row r="24" spans="1:29" ht="15.75" thickBot="1">
      <c r="A24" s="367"/>
      <c r="B24" s="586"/>
      <c r="C24" s="386" t="s">
        <v>3391</v>
      </c>
      <c r="D24" s="387"/>
      <c r="E24" s="1752" t="s">
        <v>3391</v>
      </c>
      <c r="F24" s="388"/>
      <c r="G24" s="1751" t="s">
        <v>3391</v>
      </c>
      <c r="H24" s="387"/>
      <c r="I24" s="1752" t="s">
        <v>3391</v>
      </c>
      <c r="J24" s="387"/>
      <c r="K24" s="541"/>
      <c r="L24" s="870"/>
      <c r="M24" s="861"/>
      <c r="N24" s="861"/>
      <c r="O24" s="869"/>
      <c r="P24" s="3349"/>
      <c r="Q24" s="1263"/>
      <c r="R24" s="667"/>
      <c r="S24" s="668"/>
      <c r="T24" s="667"/>
      <c r="U24" s="668"/>
      <c r="V24" s="667"/>
      <c r="W24" s="668"/>
      <c r="X24" s="1265"/>
      <c r="Y24" s="3349"/>
      <c r="Z24" s="1264"/>
      <c r="AA24" s="1264">
        <v>1</v>
      </c>
      <c r="AB24" s="1264">
        <v>1</v>
      </c>
      <c r="AC24" s="1264">
        <v>1</v>
      </c>
    </row>
    <row r="25" spans="1:29" ht="15" hidden="1">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9"/>
      <c r="Q25" s="1263">
        <f>B25</f>
        <v>111</v>
      </c>
      <c r="R25" s="667" t="s">
        <v>14</v>
      </c>
      <c r="S25" s="668">
        <f>F25</f>
        <v>100</v>
      </c>
      <c r="T25" s="667" t="s">
        <v>14</v>
      </c>
      <c r="U25" s="668">
        <f>H25</f>
        <v>100</v>
      </c>
      <c r="V25" s="667" t="s">
        <v>14</v>
      </c>
      <c r="W25" s="668">
        <f>J25</f>
        <v>100</v>
      </c>
      <c r="X25" s="1265"/>
      <c r="Y25" s="3349"/>
      <c r="Z25" s="1264">
        <f>Q25</f>
        <v>111</v>
      </c>
      <c r="AA25" s="1264">
        <f t="shared" si="3"/>
        <v>1</v>
      </c>
      <c r="AB25" s="1264">
        <f t="shared" si="4"/>
        <v>1</v>
      </c>
      <c r="AC25" s="1264">
        <f t="shared" si="5"/>
        <v>1</v>
      </c>
    </row>
    <row r="26" spans="1:29" ht="15" hidden="1">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9"/>
      <c r="Q26" s="1263">
        <f t="shared" ref="Q26:Q40" si="11">B26</f>
        <v>111</v>
      </c>
      <c r="R26" s="667" t="s">
        <v>14</v>
      </c>
      <c r="S26" s="668">
        <f>F26</f>
        <v>100</v>
      </c>
      <c r="T26" s="667" t="s">
        <v>14</v>
      </c>
      <c r="U26" s="668">
        <f>H26</f>
        <v>100</v>
      </c>
      <c r="V26" s="667" t="s">
        <v>14</v>
      </c>
      <c r="W26" s="668">
        <f>J26</f>
        <v>100</v>
      </c>
      <c r="X26" s="1265"/>
      <c r="Y26" s="3349"/>
      <c r="Z26" s="1264">
        <f>Q26</f>
        <v>111</v>
      </c>
      <c r="AA26" s="1264">
        <f t="shared" si="3"/>
        <v>1</v>
      </c>
      <c r="AB26" s="1264">
        <f t="shared" si="4"/>
        <v>1</v>
      </c>
      <c r="AC26" s="1264">
        <f t="shared" si="5"/>
        <v>1</v>
      </c>
    </row>
    <row r="27" spans="1:29" s="102" customFormat="1" ht="15" hidden="1">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9"/>
      <c r="Q27" s="530">
        <f t="shared" si="11"/>
        <v>111</v>
      </c>
      <c r="R27" s="664" t="s">
        <v>14</v>
      </c>
      <c r="S27" s="665">
        <f>F27</f>
        <v>100</v>
      </c>
      <c r="T27" s="664" t="s">
        <v>14</v>
      </c>
      <c r="U27" s="665">
        <f>H27</f>
        <v>100</v>
      </c>
      <c r="V27" s="664" t="s">
        <v>14</v>
      </c>
      <c r="W27" s="665">
        <f>J27</f>
        <v>100</v>
      </c>
      <c r="X27" s="666"/>
      <c r="Y27" s="3349"/>
      <c r="Z27" s="50">
        <f>Q27</f>
        <v>111</v>
      </c>
      <c r="AA27" s="1264">
        <f>D27/F27</f>
        <v>1</v>
      </c>
      <c r="AB27" s="1264">
        <f>D27/H27</f>
        <v>1</v>
      </c>
      <c r="AC27" s="1264">
        <f>D27/J27</f>
        <v>1</v>
      </c>
    </row>
    <row r="28" spans="1:29" ht="15.75" hidden="1"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9"/>
      <c r="Q28" s="1263">
        <f t="shared" si="11"/>
        <v>111</v>
      </c>
      <c r="R28" s="667" t="s">
        <v>14</v>
      </c>
      <c r="S28" s="668">
        <f t="shared" ref="S28:S40" si="12">F28</f>
        <v>100</v>
      </c>
      <c r="T28" s="667" t="s">
        <v>14</v>
      </c>
      <c r="U28" s="668">
        <f t="shared" ref="U28:U40" si="13">H28</f>
        <v>100</v>
      </c>
      <c r="V28" s="667" t="s">
        <v>14</v>
      </c>
      <c r="W28" s="668">
        <f t="shared" ref="W28:W40" si="14">J28</f>
        <v>100</v>
      </c>
      <c r="X28" s="1265"/>
      <c r="Y28" s="3349"/>
      <c r="Z28" s="1264">
        <f t="shared" ref="Z28:Z40" si="15">Q28</f>
        <v>111</v>
      </c>
      <c r="AA28" s="1264">
        <f t="shared" si="3"/>
        <v>1</v>
      </c>
      <c r="AB28" s="1264">
        <f t="shared" si="4"/>
        <v>1</v>
      </c>
      <c r="AC28" s="1264">
        <f t="shared" si="5"/>
        <v>1</v>
      </c>
    </row>
    <row r="29" spans="1:29" ht="28.5">
      <c r="A29" s="404" t="s">
        <v>1691</v>
      </c>
      <c r="B29" s="60" t="s">
        <v>1814</v>
      </c>
      <c r="C29" s="1764" t="s">
        <v>3434</v>
      </c>
      <c r="D29" s="405">
        <v>100</v>
      </c>
      <c r="E29" s="1764" t="s">
        <v>3434</v>
      </c>
      <c r="F29" s="400">
        <f>SUMIF(88:88,E29,89:89)-SUMIF(88:88,C29,89:89)+100</f>
        <v>100</v>
      </c>
      <c r="G29" s="1764" t="s">
        <v>3434</v>
      </c>
      <c r="H29" s="374">
        <f>SUMIF(88:88,G29,89:89)-SUMIF(88:88,C29,89:89)+100</f>
        <v>100</v>
      </c>
      <c r="I29" s="1764" t="s">
        <v>3434</v>
      </c>
      <c r="J29" s="405">
        <f>SUMIF(88:88,I29,89:89)-SUMIF(88:88,C29,89:89)+100</f>
        <v>100</v>
      </c>
      <c r="K29" s="538">
        <v>5</v>
      </c>
      <c r="L29" s="870"/>
      <c r="M29" s="861"/>
      <c r="N29" s="861"/>
      <c r="O29" s="869"/>
      <c r="P29" s="3350" t="s">
        <v>1693</v>
      </c>
      <c r="Q29" s="1263" t="str">
        <f t="shared" si="11"/>
        <v>建筑类型</v>
      </c>
      <c r="R29" s="667" t="s">
        <v>14</v>
      </c>
      <c r="S29" s="668">
        <f t="shared" si="12"/>
        <v>100</v>
      </c>
      <c r="T29" s="667" t="s">
        <v>14</v>
      </c>
      <c r="U29" s="668">
        <f t="shared" si="13"/>
        <v>100</v>
      </c>
      <c r="V29" s="667" t="s">
        <v>14</v>
      </c>
      <c r="W29" s="668">
        <f t="shared" si="14"/>
        <v>100</v>
      </c>
      <c r="X29" s="1265"/>
      <c r="Y29" s="3351" t="s">
        <v>1693</v>
      </c>
      <c r="Z29" s="1264" t="str">
        <f t="shared" si="15"/>
        <v>建筑类型</v>
      </c>
      <c r="AA29" s="1264">
        <f t="shared" si="3"/>
        <v>1</v>
      </c>
      <c r="AB29" s="1264">
        <f t="shared" si="4"/>
        <v>1</v>
      </c>
      <c r="AC29" s="1264">
        <f t="shared" si="5"/>
        <v>1</v>
      </c>
    </row>
    <row r="30" spans="1:29" s="408" customFormat="1" ht="15">
      <c r="A30" s="406"/>
      <c r="B30" s="364" t="s">
        <v>1694</v>
      </c>
      <c r="C30" s="407">
        <f>'数据-汇总表'!E3</f>
        <v>9096.41</v>
      </c>
      <c r="D30" s="119">
        <v>100</v>
      </c>
      <c r="E30" s="369">
        <v>2250</v>
      </c>
      <c r="F30" s="364">
        <f>LOOKUP(E30,91:91,92:92)-LOOKUP(C30,91:91,92:92)+100</f>
        <v>102</v>
      </c>
      <c r="G30" s="368">
        <v>2067</v>
      </c>
      <c r="H30" s="119">
        <f>LOOKUP(G30,91:91,92:92)-LOOKUP(C30,91:91,92:92)+100</f>
        <v>102</v>
      </c>
      <c r="I30" s="368">
        <v>2100</v>
      </c>
      <c r="J30" s="119">
        <f>LOOKUP(I30,91:91,92:92)-LOOKUP(C30,91:91,92:92)+100</f>
        <v>102</v>
      </c>
      <c r="K30" s="539"/>
      <c r="L30" s="868"/>
      <c r="M30" s="871"/>
      <c r="N30" s="871"/>
      <c r="O30" s="872"/>
      <c r="P30" s="3351"/>
      <c r="Q30" s="531" t="str">
        <f t="shared" si="11"/>
        <v>项目建筑规模</v>
      </c>
      <c r="R30" s="669" t="s">
        <v>14</v>
      </c>
      <c r="S30" s="670">
        <f t="shared" si="12"/>
        <v>102</v>
      </c>
      <c r="T30" s="669" t="s">
        <v>14</v>
      </c>
      <c r="U30" s="670">
        <f t="shared" si="13"/>
        <v>102</v>
      </c>
      <c r="V30" s="669" t="s">
        <v>14</v>
      </c>
      <c r="W30" s="670">
        <f t="shared" si="14"/>
        <v>102</v>
      </c>
      <c r="X30" s="671"/>
      <c r="Y30" s="3351"/>
      <c r="Z30" s="672" t="str">
        <f t="shared" si="15"/>
        <v>项目建筑规模</v>
      </c>
      <c r="AA30" s="1264">
        <f t="shared" si="3"/>
        <v>0.98039215686274506</v>
      </c>
      <c r="AB30" s="1264">
        <f t="shared" si="4"/>
        <v>0.98039215686274506</v>
      </c>
      <c r="AC30" s="1264">
        <f t="shared" si="5"/>
        <v>0.98039215686274506</v>
      </c>
    </row>
    <row r="31" spans="1:29" ht="15">
      <c r="A31" s="409"/>
      <c r="B31" s="364" t="s">
        <v>1695</v>
      </c>
      <c r="C31" s="399" t="s">
        <v>3416</v>
      </c>
      <c r="D31" s="374">
        <v>100</v>
      </c>
      <c r="E31" s="399" t="s">
        <v>3416</v>
      </c>
      <c r="F31" s="400">
        <f>SUMIF(93:93,E31,94:94)-SUMIF(93:93,C31,94:94)+100</f>
        <v>100</v>
      </c>
      <c r="G31" s="399" t="s">
        <v>3416</v>
      </c>
      <c r="H31" s="374">
        <f>SUMIF(93:93,G31,94:94)-SUMIF(93:93,C31,94:94)+100</f>
        <v>100</v>
      </c>
      <c r="I31" s="399" t="s">
        <v>3416</v>
      </c>
      <c r="J31" s="374">
        <f>SUMIF(93:93,I31,94:94)-SUMIF(93:93,C31,94:94)+100</f>
        <v>100</v>
      </c>
      <c r="K31" s="538">
        <v>2</v>
      </c>
      <c r="L31" s="870"/>
      <c r="M31" s="861"/>
      <c r="N31" s="861"/>
      <c r="O31" s="869"/>
      <c r="P31" s="3351"/>
      <c r="Q31" s="1263" t="str">
        <f t="shared" si="11"/>
        <v>建筑结构</v>
      </c>
      <c r="R31" s="667" t="s">
        <v>14</v>
      </c>
      <c r="S31" s="668">
        <f t="shared" si="12"/>
        <v>100</v>
      </c>
      <c r="T31" s="667" t="s">
        <v>14</v>
      </c>
      <c r="U31" s="668">
        <f t="shared" si="13"/>
        <v>100</v>
      </c>
      <c r="V31" s="667" t="s">
        <v>14</v>
      </c>
      <c r="W31" s="668">
        <f t="shared" si="14"/>
        <v>100</v>
      </c>
      <c r="X31" s="1265"/>
      <c r="Y31" s="3351"/>
      <c r="Z31" s="1264" t="str">
        <f t="shared" si="15"/>
        <v>建筑结构</v>
      </c>
      <c r="AA31" s="1264">
        <f t="shared" si="3"/>
        <v>1</v>
      </c>
      <c r="AB31" s="1264">
        <f t="shared" si="4"/>
        <v>1</v>
      </c>
      <c r="AC31" s="1264">
        <f t="shared" si="5"/>
        <v>1</v>
      </c>
    </row>
    <row r="32" spans="1:29" ht="15">
      <c r="A32" s="409"/>
      <c r="B32" s="364" t="s">
        <v>1782</v>
      </c>
      <c r="C32" s="399" t="s">
        <v>3426</v>
      </c>
      <c r="D32" s="374">
        <v>100</v>
      </c>
      <c r="E32" s="399" t="s">
        <v>3426</v>
      </c>
      <c r="F32" s="400">
        <f>SUMIF(95:95,E32,96:96)-SUMIF(95:95,C32,96:96)+100</f>
        <v>100</v>
      </c>
      <c r="G32" s="399" t="s">
        <v>3426</v>
      </c>
      <c r="H32" s="374">
        <f>SUMIF(95:95,G32,96:96)-SUMIF(95:95,C32,96:96)+100</f>
        <v>100</v>
      </c>
      <c r="I32" s="399" t="s">
        <v>3426</v>
      </c>
      <c r="J32" s="374">
        <f>SUMIF(95:95,I32,96:96)-SUMIF(95:95,C32,96:96)+100</f>
        <v>100</v>
      </c>
      <c r="K32" s="538">
        <v>2</v>
      </c>
      <c r="L32" s="870"/>
      <c r="M32" s="861"/>
      <c r="N32" s="861"/>
      <c r="O32" s="869"/>
      <c r="P32" s="3351"/>
      <c r="Q32" s="1263" t="str">
        <f t="shared" si="11"/>
        <v>公共部分装修</v>
      </c>
      <c r="R32" s="667" t="s">
        <v>14</v>
      </c>
      <c r="S32" s="668">
        <f t="shared" si="12"/>
        <v>100</v>
      </c>
      <c r="T32" s="667" t="s">
        <v>14</v>
      </c>
      <c r="U32" s="668">
        <f t="shared" si="13"/>
        <v>100</v>
      </c>
      <c r="V32" s="667" t="s">
        <v>14</v>
      </c>
      <c r="W32" s="668">
        <f t="shared" si="14"/>
        <v>100</v>
      </c>
      <c r="X32" s="1265"/>
      <c r="Y32" s="3351"/>
      <c r="Z32" s="1264" t="str">
        <f t="shared" si="15"/>
        <v>公共部分装修</v>
      </c>
      <c r="AA32" s="1264">
        <f t="shared" si="3"/>
        <v>1</v>
      </c>
      <c r="AB32" s="1264">
        <f t="shared" si="4"/>
        <v>1</v>
      </c>
      <c r="AC32" s="1264">
        <f t="shared" si="5"/>
        <v>1</v>
      </c>
    </row>
    <row r="33" spans="1:29" ht="15">
      <c r="A33" s="409"/>
      <c r="B33" s="364" t="s">
        <v>1783</v>
      </c>
      <c r="C33" s="3155">
        <f>'数据-取费表'!N6</f>
        <v>0.85</v>
      </c>
      <c r="D33" s="374">
        <v>100</v>
      </c>
      <c r="E33" s="411">
        <v>0.8</v>
      </c>
      <c r="F33" s="400">
        <f>LOOKUP(E33,98:98,99:99)-LOOKUP(C33,98:98,99:99)+100</f>
        <v>100</v>
      </c>
      <c r="G33" s="411">
        <v>0.8</v>
      </c>
      <c r="H33" s="400">
        <f>LOOKUP(G33,98:98,99:99)-LOOKUP(C33,98:98,99:99)+100</f>
        <v>100</v>
      </c>
      <c r="I33" s="411">
        <v>0.8</v>
      </c>
      <c r="J33" s="374">
        <f>LOOKUP(I33,98:98,99:99)-LOOKUP(C33,98:98,99:99)+100</f>
        <v>100</v>
      </c>
      <c r="K33" s="538">
        <v>1</v>
      </c>
      <c r="L33" s="870"/>
      <c r="M33" s="861"/>
      <c r="N33" s="861"/>
      <c r="O33" s="869"/>
      <c r="P33" s="3351"/>
      <c r="Q33" s="1263" t="str">
        <f t="shared" si="11"/>
        <v>成新度</v>
      </c>
      <c r="R33" s="667" t="s">
        <v>14</v>
      </c>
      <c r="S33" s="668">
        <f t="shared" si="12"/>
        <v>100</v>
      </c>
      <c r="T33" s="667" t="s">
        <v>14</v>
      </c>
      <c r="U33" s="668">
        <f t="shared" si="13"/>
        <v>100</v>
      </c>
      <c r="V33" s="667" t="s">
        <v>14</v>
      </c>
      <c r="W33" s="668">
        <f t="shared" si="14"/>
        <v>100</v>
      </c>
      <c r="X33" s="1265"/>
      <c r="Y33" s="3351"/>
      <c r="Z33" s="1264" t="str">
        <f t="shared" si="15"/>
        <v>成新度</v>
      </c>
      <c r="AA33" s="1264">
        <f t="shared" si="3"/>
        <v>1</v>
      </c>
      <c r="AB33" s="1264">
        <f t="shared" si="4"/>
        <v>1</v>
      </c>
      <c r="AC33" s="1264">
        <f t="shared" si="5"/>
        <v>1</v>
      </c>
    </row>
    <row r="34" spans="1:29" s="102" customFormat="1" ht="15">
      <c r="A34" s="410"/>
      <c r="B34" s="364" t="s">
        <v>1816</v>
      </c>
      <c r="C34" s="399" t="s">
        <v>3442</v>
      </c>
      <c r="D34" s="119">
        <v>100</v>
      </c>
      <c r="E34" s="399" t="s">
        <v>3442</v>
      </c>
      <c r="F34" s="400">
        <f>SUMIF(100:100,E34,101:101)-SUMIF(100:100,C34,101:101)+100</f>
        <v>100</v>
      </c>
      <c r="G34" s="399" t="s">
        <v>3442</v>
      </c>
      <c r="H34" s="374">
        <f>SUMIF(100:100,G34,101:101)-SUMIF(100:100,C34,101:101)+100</f>
        <v>100</v>
      </c>
      <c r="I34" s="399" t="s">
        <v>3442</v>
      </c>
      <c r="J34" s="374">
        <f>SUMIF(100:100,I34,101:101)-SUMIF(100:100,C34,101:101)+100</f>
        <v>100</v>
      </c>
      <c r="K34" s="538">
        <v>2</v>
      </c>
      <c r="L34" s="862"/>
      <c r="M34" s="863"/>
      <c r="N34" s="863"/>
      <c r="O34" s="864"/>
      <c r="P34" s="3351"/>
      <c r="Q34" s="530" t="str">
        <f t="shared" si="11"/>
        <v>物业管理</v>
      </c>
      <c r="R34" s="664" t="s">
        <v>14</v>
      </c>
      <c r="S34" s="665">
        <f t="shared" si="12"/>
        <v>100</v>
      </c>
      <c r="T34" s="664" t="s">
        <v>14</v>
      </c>
      <c r="U34" s="665">
        <f t="shared" si="13"/>
        <v>100</v>
      </c>
      <c r="V34" s="664" t="s">
        <v>14</v>
      </c>
      <c r="W34" s="665">
        <f t="shared" si="14"/>
        <v>100</v>
      </c>
      <c r="X34" s="666"/>
      <c r="Y34" s="3351"/>
      <c r="Z34" s="50" t="str">
        <f t="shared" si="15"/>
        <v>物业管理</v>
      </c>
      <c r="AA34" s="50">
        <f t="shared" si="3"/>
        <v>1</v>
      </c>
      <c r="AB34" s="50">
        <f t="shared" si="4"/>
        <v>1</v>
      </c>
      <c r="AC34" s="50">
        <f t="shared" si="5"/>
        <v>1</v>
      </c>
    </row>
    <row r="35" spans="1:29" ht="15">
      <c r="A35" s="409"/>
      <c r="B35" s="364" t="s">
        <v>1784</v>
      </c>
      <c r="C35" s="399" t="s">
        <v>3427</v>
      </c>
      <c r="D35" s="374">
        <v>100</v>
      </c>
      <c r="E35" s="399" t="s">
        <v>3427</v>
      </c>
      <c r="F35" s="400">
        <f>SUMIF(102:102,E35,103:103)-SUMIF(102:102,C35,103:103)+100</f>
        <v>100</v>
      </c>
      <c r="G35" s="399" t="s">
        <v>3427</v>
      </c>
      <c r="H35" s="374">
        <f>SUMIF(102:102,G35,103:103)-SUMIF(102:102,C35,103:103)+100</f>
        <v>100</v>
      </c>
      <c r="I35" s="399" t="s">
        <v>3427</v>
      </c>
      <c r="J35" s="374">
        <f>SUMIF(102:102,I35,103:103)-SUMIF(102:102,C35,103:103)+100</f>
        <v>100</v>
      </c>
      <c r="K35" s="538">
        <v>1</v>
      </c>
      <c r="L35" s="870"/>
      <c r="M35" s="861"/>
      <c r="N35" s="861"/>
      <c r="O35" s="869"/>
      <c r="P35" s="3351" t="s">
        <v>1693</v>
      </c>
      <c r="Q35" s="1263" t="str">
        <f t="shared" si="11"/>
        <v>市政基础设施</v>
      </c>
      <c r="R35" s="667" t="s">
        <v>14</v>
      </c>
      <c r="S35" s="668">
        <f t="shared" si="12"/>
        <v>100</v>
      </c>
      <c r="T35" s="667" t="s">
        <v>14</v>
      </c>
      <c r="U35" s="668">
        <f t="shared" si="13"/>
        <v>100</v>
      </c>
      <c r="V35" s="667" t="s">
        <v>14</v>
      </c>
      <c r="W35" s="668">
        <f t="shared" si="14"/>
        <v>100</v>
      </c>
      <c r="X35" s="1265"/>
      <c r="Y35" s="3351" t="s">
        <v>1693</v>
      </c>
      <c r="Z35" s="1264" t="str">
        <f t="shared" si="15"/>
        <v>市政基础设施</v>
      </c>
      <c r="AA35" s="1264">
        <f t="shared" si="3"/>
        <v>1</v>
      </c>
      <c r="AB35" s="1264">
        <f t="shared" si="4"/>
        <v>1</v>
      </c>
      <c r="AC35" s="1264">
        <f t="shared" si="5"/>
        <v>1</v>
      </c>
    </row>
    <row r="36" spans="1:29" ht="15">
      <c r="A36" s="409"/>
      <c r="B36" s="364" t="s">
        <v>1789</v>
      </c>
      <c r="C36" s="399" t="s">
        <v>3426</v>
      </c>
      <c r="D36" s="374">
        <v>100</v>
      </c>
      <c r="E36" s="399" t="s">
        <v>3426</v>
      </c>
      <c r="F36" s="400">
        <f>SUMIF(104:104,E36,105:105)-SUMIF(104:104,C36,105:105)+100</f>
        <v>100</v>
      </c>
      <c r="G36" s="399" t="s">
        <v>3426</v>
      </c>
      <c r="H36" s="374">
        <f>SUMIF(104:104,G36,105:105)-SUMIF(104:104,C36,105:105)+100</f>
        <v>100</v>
      </c>
      <c r="I36" s="399" t="s">
        <v>3426</v>
      </c>
      <c r="J36" s="374">
        <f>SUMIF(104:104,I36,105:105)-SUMIF(104:104,C36,105:105)+100</f>
        <v>100</v>
      </c>
      <c r="K36" s="538">
        <v>2</v>
      </c>
      <c r="L36" s="870"/>
      <c r="M36" s="861"/>
      <c r="N36" s="861"/>
      <c r="O36" s="869"/>
      <c r="P36" s="3351"/>
      <c r="Q36" s="1263" t="str">
        <f t="shared" si="11"/>
        <v>内部装修</v>
      </c>
      <c r="R36" s="667" t="s">
        <v>14</v>
      </c>
      <c r="S36" s="668">
        <f t="shared" si="12"/>
        <v>100</v>
      </c>
      <c r="T36" s="667" t="s">
        <v>14</v>
      </c>
      <c r="U36" s="668">
        <f t="shared" si="13"/>
        <v>100</v>
      </c>
      <c r="V36" s="667" t="s">
        <v>14</v>
      </c>
      <c r="W36" s="668">
        <f t="shared" si="14"/>
        <v>100</v>
      </c>
      <c r="X36" s="1265"/>
      <c r="Y36" s="3351"/>
      <c r="Z36" s="1264" t="str">
        <f t="shared" si="15"/>
        <v>内部装修</v>
      </c>
      <c r="AA36" s="1264">
        <f t="shared" si="3"/>
        <v>1</v>
      </c>
      <c r="AB36" s="1264">
        <f t="shared" si="4"/>
        <v>1</v>
      </c>
      <c r="AC36" s="1264">
        <f t="shared" si="5"/>
        <v>1</v>
      </c>
    </row>
    <row r="37" spans="1:29" ht="15">
      <c r="A37" s="409"/>
      <c r="B37" s="364" t="s">
        <v>1825</v>
      </c>
      <c r="C37" s="542" t="s">
        <v>3391</v>
      </c>
      <c r="D37" s="374">
        <v>100</v>
      </c>
      <c r="E37" s="542" t="s">
        <v>3391</v>
      </c>
      <c r="F37" s="400">
        <f>SUMIF(106:106,E37,107:107)-SUMIF(106:106,C37,107:107)+100</f>
        <v>100</v>
      </c>
      <c r="G37" s="542" t="s">
        <v>3391</v>
      </c>
      <c r="H37" s="374">
        <f>SUMIF(106:106,G37,107:107)-SUMIF(106:106,C37,107:107)+100</f>
        <v>100</v>
      </c>
      <c r="I37" s="542" t="s">
        <v>3391</v>
      </c>
      <c r="J37" s="374">
        <f>SUMIF(106:106,I37,107:107)-SUMIF(106:106,C37,107:107)+100</f>
        <v>100</v>
      </c>
      <c r="K37" s="538">
        <v>2</v>
      </c>
      <c r="L37" s="870"/>
      <c r="M37" s="861"/>
      <c r="N37" s="861"/>
      <c r="O37" s="869"/>
      <c r="P37" s="3351"/>
      <c r="Q37" s="1263" t="str">
        <f t="shared" si="11"/>
        <v>内部装修状况</v>
      </c>
      <c r="R37" s="667" t="s">
        <v>14</v>
      </c>
      <c r="S37" s="668">
        <f t="shared" si="12"/>
        <v>100</v>
      </c>
      <c r="T37" s="667" t="s">
        <v>14</v>
      </c>
      <c r="U37" s="668">
        <f t="shared" si="13"/>
        <v>100</v>
      </c>
      <c r="V37" s="667" t="s">
        <v>14</v>
      </c>
      <c r="W37" s="668">
        <f t="shared" si="14"/>
        <v>100</v>
      </c>
      <c r="X37" s="1265"/>
      <c r="Y37" s="3351"/>
      <c r="Z37" s="1264" t="str">
        <f t="shared" si="15"/>
        <v>内部装修状况</v>
      </c>
      <c r="AA37" s="1264">
        <f t="shared" si="3"/>
        <v>1</v>
      </c>
      <c r="AB37" s="1264">
        <f t="shared" si="4"/>
        <v>1</v>
      </c>
      <c r="AC37" s="1264">
        <f t="shared" si="5"/>
        <v>1</v>
      </c>
    </row>
    <row r="38" spans="1:29" s="408" customFormat="1" ht="15.75" thickBot="1">
      <c r="A38" s="406"/>
      <c r="B38" s="3156" t="s">
        <v>3447</v>
      </c>
      <c r="C38" s="411">
        <v>0.2</v>
      </c>
      <c r="D38" s="374">
        <v>100</v>
      </c>
      <c r="E38" s="3158">
        <v>0</v>
      </c>
      <c r="F38" s="400">
        <f>SUMIF(108:108,E38,109:109)-SUMIF(108:108,C38,109:109)+100</f>
        <v>120</v>
      </c>
      <c r="G38" s="3158">
        <v>0</v>
      </c>
      <c r="H38" s="374">
        <f>SUMIF(108:108,G38,109:109)-SUMIF(108:108,C38,109:109)+100</f>
        <v>120</v>
      </c>
      <c r="I38" s="3158">
        <v>0</v>
      </c>
      <c r="J38" s="374">
        <f>SUMIF(108:108,I38,109:1038)-SUMIF(108:108,C38,109:109)+100</f>
        <v>120</v>
      </c>
      <c r="K38" s="539"/>
      <c r="L38" s="868"/>
      <c r="M38" s="871"/>
      <c r="N38" s="871"/>
      <c r="O38" s="872"/>
      <c r="P38" s="3351"/>
      <c r="Q38" s="531" t="str">
        <f t="shared" si="11"/>
        <v>地下占比</v>
      </c>
      <c r="R38" s="669" t="s">
        <v>14</v>
      </c>
      <c r="S38" s="670">
        <f t="shared" si="12"/>
        <v>120</v>
      </c>
      <c r="T38" s="669" t="s">
        <v>14</v>
      </c>
      <c r="U38" s="670">
        <f t="shared" si="13"/>
        <v>120</v>
      </c>
      <c r="V38" s="669" t="s">
        <v>14</v>
      </c>
      <c r="W38" s="670">
        <f t="shared" si="14"/>
        <v>120</v>
      </c>
      <c r="X38" s="671"/>
      <c r="Y38" s="3351"/>
      <c r="Z38" s="672" t="str">
        <f t="shared" si="15"/>
        <v>地下占比</v>
      </c>
      <c r="AA38" s="1264">
        <f t="shared" si="3"/>
        <v>0.83333333333333337</v>
      </c>
      <c r="AB38" s="1264">
        <f t="shared" si="4"/>
        <v>0.83333333333333337</v>
      </c>
      <c r="AC38" s="1264">
        <f t="shared" si="5"/>
        <v>0.83333333333333337</v>
      </c>
    </row>
    <row r="39" spans="1:29" ht="15" hidden="1">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1"/>
      <c r="Q39" s="1263">
        <f t="shared" si="11"/>
        <v>111</v>
      </c>
      <c r="R39" s="667" t="s">
        <v>14</v>
      </c>
      <c r="S39" s="668">
        <f t="shared" si="12"/>
        <v>100</v>
      </c>
      <c r="T39" s="667" t="s">
        <v>14</v>
      </c>
      <c r="U39" s="668">
        <f t="shared" si="13"/>
        <v>100</v>
      </c>
      <c r="V39" s="667" t="s">
        <v>14</v>
      </c>
      <c r="W39" s="668">
        <f t="shared" si="14"/>
        <v>100</v>
      </c>
      <c r="X39" s="1265"/>
      <c r="Y39" s="3351"/>
      <c r="Z39" s="1264">
        <f t="shared" si="15"/>
        <v>111</v>
      </c>
      <c r="AA39" s="1264">
        <f t="shared" si="3"/>
        <v>1</v>
      </c>
      <c r="AB39" s="1264">
        <f t="shared" si="4"/>
        <v>1</v>
      </c>
      <c r="AC39" s="1264">
        <f t="shared" si="5"/>
        <v>1</v>
      </c>
    </row>
    <row r="40" spans="1:29" ht="15.75" hidden="1"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2"/>
      <c r="Q40" s="1263">
        <f t="shared" si="11"/>
        <v>111</v>
      </c>
      <c r="R40" s="667" t="s">
        <v>14</v>
      </c>
      <c r="S40" s="668">
        <f t="shared" si="12"/>
        <v>100</v>
      </c>
      <c r="T40" s="667" t="s">
        <v>14</v>
      </c>
      <c r="U40" s="668">
        <f t="shared" si="13"/>
        <v>100</v>
      </c>
      <c r="V40" s="667" t="s">
        <v>14</v>
      </c>
      <c r="W40" s="668">
        <f t="shared" si="14"/>
        <v>100</v>
      </c>
      <c r="X40" s="1265"/>
      <c r="Y40" s="3352"/>
      <c r="Z40" s="1264">
        <f t="shared" si="15"/>
        <v>111</v>
      </c>
      <c r="AA40" s="1264">
        <f t="shared" si="3"/>
        <v>1</v>
      </c>
      <c r="AB40" s="1264">
        <f t="shared" si="4"/>
        <v>1</v>
      </c>
      <c r="AC40" s="1264">
        <f t="shared" si="5"/>
        <v>1</v>
      </c>
    </row>
    <row r="41" spans="1:29" ht="15">
      <c r="A41" s="416" t="s">
        <v>1705</v>
      </c>
      <c r="B41" s="417"/>
      <c r="C41" s="1081" t="s">
        <v>0</v>
      </c>
      <c r="D41" s="418"/>
      <c r="E41" s="419">
        <v>18000</v>
      </c>
      <c r="F41" s="420"/>
      <c r="G41" s="421">
        <v>16500</v>
      </c>
      <c r="H41" s="422"/>
      <c r="I41" s="419">
        <v>18500</v>
      </c>
      <c r="J41" s="422"/>
      <c r="K41" s="674"/>
      <c r="L41" s="873"/>
      <c r="M41" s="861"/>
      <c r="N41" s="861"/>
      <c r="O41" s="861"/>
      <c r="P41" s="3343" t="str">
        <f>A41</f>
        <v>成交单价（元/平方米）</v>
      </c>
      <c r="Q41" s="3343"/>
      <c r="R41" s="3344">
        <f>E41</f>
        <v>18000</v>
      </c>
      <c r="S41" s="3344"/>
      <c r="T41" s="3344">
        <f>G41</f>
        <v>16500</v>
      </c>
      <c r="U41" s="3344"/>
      <c r="V41" s="3344">
        <f>I41</f>
        <v>18500</v>
      </c>
      <c r="W41" s="3344"/>
      <c r="X41" s="385"/>
      <c r="Y41" s="673"/>
      <c r="Z41" s="385"/>
      <c r="AA41" s="385"/>
      <c r="AB41" s="385"/>
      <c r="AC41" s="385"/>
    </row>
    <row r="42" spans="1:29" ht="15.75" thickBot="1">
      <c r="A42" s="423" t="s">
        <v>1790</v>
      </c>
      <c r="B42" s="424"/>
      <c r="C42" s="1082">
        <f>R43</f>
        <v>13908</v>
      </c>
      <c r="D42" s="2141" t="s">
        <v>2135</v>
      </c>
      <c r="E42" s="1083">
        <f>R42</f>
        <v>14170</v>
      </c>
      <c r="F42" s="2142"/>
      <c r="G42" s="1082">
        <f>T42</f>
        <v>12989</v>
      </c>
      <c r="H42" s="2142"/>
      <c r="I42" s="1083">
        <f>V42</f>
        <v>14564</v>
      </c>
      <c r="J42" s="2142"/>
      <c r="K42" s="2144">
        <f>F42+H42+J42</f>
        <v>0</v>
      </c>
      <c r="L42" s="873"/>
      <c r="M42" s="861"/>
      <c r="N42" s="861"/>
      <c r="O42" s="861"/>
      <c r="P42" s="3343" t="str">
        <f>A42</f>
        <v>比较价值（元/平方米）</v>
      </c>
      <c r="Q42" s="3343"/>
      <c r="R42" s="3344">
        <f>IF(F1="售价",ROUND(PRODUCT(R41,AA7:AA40),0),ROUND(PRODUCT(R41,AA7:AA40),1))</f>
        <v>14170</v>
      </c>
      <c r="S42" s="3344"/>
      <c r="T42" s="3344">
        <f>IF(F1="售价",ROUND(PRODUCT(T41,AB7:AB40),0),ROUND(PRODUCT(T41,AB7:AB40),1))</f>
        <v>12989</v>
      </c>
      <c r="U42" s="3344"/>
      <c r="V42" s="3344">
        <f>IF(F1="售价",ROUND(PRODUCT(V41,AC7:AC40),0),ROUND(PRODUCT(V41,AC7:AC40),1))</f>
        <v>14564</v>
      </c>
      <c r="W42" s="3344"/>
      <c r="X42" s="385"/>
      <c r="Y42" s="385"/>
      <c r="Z42" s="385"/>
      <c r="AA42" s="385"/>
      <c r="AB42" s="385"/>
      <c r="AC42" s="385"/>
    </row>
    <row r="43" spans="1:29" ht="15.75" thickBot="1">
      <c r="A43" s="427" t="s">
        <v>1791</v>
      </c>
      <c r="B43" s="428"/>
      <c r="C43" s="351">
        <f>R43</f>
        <v>13908</v>
      </c>
      <c r="D43" s="351"/>
      <c r="E43" s="351"/>
      <c r="F43" s="351"/>
      <c r="G43" s="351"/>
      <c r="H43" s="351"/>
      <c r="I43" s="351"/>
      <c r="J43" s="351"/>
      <c r="K43" s="675"/>
      <c r="L43" s="873"/>
      <c r="M43" s="861"/>
      <c r="N43" s="861"/>
      <c r="O43" s="861"/>
      <c r="P43" s="3345" t="str">
        <f>A43</f>
        <v>估价对象XX用房的比较价值（楼面单价，元/平方米）</v>
      </c>
      <c r="Q43" s="3346"/>
      <c r="R43" s="3347">
        <f>IF(F1="售价",ROUND(IF(D42="简单平均",AVERAGE(R42:V42),R42*F42+T42*H42+V42*J42),0),ROUND(IF(D42="简单平均",AVERAGE(R42:V42),R42*F42+T42*H42+V42*J42),1))</f>
        <v>13908</v>
      </c>
      <c r="S43" s="3347"/>
      <c r="T43" s="3347"/>
      <c r="U43" s="3347"/>
      <c r="V43" s="3347"/>
      <c r="W43" s="3347"/>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f>IF(E41&lt;E42,E42/E41-1,E41/E42-1)</f>
        <v>0.27028934368383917</v>
      </c>
      <c r="F46" s="435" t="str">
        <f>IF(OR(E46&gt;=0.3,E46&lt;=-0.3),"超过30%","")</f>
        <v/>
      </c>
      <c r="G46" s="434">
        <f>IF(G41&lt;G42,G42/G41-1,G41/G42-1)</f>
        <v>0.2703056432365849</v>
      </c>
      <c r="H46" s="435" t="str">
        <f>IF(OR(G46&gt;=0.3,G46&lt;=-0.3),"超过30%","")</f>
        <v/>
      </c>
      <c r="I46" s="434">
        <f>IF(I41&lt;I42,I42/I41-1,I41/I42-1)</f>
        <v>0.27025542433397409</v>
      </c>
      <c r="J46" s="435" t="str">
        <f>IF(OR(I46&gt;=0.3,I46&lt;=-0.3),"超过30%","")</f>
        <v/>
      </c>
      <c r="K46" s="2495"/>
      <c r="L46" s="836"/>
      <c r="M46" s="861"/>
      <c r="N46" s="861"/>
      <c r="O46" s="861"/>
    </row>
    <row r="47" spans="1:29" ht="13.5" customHeight="1">
      <c r="A47" s="2483"/>
      <c r="B47" s="2483"/>
      <c r="C47" s="432" t="s">
        <v>1793</v>
      </c>
      <c r="D47" s="436"/>
      <c r="E47" s="434">
        <f>IF(E42&lt;G42,G42/E42-1,E42/G42-1)</f>
        <v>9.0923088767418614E-2</v>
      </c>
      <c r="F47" s="435" t="str">
        <f>IF(OR(E47&gt;=0.2,E47&lt;=-0.2),"超过20%","")</f>
        <v/>
      </c>
      <c r="G47" s="434">
        <f>IF(G42&lt;I42,I42/G42-1,G42/I42-1)</f>
        <v>0.12125644776349209</v>
      </c>
      <c r="H47" s="435" t="str">
        <f>IF(OR(G47&gt;=0.2,G47&lt;=-0.2),"超过20%","")</f>
        <v/>
      </c>
      <c r="I47" s="434">
        <f>IF(I42&lt;E42,E42/I42-1,I42/E42-1)</f>
        <v>2.7805222300635091E-2</v>
      </c>
      <c r="J47" s="435" t="str">
        <f>IF(OR(I47&gt;=0.2,I47&lt;=-0.2),"超过20%","")</f>
        <v/>
      </c>
      <c r="K47" s="2495"/>
      <c r="L47" s="836"/>
      <c r="M47" s="861"/>
      <c r="N47" s="861"/>
      <c r="O47" s="861"/>
    </row>
    <row r="48" spans="1:29" s="437" customFormat="1" ht="13.5" customHeight="1">
      <c r="A48" s="2493"/>
      <c r="B48" s="2493"/>
      <c r="C48" s="432" t="s">
        <v>1794</v>
      </c>
      <c r="D48" s="436"/>
      <c r="E48" s="434">
        <f>IF(E41&lt;G41,G41/E41-1,E41/G41-1)</f>
        <v>9.0909090909090828E-2</v>
      </c>
      <c r="F48" s="435" t="str">
        <f>IF(OR(E48&gt;=0.3,E48&lt;=-0.3),"超过30%","")</f>
        <v/>
      </c>
      <c r="G48" s="434">
        <f>IF(G41&lt;I41,I41/G41-1,G41/I41-1)</f>
        <v>0.1212121212121211</v>
      </c>
      <c r="H48" s="435" t="str">
        <f>IF(OR(G48&gt;=0.3,G48&lt;=-0.3),"超过30%","")</f>
        <v/>
      </c>
      <c r="I48" s="434">
        <f>IF(I41&lt;E41,E41/I41-1,I41/E41-1)</f>
        <v>2.7777777777777679E-2</v>
      </c>
      <c r="J48" s="435" t="str">
        <f>IF(OR(I48&gt;=0.3,I48&lt;=-0.3),"超过30%","")</f>
        <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1676</v>
      </c>
      <c r="B52" s="441"/>
      <c r="C52" s="1103" t="str">
        <f>YEAR(C7)&amp;"-"&amp;MONTH(C7)</f>
        <v>2024-3</v>
      </c>
      <c r="D52" s="1104">
        <f>EDATE(C52,-1)</f>
        <v>45323</v>
      </c>
      <c r="E52" s="1104">
        <f t="shared" ref="E52:O52" si="16">EDATE(D52,-1)</f>
        <v>45292</v>
      </c>
      <c r="F52" s="1104">
        <f t="shared" si="16"/>
        <v>45261</v>
      </c>
      <c r="G52" s="1104">
        <f t="shared" si="16"/>
        <v>45231</v>
      </c>
      <c r="H52" s="1104">
        <f t="shared" si="16"/>
        <v>45200</v>
      </c>
      <c r="I52" s="1104">
        <f t="shared" si="16"/>
        <v>45170</v>
      </c>
      <c r="J52" s="1104">
        <f t="shared" si="16"/>
        <v>45139</v>
      </c>
      <c r="K52" s="1104">
        <f t="shared" si="16"/>
        <v>45108</v>
      </c>
      <c r="L52" s="1104">
        <f t="shared" si="16"/>
        <v>45078</v>
      </c>
      <c r="M52" s="1104">
        <f t="shared" si="16"/>
        <v>45047</v>
      </c>
      <c r="N52" s="1104">
        <f t="shared" si="16"/>
        <v>45017</v>
      </c>
      <c r="O52" s="1104">
        <f t="shared" si="16"/>
        <v>44986</v>
      </c>
    </row>
    <row r="53" spans="1:17" s="102" customFormat="1" ht="15">
      <c r="A53" s="443"/>
      <c r="B53" s="444"/>
      <c r="C53" s="1102">
        <v>100</v>
      </c>
      <c r="D53" s="1102">
        <v>100</v>
      </c>
      <c r="E53" s="1102">
        <v>100</v>
      </c>
      <c r="F53" s="1102">
        <v>100</v>
      </c>
      <c r="G53" s="1102">
        <v>100</v>
      </c>
      <c r="H53" s="1102">
        <v>100</v>
      </c>
      <c r="I53" s="1102">
        <v>100</v>
      </c>
      <c r="J53" s="1102">
        <v>100</v>
      </c>
      <c r="K53" s="1102">
        <v>100</v>
      </c>
      <c r="L53" s="1102">
        <v>100</v>
      </c>
      <c r="M53" s="1102">
        <v>100</v>
      </c>
      <c r="N53" s="1102">
        <v>100</v>
      </c>
      <c r="O53" s="1102">
        <v>100</v>
      </c>
      <c r="P53" s="439"/>
    </row>
    <row r="54" spans="1:17" s="102" customFormat="1" ht="15.75" thickBot="1">
      <c r="A54" s="449" t="s">
        <v>1713</v>
      </c>
      <c r="B54" s="450"/>
      <c r="C54" s="451"/>
      <c r="D54" s="452"/>
      <c r="E54" s="452"/>
      <c r="F54" s="452"/>
      <c r="G54" s="452"/>
      <c r="H54" s="452"/>
      <c r="I54" s="452"/>
      <c r="J54" s="452"/>
      <c r="K54" s="452"/>
      <c r="L54" s="452"/>
      <c r="M54" s="453"/>
      <c r="N54" s="2534"/>
      <c r="O54" s="2535"/>
      <c r="P54" s="439"/>
      <c r="Q54" s="439"/>
    </row>
    <row r="55" spans="1:17" s="102" customFormat="1" ht="15">
      <c r="A55" s="455" t="s">
        <v>1678</v>
      </c>
      <c r="B55" s="444"/>
      <c r="C55" s="456" t="s">
        <v>1773</v>
      </c>
      <c r="D55" s="3154" t="s">
        <v>3445</v>
      </c>
      <c r="E55" s="31"/>
      <c r="F55" s="31"/>
      <c r="G55" s="31"/>
      <c r="H55" s="31"/>
      <c r="I55" s="31"/>
      <c r="J55" s="31"/>
      <c r="K55" s="31"/>
      <c r="L55" s="457"/>
      <c r="M55" s="458"/>
      <c r="N55" s="878"/>
      <c r="O55" s="878"/>
      <c r="P55" s="459"/>
      <c r="Q55" s="439"/>
    </row>
    <row r="56" spans="1:17" s="102" customFormat="1" ht="15.75" thickBot="1">
      <c r="A56" s="455"/>
      <c r="B56" s="444"/>
      <c r="C56" s="563">
        <v>100</v>
      </c>
      <c r="D56" s="446">
        <v>105</v>
      </c>
      <c r="E56" s="446"/>
      <c r="F56" s="446"/>
      <c r="G56" s="446"/>
      <c r="H56" s="446"/>
      <c r="I56" s="446"/>
      <c r="J56" s="446"/>
      <c r="K56" s="446"/>
      <c r="L56" s="446"/>
      <c r="M56" s="448"/>
      <c r="N56" s="878"/>
      <c r="O56" s="878"/>
      <c r="P56" s="439"/>
      <c r="Q56" s="439"/>
    </row>
    <row r="57" spans="1:17">
      <c r="A57" s="379" t="s">
        <v>1716</v>
      </c>
      <c r="B57" s="460" t="s">
        <v>1682</v>
      </c>
      <c r="C57" s="461" t="str">
        <f>C9</f>
        <v>公服</v>
      </c>
      <c r="D57" s="3151" t="s">
        <v>3433</v>
      </c>
      <c r="E57" s="462"/>
      <c r="F57" s="462"/>
      <c r="G57" s="462"/>
      <c r="H57" s="462"/>
      <c r="I57" s="462"/>
      <c r="J57" s="462"/>
      <c r="K57" s="463"/>
      <c r="L57" s="464"/>
      <c r="M57" s="465"/>
      <c r="N57" s="879"/>
      <c r="O57" s="879"/>
      <c r="P57" s="40"/>
      <c r="Q57" s="439"/>
    </row>
    <row r="58" spans="1:17" ht="15.75" thickBot="1">
      <c r="A58" s="367"/>
      <c r="B58" s="466"/>
      <c r="C58" s="467">
        <v>100</v>
      </c>
      <c r="D58" s="467">
        <v>95</v>
      </c>
      <c r="E58" s="467"/>
      <c r="F58" s="467"/>
      <c r="G58" s="467"/>
      <c r="H58" s="467"/>
      <c r="I58" s="467"/>
      <c r="J58" s="467"/>
      <c r="K58" s="467"/>
      <c r="L58" s="467"/>
      <c r="M58" s="468"/>
      <c r="N58" s="880"/>
      <c r="O58" s="880"/>
      <c r="P58" s="40"/>
      <c r="Q58" s="439"/>
    </row>
    <row r="59" spans="1:17" ht="27.75" thickTop="1">
      <c r="A59" s="367"/>
      <c r="B59" s="469" t="s">
        <v>1685</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1691</v>
      </c>
      <c r="B88" s="460" t="s">
        <v>1733</v>
      </c>
      <c r="C88" s="3151" t="s">
        <v>3435</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95</v>
      </c>
      <c r="E89" s="475">
        <f t="shared" si="19"/>
        <v>90</v>
      </c>
      <c r="F89" s="475">
        <f t="shared" si="19"/>
        <v>85</v>
      </c>
      <c r="G89" s="475">
        <f t="shared" si="19"/>
        <v>80</v>
      </c>
      <c r="H89" s="475">
        <f t="shared" si="19"/>
        <v>75</v>
      </c>
      <c r="I89" s="475">
        <f t="shared" si="19"/>
        <v>70</v>
      </c>
      <c r="J89" s="475">
        <f t="shared" si="19"/>
        <v>65</v>
      </c>
      <c r="K89" s="475">
        <f t="shared" si="19"/>
        <v>60</v>
      </c>
      <c r="L89" s="475">
        <f t="shared" si="19"/>
        <v>55</v>
      </c>
      <c r="M89" s="476">
        <f t="shared" si="19"/>
        <v>50</v>
      </c>
      <c r="N89" s="880"/>
      <c r="O89" s="880"/>
      <c r="P89" s="40"/>
      <c r="Q89" s="439"/>
    </row>
    <row r="90" spans="1:17" ht="29.25" thickTop="1">
      <c r="A90" s="367"/>
      <c r="B90" s="469" t="s">
        <v>1734</v>
      </c>
      <c r="C90" s="509" t="str">
        <f>C91&amp;"(含)"&amp;"-"&amp;D91</f>
        <v>0(含)-5000</v>
      </c>
      <c r="D90" s="509" t="str">
        <f t="shared" ref="D90:L90" si="20">D91&amp;"(含)"&amp;"-"&amp;E91</f>
        <v>5000(含)-10000</v>
      </c>
      <c r="E90" s="509" t="str">
        <f t="shared" si="20"/>
        <v>10000(含)-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5000</v>
      </c>
      <c r="E91" s="6">
        <v>10000</v>
      </c>
      <c r="F91" s="6"/>
      <c r="G91" s="6"/>
      <c r="H91" s="6"/>
      <c r="I91" s="6"/>
      <c r="J91" s="524"/>
      <c r="K91" s="524"/>
      <c r="L91" s="525"/>
      <c r="M91" s="526"/>
      <c r="N91" s="881"/>
      <c r="O91" s="881"/>
      <c r="P91" s="489"/>
      <c r="Q91" s="490"/>
    </row>
    <row r="92" spans="1:17" s="408" customFormat="1" ht="15.75" thickBot="1">
      <c r="A92" s="484"/>
      <c r="B92" s="474"/>
      <c r="C92" s="491">
        <v>100</v>
      </c>
      <c r="D92" s="467">
        <v>98</v>
      </c>
      <c r="E92" s="467"/>
      <c r="F92" s="467"/>
      <c r="G92" s="467"/>
      <c r="H92" s="467"/>
      <c r="I92" s="467"/>
      <c r="J92" s="467"/>
      <c r="K92" s="467"/>
      <c r="L92" s="467"/>
      <c r="M92" s="468"/>
      <c r="N92" s="880"/>
      <c r="O92" s="880"/>
      <c r="P92" s="489"/>
      <c r="Q92" s="490"/>
    </row>
    <row r="93" spans="1:17" ht="15" thickTop="1">
      <c r="A93" s="409"/>
      <c r="B93" s="469" t="s">
        <v>1735</v>
      </c>
      <c r="C93" s="3152" t="s">
        <v>3436</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98</v>
      </c>
      <c r="E94" s="475">
        <f t="shared" si="21"/>
        <v>96</v>
      </c>
      <c r="F94" s="475">
        <f t="shared" si="21"/>
        <v>94</v>
      </c>
      <c r="G94" s="475">
        <f t="shared" si="21"/>
        <v>92</v>
      </c>
      <c r="H94" s="475">
        <f t="shared" si="21"/>
        <v>90</v>
      </c>
      <c r="I94" s="475">
        <f t="shared" si="21"/>
        <v>88</v>
      </c>
      <c r="J94" s="475">
        <f t="shared" si="21"/>
        <v>86</v>
      </c>
      <c r="K94" s="475">
        <f t="shared" si="21"/>
        <v>84</v>
      </c>
      <c r="L94" s="475">
        <f t="shared" si="21"/>
        <v>82</v>
      </c>
      <c r="M94" s="476">
        <f t="shared" si="21"/>
        <v>80</v>
      </c>
      <c r="N94" s="880"/>
      <c r="O94" s="880"/>
      <c r="P94" s="40"/>
      <c r="Q94" s="439"/>
    </row>
    <row r="95" spans="1:17" ht="15" thickTop="1">
      <c r="A95" s="409"/>
      <c r="B95" s="469" t="s">
        <v>1737</v>
      </c>
      <c r="C95" s="3152" t="s">
        <v>3437</v>
      </c>
      <c r="D95" s="3152" t="s">
        <v>3438</v>
      </c>
      <c r="E95" s="3152" t="s">
        <v>3439</v>
      </c>
      <c r="F95" s="3153" t="s">
        <v>3440</v>
      </c>
      <c r="G95" s="513"/>
      <c r="H95" s="513"/>
      <c r="I95" s="513"/>
      <c r="J95" s="513"/>
      <c r="K95" s="514"/>
      <c r="L95" s="515"/>
      <c r="M95" s="516"/>
      <c r="N95" s="879"/>
      <c r="O95" s="879"/>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80"/>
      <c r="O96" s="880"/>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80"/>
      <c r="O99" s="880"/>
      <c r="P99" s="40"/>
      <c r="Q99" s="439"/>
    </row>
    <row r="100" spans="1:17" s="408" customFormat="1" ht="15" thickTop="1">
      <c r="A100" s="406"/>
      <c r="B100" s="469" t="s">
        <v>1738</v>
      </c>
      <c r="C100" s="3152" t="s">
        <v>3441</v>
      </c>
      <c r="D100" s="3152" t="s">
        <v>3443</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98</v>
      </c>
      <c r="E101" s="475">
        <f t="shared" ref="E101:M101" si="24">D101-$K34</f>
        <v>96</v>
      </c>
      <c r="F101" s="475">
        <f t="shared" si="24"/>
        <v>94</v>
      </c>
      <c r="G101" s="475">
        <f t="shared" si="24"/>
        <v>92</v>
      </c>
      <c r="H101" s="475">
        <f t="shared" si="24"/>
        <v>90</v>
      </c>
      <c r="I101" s="475">
        <f t="shared" si="24"/>
        <v>88</v>
      </c>
      <c r="J101" s="475">
        <f t="shared" si="24"/>
        <v>86</v>
      </c>
      <c r="K101" s="475">
        <f t="shared" si="24"/>
        <v>84</v>
      </c>
      <c r="L101" s="475">
        <f t="shared" si="24"/>
        <v>82</v>
      </c>
      <c r="M101" s="475">
        <f t="shared" si="24"/>
        <v>80</v>
      </c>
      <c r="N101" s="881"/>
      <c r="O101" s="881"/>
      <c r="P101" s="489"/>
      <c r="Q101" s="490"/>
    </row>
    <row r="102" spans="1:17" ht="15" thickTop="1">
      <c r="A102" s="409"/>
      <c r="B102" s="469" t="s">
        <v>1739</v>
      </c>
      <c r="C102" s="485" t="str">
        <f>C76</f>
        <v>七通</v>
      </c>
      <c r="D102" s="485" t="str">
        <f>D76</f>
        <v>六通</v>
      </c>
      <c r="E102" s="485" t="str">
        <f>E76</f>
        <v>五通</v>
      </c>
      <c r="F102" s="485" t="str">
        <f>F76</f>
        <v>四通</v>
      </c>
      <c r="G102" s="485" t="str">
        <f>G76</f>
        <v>三通</v>
      </c>
      <c r="H102" s="513"/>
      <c r="I102" s="513"/>
      <c r="J102" s="513"/>
      <c r="K102" s="514"/>
      <c r="L102" s="515"/>
      <c r="M102" s="516"/>
      <c r="N102" s="879"/>
      <c r="O102" s="879"/>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80"/>
      <c r="O103" s="880"/>
      <c r="P103" s="40"/>
      <c r="Q103" s="439"/>
    </row>
    <row r="104" spans="1:17" ht="15" thickTop="1">
      <c r="A104" s="409"/>
      <c r="B104" s="469" t="s">
        <v>1741</v>
      </c>
      <c r="C104" s="485" t="str">
        <f>C95</f>
        <v>精装修</v>
      </c>
      <c r="D104" s="485" t="str">
        <f>D95</f>
        <v>普通装修</v>
      </c>
      <c r="E104" s="485" t="str">
        <f>E95</f>
        <v>简单装修</v>
      </c>
      <c r="F104" s="485" t="str">
        <f>F95</f>
        <v>毛坯</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5.75" thickBot="1">
      <c r="A107" s="367"/>
      <c r="B107" s="474"/>
      <c r="C107" s="512">
        <v>100</v>
      </c>
      <c r="D107" s="475">
        <f t="shared" ref="D107:M107" si="26">C107-$K37</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5">
        <f t="shared" si="26"/>
        <v>80</v>
      </c>
      <c r="N107" s="880"/>
      <c r="O107" s="880"/>
      <c r="P107" s="40"/>
      <c r="Q107" s="439"/>
    </row>
    <row r="108" spans="1:17" s="408" customFormat="1" ht="15" thickTop="1">
      <c r="A108" s="406"/>
      <c r="B108" s="469" t="str">
        <f>B38</f>
        <v>地下占比</v>
      </c>
      <c r="C108" s="3157">
        <v>0.2</v>
      </c>
      <c r="D108" s="3157">
        <v>0</v>
      </c>
      <c r="E108" s="485"/>
      <c r="F108" s="485"/>
      <c r="G108" s="485"/>
      <c r="H108" s="486"/>
      <c r="I108" s="486"/>
      <c r="J108" s="486"/>
      <c r="K108" s="486"/>
      <c r="L108" s="487"/>
      <c r="M108" s="488"/>
      <c r="N108" s="881"/>
      <c r="O108" s="881"/>
      <c r="P108" s="489"/>
      <c r="Q108" s="490"/>
    </row>
    <row r="109" spans="1:17" s="408" customFormat="1" ht="15.75" thickBot="1">
      <c r="A109" s="484"/>
      <c r="B109" s="466"/>
      <c r="C109" s="491">
        <v>80</v>
      </c>
      <c r="D109" s="467">
        <v>100</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200-000000000000}">
      <formula1>项目类型</formula1>
    </dataValidation>
    <dataValidation type="list" allowBlank="1" showInputMessage="1" showErrorMessage="1" sqref="C20 G20 E20 I20" xr:uid="{00000000-0002-0000-1200-000001000000}">
      <formula1>公共配套设施</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4 G24 I24 C24" xr:uid="{00000000-0002-0000-1200-000003000000}">
      <formula1>环境</formula1>
    </dataValidation>
    <dataValidation type="list" allowBlank="1" showInputMessage="1" showErrorMessage="1" sqref="C8 E8 G8 I8" xr:uid="{00000000-0002-0000-1200-000004000000}">
      <formula1>工业交易情况</formula1>
    </dataValidation>
    <dataValidation type="list" allowBlank="1" showInputMessage="1" showErrorMessage="1" sqref="E9 G9 I9" xr:uid="{00000000-0002-0000-1200-000005000000}">
      <formula1>工业用途</formula1>
    </dataValidation>
    <dataValidation type="list" allowBlank="1" showInputMessage="1" showErrorMessage="1" sqref="C29 E29 G29 I29" xr:uid="{00000000-0002-0000-1200-000006000000}">
      <formula1>工业建筑类型</formula1>
    </dataValidation>
    <dataValidation type="list" allowBlank="1" showInputMessage="1" showErrorMessage="1" sqref="C31 E31 G31 I31" xr:uid="{00000000-0002-0000-1200-000007000000}">
      <formula1>工业建筑结构</formula1>
    </dataValidation>
    <dataValidation type="list" allowBlank="1" showInputMessage="1" showErrorMessage="1" sqref="C32 E32 G32 I32" xr:uid="{00000000-0002-0000-1200-000008000000}">
      <formula1>工业公共部分装修</formula1>
    </dataValidation>
    <dataValidation type="list" allowBlank="1" showInputMessage="1" showErrorMessage="1" sqref="C34 E34 G34 I34" xr:uid="{00000000-0002-0000-1200-000009000000}">
      <formula1>工业物业管理</formula1>
    </dataValidation>
    <dataValidation type="list" allowBlank="1" showInputMessage="1" showErrorMessage="1" sqref="C35 E35 G35 I35" xr:uid="{00000000-0002-0000-1200-00000A000000}">
      <formula1>工业基础设施水平</formula1>
    </dataValidation>
    <dataValidation type="list" allowBlank="1" showInputMessage="1" showErrorMessage="1" sqref="C36 E36 G36 I36" xr:uid="{00000000-0002-0000-1200-00000B000000}">
      <formula1>工业内部装修</formula1>
    </dataValidation>
    <dataValidation type="list" allowBlank="1" showInputMessage="1" showErrorMessage="1" sqref="C37 E37 G37 I37" xr:uid="{00000000-0002-0000-1200-00000C000000}">
      <formula1>内部装修维护情况</formula1>
    </dataValidation>
    <dataValidation type="list" allowBlank="1" showInputMessage="1" showErrorMessage="1" sqref="C16 E16 G16 I16" xr:uid="{00000000-0002-0000-1200-00000D000000}">
      <formula1>产业集聚程度</formula1>
    </dataValidation>
    <dataValidation type="list" allowBlank="1" showInputMessage="1" showErrorMessage="1" sqref="C22 E22 G22 I22" xr:uid="{00000000-0002-0000-1200-00000E000000}">
      <formula1>基础设施水平</formula1>
    </dataValidation>
    <dataValidation type="list" allowBlank="1" showInputMessage="1" showErrorMessage="1" sqref="F1" xr:uid="{00000000-0002-0000-1200-00000F000000}">
      <formula1>"售价,租金"</formula1>
    </dataValidation>
    <dataValidation type="list" allowBlank="1" showInputMessage="1" showErrorMessage="1" sqref="C2" xr:uid="{00000000-0002-0000-1200-000010000000}">
      <formula1>"需扣减承租人权益,——"</formula1>
    </dataValidation>
    <dataValidation type="list" allowBlank="1" showInputMessage="1" showErrorMessage="1" sqref="F2" xr:uid="{00000000-0002-0000-1200-000011000000}">
      <formula1>估价方法</formula1>
    </dataValidation>
    <dataValidation type="list" allowBlank="1" showInputMessage="1" showErrorMessage="1" sqref="D42" xr:uid="{00000000-0002-0000-1200-000012000000}">
      <formula1>"简单平均,加权平均"</formula1>
    </dataValidation>
    <dataValidation type="list" allowBlank="1" showInputMessage="1" showErrorMessage="1" sqref="E1" xr:uid="{00000000-0002-0000-1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FFC000"/>
  </sheetPr>
  <dimension ref="A1:AK83"/>
  <sheetViews>
    <sheetView view="pageBreakPreview" topLeftCell="A25" zoomScale="90" zoomScaleNormal="70" zoomScaleSheetLayoutView="90" workbookViewId="0">
      <selection activeCell="H40" sqref="H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3397</v>
      </c>
      <c r="D1" s="1271" t="s">
        <v>43</v>
      </c>
      <c r="E1" s="1272" t="s">
        <v>678</v>
      </c>
      <c r="F1" s="999">
        <f ca="1">J53</f>
        <v>33.380000000000003</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11346</v>
      </c>
      <c r="C2" s="1289" t="s">
        <v>805</v>
      </c>
      <c r="D2" s="1289"/>
      <c r="E2" s="1295"/>
      <c r="F2" s="1296"/>
      <c r="G2" s="2474"/>
      <c r="H2" s="2464"/>
      <c r="I2" s="2464"/>
      <c r="J2" s="2464"/>
      <c r="K2" s="2465"/>
      <c r="L2" s="2464"/>
      <c r="M2" s="2464"/>
    </row>
    <row r="3" spans="1:37" ht="18" customHeight="1" thickBot="1">
      <c r="A3" s="1297" t="s">
        <v>806</v>
      </c>
      <c r="B3" s="1298">
        <f ca="1">IF(ISERROR(B2*10000/F43),0,ROUND(B2*10000/F43,0))</f>
        <v>12473</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688</v>
      </c>
      <c r="D5" s="1273" t="s">
        <v>693</v>
      </c>
      <c r="E5" s="1008"/>
      <c r="F5" s="1009"/>
      <c r="G5" s="1292"/>
      <c r="H5" s="291">
        <v>1</v>
      </c>
      <c r="I5" s="292" t="s">
        <v>692</v>
      </c>
      <c r="J5" s="1007">
        <f ca="1">J6+J10+J12</f>
        <v>0</v>
      </c>
      <c r="K5" s="1273" t="s">
        <v>693</v>
      </c>
      <c r="L5" s="1008"/>
      <c r="M5" s="1009"/>
    </row>
    <row r="6" spans="1:37" ht="18" customHeight="1">
      <c r="A6" s="1006" t="s">
        <v>398</v>
      </c>
      <c r="B6" s="3387" t="s">
        <v>694</v>
      </c>
      <c r="C6" s="1011">
        <f ca="1">ROUND(F6*F8*F7*(1-F9)/10000,0)</f>
        <v>687</v>
      </c>
      <c r="D6" s="147" t="s">
        <v>2106</v>
      </c>
      <c r="E6" s="294" t="s">
        <v>696</v>
      </c>
      <c r="F6" s="295">
        <f ca="1">INDIRECT("'数据-取费表'!u"&amp;$G$1)</f>
        <v>2.2999999999999998</v>
      </c>
      <c r="G6" s="1292"/>
      <c r="H6" s="1006" t="s">
        <v>398</v>
      </c>
      <c r="I6" s="3387" t="s">
        <v>694</v>
      </c>
      <c r="J6" s="293">
        <f ca="1">ROUND(M6*M8*M7*(1-M9)/10000,0)</f>
        <v>0</v>
      </c>
      <c r="K6" s="147" t="s">
        <v>2105</v>
      </c>
      <c r="L6" s="294" t="s">
        <v>696</v>
      </c>
      <c r="M6" s="295">
        <f ca="1">INDIRECT("'数据-取费表'!z"&amp;$G$1)</f>
        <v>0</v>
      </c>
    </row>
    <row r="7" spans="1:37" ht="18" customHeight="1">
      <c r="A7" s="1010"/>
      <c r="B7" s="3388"/>
      <c r="C7" s="1012"/>
      <c r="D7" s="299"/>
      <c r="E7" s="1013" t="s">
        <v>697</v>
      </c>
      <c r="F7" s="295">
        <f ca="1">IF(INDIRECT("'数据-取费表'!ah"&amp;$G$1)="",INDIRECT("'数据-取费表'!k"&amp;$G$1),INDIRECT("'数据-取费表'!ah"&amp;$G$1))</f>
        <v>9096.41</v>
      </c>
      <c r="G7" s="1292"/>
      <c r="H7" s="296"/>
      <c r="I7" s="3388"/>
      <c r="J7" s="298"/>
      <c r="K7" s="299"/>
      <c r="L7" s="294" t="s">
        <v>697</v>
      </c>
      <c r="M7" s="295">
        <f ca="1">F7</f>
        <v>9096.41</v>
      </c>
    </row>
    <row r="8" spans="1:37" ht="18" customHeight="1">
      <c r="A8" s="296"/>
      <c r="B8" s="3388"/>
      <c r="C8" s="298"/>
      <c r="D8" s="299"/>
      <c r="E8" s="294" t="s">
        <v>698</v>
      </c>
      <c r="F8" s="295">
        <f ca="1">INDIRECT("'数据-取费表'!ai"&amp;$G$1)</f>
        <v>365</v>
      </c>
      <c r="G8" s="1292"/>
      <c r="H8" s="296"/>
      <c r="I8" s="3388"/>
      <c r="J8" s="298"/>
      <c r="K8" s="299"/>
      <c r="L8" s="294" t="s">
        <v>698</v>
      </c>
      <c r="M8" s="295">
        <f ca="1">INDIRECT("'数据-取费表'!ai"&amp;$G$1)</f>
        <v>365</v>
      </c>
    </row>
    <row r="9" spans="1:37" ht="18" customHeight="1">
      <c r="A9" s="296"/>
      <c r="B9" s="3389"/>
      <c r="C9" s="298"/>
      <c r="D9" s="299"/>
      <c r="E9" s="294" t="s">
        <v>699</v>
      </c>
      <c r="F9" s="304">
        <f ca="1">INDIRECT("'数据-取费表'!w"&amp;$G$1)</f>
        <v>0.1</v>
      </c>
      <c r="G9" s="1292"/>
      <c r="H9" s="296"/>
      <c r="I9" s="3389"/>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2114</v>
      </c>
      <c r="E10" s="305" t="s">
        <v>701</v>
      </c>
      <c r="F10" s="1053" t="s">
        <v>3415</v>
      </c>
      <c r="G10" s="1292"/>
      <c r="H10" s="1006" t="s">
        <v>402</v>
      </c>
      <c r="I10" s="1274" t="s">
        <v>700</v>
      </c>
      <c r="J10" s="293">
        <f ca="1">ROUND(IF(M10="押一",J6/12*M11,IF(M10="押二",J6/12*2*M11,IF(M10="押三",J6/12*3*M11,J11*M11))),0)</f>
        <v>0</v>
      </c>
      <c r="K10" s="150" t="s">
        <v>2113</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4412</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3457</v>
      </c>
      <c r="D14" s="1257" t="s">
        <v>708</v>
      </c>
      <c r="E14" s="1255"/>
      <c r="F14" s="311"/>
      <c r="G14" s="1292"/>
      <c r="H14" s="928" t="s">
        <v>398</v>
      </c>
      <c r="I14" s="294" t="s">
        <v>709</v>
      </c>
      <c r="J14" s="21">
        <f ca="1">C29</f>
        <v>5191</v>
      </c>
      <c r="K14" s="12"/>
      <c r="L14" s="759"/>
      <c r="M14" s="760"/>
    </row>
    <row r="15" spans="1:37" s="1304" customFormat="1" ht="18" customHeight="1" thickBot="1">
      <c r="A15" s="928" t="s">
        <v>399</v>
      </c>
      <c r="B15" s="294" t="s">
        <v>710</v>
      </c>
      <c r="C15" s="21">
        <f ca="1">ROUND(C14*F15,0)</f>
        <v>173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26</v>
      </c>
      <c r="K16" s="1024" t="s">
        <v>715</v>
      </c>
      <c r="L16" s="1025"/>
      <c r="M16" s="1009"/>
    </row>
    <row r="17" spans="1:37" s="1304" customFormat="1" ht="18" customHeight="1">
      <c r="A17" s="928" t="s">
        <v>681</v>
      </c>
      <c r="B17" s="294" t="s">
        <v>716</v>
      </c>
      <c r="C17" s="21">
        <f ca="1">ROUND(F17*(F43+INDIRECT("'数据-取费表'!S"&amp;$G$1))/10000,0)</f>
        <v>182</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3881</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116</v>
      </c>
      <c r="D20" s="315" t="s">
        <v>729</v>
      </c>
      <c r="E20" s="294" t="s">
        <v>712</v>
      </c>
      <c r="F20" s="314">
        <f>'数据-取费表'!B37</f>
        <v>0.03</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25.96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138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-26</v>
      </c>
      <c r="K25" s="1032" t="s">
        <v>753</v>
      </c>
      <c r="L25" s="1033"/>
      <c r="M25" s="1034"/>
    </row>
    <row r="26" spans="1:37">
      <c r="A26" s="928" t="s">
        <v>397</v>
      </c>
      <c r="B26" s="294" t="s">
        <v>754</v>
      </c>
      <c r="C26" s="21">
        <f ca="1">ROUND((C19+C20)*F26,0)</f>
        <v>600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5191</v>
      </c>
      <c r="D29" s="1029"/>
      <c r="E29" s="1027"/>
      <c r="F29" s="1030"/>
      <c r="G29" s="1303"/>
      <c r="H29" s="325" t="s">
        <v>396</v>
      </c>
      <c r="I29" s="326" t="s">
        <v>768</v>
      </c>
      <c r="J29" s="327">
        <f ca="1">ROUND(J26/(1+F40)^F41,0)</f>
        <v>0</v>
      </c>
      <c r="K29" s="328" t="s">
        <v>769</v>
      </c>
      <c r="L29" s="329"/>
      <c r="M29" s="330">
        <f ca="1">INDIRECT("'数据-取费表'!k"&amp;$G$1)</f>
        <v>9096.41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148</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114.5</v>
      </c>
      <c r="D31" s="1257" t="s">
        <v>720</v>
      </c>
      <c r="E31" s="1256" t="s">
        <v>770</v>
      </c>
      <c r="F31" s="2139" t="str">
        <f>IF(项目基本情况!B11="企业","——",IF(M47="住宅",IF(F6*F7*F8/12/(1+'数据-取费表'!F30)&gt;100000,4%,2.5%),IF(F6*F7*F8/12/(1+'数据-取费表'!F30)&gt;100000,12%,7%)))</f>
        <v>——</v>
      </c>
      <c r="G31" s="1292"/>
      <c r="H31" s="2565" t="s">
        <v>2296</v>
      </c>
      <c r="I31" s="1305"/>
      <c r="J31" s="1306"/>
      <c r="K31" s="121"/>
      <c r="L31" s="2467"/>
      <c r="M31" s="2468"/>
    </row>
    <row r="32" spans="1:37" ht="18" customHeight="1">
      <c r="A32" s="928" t="s">
        <v>397</v>
      </c>
      <c r="B32" s="294" t="s">
        <v>723</v>
      </c>
      <c r="C32" s="21">
        <f ca="1">IF(项目基本情况!B11="自然人","——",ROUND(C6*F32/(1+'数据-取费表'!C42),2))</f>
        <v>35.99</v>
      </c>
      <c r="D32" s="1256" t="s">
        <v>724</v>
      </c>
      <c r="E32" s="294" t="s">
        <v>712</v>
      </c>
      <c r="F32" s="322">
        <f>'数据-取费表'!B41</f>
        <v>5.5000000000000007E-2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78.510000000000005</v>
      </c>
      <c r="D33" s="1278" t="s">
        <v>3325</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ROUND(C29*F36,2)</f>
        <v>25.96</v>
      </c>
      <c r="D36" s="1256" t="s">
        <v>771</v>
      </c>
      <c r="E36" s="294" t="s">
        <v>712</v>
      </c>
      <c r="F36" s="320">
        <f ca="1">INDIRECT("'数据-取费表'!Ak"&amp;$G$1)</f>
        <v>5.0000000000000001E-3</v>
      </c>
      <c r="G36" s="1292"/>
      <c r="H36" s="2469"/>
      <c r="I36" s="1305"/>
      <c r="J36" s="1306"/>
      <c r="K36" s="2325"/>
      <c r="L36" s="2469"/>
      <c r="M36" s="2469"/>
    </row>
    <row r="37" spans="1:18" ht="18" customHeight="1">
      <c r="A37" s="928" t="s">
        <v>437</v>
      </c>
      <c r="B37" s="294" t="s">
        <v>742</v>
      </c>
      <c r="C37" s="21">
        <f ca="1">ROUND(C13*F37,2)</f>
        <v>4.41</v>
      </c>
      <c r="D37" s="1256" t="s">
        <v>743</v>
      </c>
      <c r="E37" s="294" t="s">
        <v>744</v>
      </c>
      <c r="F37" s="321">
        <f ca="1">INDIRECT("'数据-取费表'!Al"&amp;$G$1)</f>
        <v>1E-3</v>
      </c>
      <c r="G37" s="1292"/>
      <c r="H37" s="2469"/>
      <c r="I37" s="1305"/>
      <c r="J37" s="1306"/>
      <c r="K37" s="2325"/>
      <c r="L37" s="2469"/>
      <c r="M37" s="2469"/>
    </row>
    <row r="38" spans="1:18" ht="18" customHeight="1" thickBot="1">
      <c r="A38" s="1026" t="s">
        <v>684</v>
      </c>
      <c r="B38" s="1027" t="s">
        <v>728</v>
      </c>
      <c r="C38" s="1028">
        <f ca="1">ROUND(C5*F38,2)</f>
        <v>3.44</v>
      </c>
      <c r="D38" s="1029" t="s">
        <v>748</v>
      </c>
      <c r="E38" s="1027" t="s">
        <v>744</v>
      </c>
      <c r="F38" s="1023">
        <f ca="1">INDIRECT("'数据-取费表'!Am"&amp;$G$1)</f>
        <v>5.0000000000000001E-3</v>
      </c>
      <c r="G38" s="1292"/>
      <c r="H38" s="2469"/>
      <c r="I38" s="1305"/>
      <c r="J38" s="1306"/>
      <c r="K38" s="2467"/>
      <c r="L38" s="2469"/>
      <c r="M38" s="2469"/>
    </row>
    <row r="39" spans="1:18" ht="24.6" customHeight="1" thickTop="1">
      <c r="A39" s="1016" t="s">
        <v>394</v>
      </c>
      <c r="B39" s="1031" t="s">
        <v>772</v>
      </c>
      <c r="C39" s="302">
        <f ca="1">C5-C30</f>
        <v>540</v>
      </c>
      <c r="D39" s="1032" t="s">
        <v>773</v>
      </c>
      <c r="E39" s="1033"/>
      <c r="F39" s="1034"/>
      <c r="G39" s="1292"/>
      <c r="H39" s="2469"/>
      <c r="I39" s="1305"/>
      <c r="J39" s="1306"/>
      <c r="K39" s="2467"/>
      <c r="L39" s="2469"/>
      <c r="M39" s="2469"/>
    </row>
    <row r="40" spans="1:18" ht="18" customHeight="1">
      <c r="A40" s="291" t="s">
        <v>395</v>
      </c>
      <c r="B40" s="292" t="s">
        <v>774</v>
      </c>
      <c r="C40" s="293">
        <f ca="1">ROUND(C39*(1-((1+F42)/(1+F40))^F41)/(F40-F42),0)</f>
        <v>11160</v>
      </c>
      <c r="D40" s="316" t="s">
        <v>758</v>
      </c>
      <c r="E40" s="294" t="s">
        <v>759</v>
      </c>
      <c r="F40" s="304">
        <f ca="1">INDIRECT("'数据-取费表'!I"&amp;$G$1)</f>
        <v>0.05</v>
      </c>
      <c r="G40" s="1292"/>
      <c r="H40" s="1366">
        <f ca="1">C39/C6</f>
        <v>0.78602620087336239</v>
      </c>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33.380000000000003</v>
      </c>
      <c r="G41" s="1292"/>
      <c r="H41" s="121"/>
      <c r="I41" s="1305"/>
      <c r="J41" s="1306"/>
      <c r="K41" s="2325"/>
      <c r="L41" s="121"/>
      <c r="M41" s="121"/>
    </row>
    <row r="42" spans="1:18" ht="18" customHeight="1">
      <c r="A42" s="300"/>
      <c r="B42" s="301"/>
      <c r="C42" s="302"/>
      <c r="D42" s="319"/>
      <c r="E42" s="294" t="s">
        <v>766</v>
      </c>
      <c r="F42" s="304">
        <f ca="1">INDIRECT("'数据-取费表'!v"&amp;$G$1)</f>
        <v>0.02</v>
      </c>
      <c r="G42" s="1292"/>
      <c r="H42" s="121"/>
      <c r="I42" s="1305"/>
      <c r="J42" s="1306"/>
      <c r="K42" s="2325"/>
      <c r="L42" s="121"/>
      <c r="M42" s="121"/>
    </row>
    <row r="43" spans="1:18" ht="18" customHeight="1" thickBot="1">
      <c r="A43" s="325" t="s">
        <v>396</v>
      </c>
      <c r="B43" s="326" t="s">
        <v>776</v>
      </c>
      <c r="C43" s="327">
        <f ca="1">ROUND(C40*10000/F43,0)</f>
        <v>12269</v>
      </c>
      <c r="D43" s="328" t="s">
        <v>777</v>
      </c>
      <c r="E43" s="329" t="s">
        <v>778</v>
      </c>
      <c r="F43" s="330">
        <f ca="1">INDIRECT("'数据-取费表'!k"&amp;$G$1)</f>
        <v>9096.41</v>
      </c>
      <c r="G43" s="1292"/>
      <c r="H43" s="121"/>
      <c r="I43" s="121"/>
      <c r="J43" s="121"/>
      <c r="K43" s="2325"/>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5" thickBot="1">
      <c r="A46" s="1311" t="s">
        <v>809</v>
      </c>
      <c r="C46" s="1312">
        <f ca="1">C68-C40</f>
        <v>-11642</v>
      </c>
      <c r="D46" s="1313" t="str">
        <f>C2</f>
        <v>万元</v>
      </c>
      <c r="E46" s="1307"/>
      <c r="F46" s="1307"/>
      <c r="I46" s="1314" t="s">
        <v>810</v>
      </c>
      <c r="J46" s="1315"/>
      <c r="K46" s="1316"/>
      <c r="L46" s="1317">
        <f ca="1">IF(M47="住宅",0,IF(L48&gt;J51,L60,J60))</f>
        <v>186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11160</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33.380000000000003</v>
      </c>
      <c r="O48" s="1325" t="s">
        <v>404</v>
      </c>
      <c r="P48" s="1326" t="s">
        <v>821</v>
      </c>
      <c r="Q48" s="1327">
        <f ca="1">J60</f>
        <v>186</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f>'数据-取费表'!N18</f>
        <v>2011</v>
      </c>
      <c r="K49" s="1330" t="s">
        <v>824</v>
      </c>
      <c r="L49" s="1333"/>
      <c r="O49" s="1334" t="s">
        <v>405</v>
      </c>
      <c r="P49" s="1326" t="s">
        <v>825</v>
      </c>
      <c r="Q49" s="1327">
        <f ca="1">C29</f>
        <v>5191</v>
      </c>
      <c r="R49" s="1327" t="s">
        <v>818</v>
      </c>
    </row>
    <row r="50" spans="1:18" s="1292" customFormat="1" ht="13.5" thickBot="1">
      <c r="A50" s="922"/>
      <c r="B50" s="925"/>
      <c r="C50" s="1055"/>
      <c r="D50" s="899"/>
      <c r="E50" s="993" t="s">
        <v>697</v>
      </c>
      <c r="F50" s="994">
        <f ca="1">F7</f>
        <v>9096.41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4488</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33.380000000000003</v>
      </c>
      <c r="R52" s="1327" t="s">
        <v>835</v>
      </c>
    </row>
    <row r="53" spans="1:18" s="1292" customFormat="1" ht="24.75" thickBot="1">
      <c r="A53" s="1079" t="s">
        <v>440</v>
      </c>
      <c r="B53" s="1281" t="s">
        <v>700</v>
      </c>
      <c r="C53" s="308">
        <f ca="1">ROUND(IF(F53="押一",C49/12*F11,IF(F53="押二",C49/12*2*F11,IF(F53="押三",C49/12*3*F11,C54*F11))),0)</f>
        <v>0</v>
      </c>
      <c r="D53" s="150" t="s">
        <v>2113</v>
      </c>
      <c r="E53" s="305" t="s">
        <v>701</v>
      </c>
      <c r="F53" s="1053"/>
      <c r="I53" s="1344" t="s">
        <v>836</v>
      </c>
      <c r="J53" s="2006">
        <f ca="1">IF(M47="住宅",IF(D1="——",MAX(J51,L48),MAX(J51,L48-'数据-取费表'!B24)),IF(D1="——",MIN(J51,L48),MIN(J51,L48-'数据-取费表'!B24)))</f>
        <v>33.380000000000003</v>
      </c>
      <c r="K53" s="3385" t="s">
        <v>837</v>
      </c>
      <c r="L53" s="3386"/>
      <c r="O53" s="1325" t="s">
        <v>409</v>
      </c>
      <c r="P53" s="1326" t="s">
        <v>838</v>
      </c>
      <c r="Q53" s="1327">
        <f ca="1">Q47+Q48</f>
        <v>11346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0.22700000000000001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4412</v>
      </c>
      <c r="D56" s="1352"/>
      <c r="E56" s="1353"/>
      <c r="F56" s="1345"/>
      <c r="I56" s="1354" t="s">
        <v>842</v>
      </c>
      <c r="J56" s="1355" t="s">
        <v>3376</v>
      </c>
      <c r="K56" s="1328" t="s">
        <v>843</v>
      </c>
      <c r="L56" s="1331" t="str">
        <f ca="1">IF(L48&lt;J51,"——",L48-J53)</f>
        <v>——</v>
      </c>
      <c r="O56" s="1325" t="s">
        <v>403</v>
      </c>
      <c r="P56" s="1326" t="s">
        <v>817</v>
      </c>
      <c r="Q56" s="1327">
        <f ca="1">C40+J29</f>
        <v>11160</v>
      </c>
      <c r="R56" s="1327" t="s">
        <v>818</v>
      </c>
    </row>
    <row r="57" spans="1:18" s="1292" customFormat="1" ht="24.75" thickBot="1">
      <c r="A57" s="1356"/>
      <c r="B57" s="896" t="s">
        <v>767</v>
      </c>
      <c r="C57" s="230">
        <f ca="1">C29</f>
        <v>5191</v>
      </c>
      <c r="D57" s="1357"/>
      <c r="E57" s="1358"/>
      <c r="F57" s="1359"/>
      <c r="I57" s="1360" t="s">
        <v>844</v>
      </c>
      <c r="J57" s="1361">
        <f ca="1">IF(OR(M47="住宅",J51&lt;L48,J56="是"),"——",J51-L48)</f>
        <v>13.619999999999997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2076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186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11160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25.96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4.41</v>
      </c>
      <c r="D65" s="910" t="s">
        <v>743</v>
      </c>
      <c r="E65" s="896" t="s">
        <v>744</v>
      </c>
      <c r="F65" s="321">
        <f t="shared" ca="1" si="0"/>
        <v>1E-3</v>
      </c>
      <c r="I65" s="1367" t="s">
        <v>867</v>
      </c>
      <c r="J65" s="610">
        <v>40</v>
      </c>
      <c r="K65" s="610">
        <v>30</v>
      </c>
      <c r="L65" s="610">
        <v>50</v>
      </c>
      <c r="M65" s="1369">
        <v>0.02</v>
      </c>
      <c r="O65" s="1325" t="s">
        <v>403</v>
      </c>
      <c r="P65" s="1326" t="s">
        <v>868</v>
      </c>
      <c r="Q65" s="1327">
        <f ca="1">C40+J29</f>
        <v>11160</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-30</v>
      </c>
      <c r="D67" s="909" t="s">
        <v>753</v>
      </c>
      <c r="E67" s="914"/>
      <c r="F67" s="915"/>
      <c r="O67" s="1334" t="s">
        <v>405</v>
      </c>
      <c r="P67" s="1326" t="s">
        <v>850</v>
      </c>
      <c r="Q67" s="1370">
        <f ca="1">L51</f>
        <v>4488</v>
      </c>
      <c r="R67" s="1327" t="s">
        <v>870</v>
      </c>
    </row>
    <row r="68" spans="1:18" s="1292" customFormat="1" ht="16.5" thickBot="1">
      <c r="A68" s="893" t="s">
        <v>395</v>
      </c>
      <c r="B68" s="894" t="s">
        <v>774</v>
      </c>
      <c r="C68" s="293">
        <f ca="1">ROUND(C67*(1-((1+F70)/(1+F68))^F69)/(F68-F70),0)</f>
        <v>-482</v>
      </c>
      <c r="D68" s="911" t="s">
        <v>758</v>
      </c>
      <c r="E68" s="896" t="s">
        <v>759</v>
      </c>
      <c r="F68" s="304">
        <f ca="1">F40</f>
        <v>0.05</v>
      </c>
      <c r="O68" s="1334" t="s">
        <v>406</v>
      </c>
      <c r="P68" s="1371" t="s">
        <v>871</v>
      </c>
      <c r="Q68" s="1327">
        <f ca="1">ROUND(Q69-Q70*Q71,0)</f>
        <v>231</v>
      </c>
      <c r="R68" s="1327" t="s">
        <v>414</v>
      </c>
    </row>
    <row r="69" spans="1:18" s="1292" customFormat="1" ht="13.5" thickBot="1">
      <c r="A69" s="897"/>
      <c r="B69" s="898"/>
      <c r="C69" s="298"/>
      <c r="D69" s="916" t="s">
        <v>762</v>
      </c>
      <c r="E69" s="896" t="s">
        <v>763</v>
      </c>
      <c r="F69" s="324">
        <f ca="1">F41</f>
        <v>33.380000000000003</v>
      </c>
      <c r="O69" s="1334" t="s">
        <v>411</v>
      </c>
      <c r="P69" s="1371" t="s">
        <v>872</v>
      </c>
      <c r="Q69" s="1327">
        <f ca="1">C39</f>
        <v>540</v>
      </c>
      <c r="R69" s="1327" t="s">
        <v>818</v>
      </c>
    </row>
    <row r="70" spans="1:18" s="1292" customFormat="1" ht="13.5" thickBot="1">
      <c r="A70" s="900"/>
      <c r="B70" s="901"/>
      <c r="C70" s="302"/>
      <c r="D70" s="912"/>
      <c r="E70" s="896" t="s">
        <v>766</v>
      </c>
      <c r="F70" s="991"/>
      <c r="O70" s="1334" t="s">
        <v>412</v>
      </c>
      <c r="P70" s="1371" t="s">
        <v>873</v>
      </c>
      <c r="Q70" s="1327">
        <f ca="1">C13</f>
        <v>4412</v>
      </c>
      <c r="R70" s="1327" t="s">
        <v>818</v>
      </c>
    </row>
    <row r="71" spans="1:18" s="1292" customFormat="1" ht="13.5" thickBot="1">
      <c r="A71" s="917" t="s">
        <v>396</v>
      </c>
      <c r="B71" s="918" t="s">
        <v>776</v>
      </c>
      <c r="C71" s="327">
        <f ca="1">ROUND(C68*10000/F71,0)</f>
        <v>-530</v>
      </c>
      <c r="D71" s="919" t="s">
        <v>777</v>
      </c>
      <c r="E71" s="920" t="s">
        <v>778</v>
      </c>
      <c r="F71" s="330">
        <f ca="1">F43</f>
        <v>9096.41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309</v>
      </c>
      <c r="D75" s="1292"/>
      <c r="E75" s="1292"/>
      <c r="F75" s="1292"/>
      <c r="K75" s="1309"/>
      <c r="L75" s="1292"/>
      <c r="O75" s="1325" t="s">
        <v>409</v>
      </c>
      <c r="P75" s="1326" t="s">
        <v>838</v>
      </c>
      <c r="Q75" s="1327">
        <f ca="1">Q65+Q66</f>
        <v>11160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0.42800000000000005</v>
      </c>
    </row>
    <row r="80" spans="1:18">
      <c r="B80" s="331" t="s">
        <v>800</v>
      </c>
      <c r="C80" s="266">
        <f ca="1">ROUND(C75/C39,3)</f>
        <v>0.57199999999999995</v>
      </c>
    </row>
    <row r="81" spans="2:3">
      <c r="B81" s="262" t="s">
        <v>801</v>
      </c>
      <c r="C81" s="230"/>
    </row>
    <row r="82" spans="2:3">
      <c r="B82" s="265" t="s">
        <v>802</v>
      </c>
      <c r="C82" s="267">
        <f ca="1">1-C83</f>
        <v>0.60499999999999998</v>
      </c>
    </row>
    <row r="83" spans="2:3">
      <c r="B83" s="265" t="s">
        <v>803</v>
      </c>
      <c r="C83" s="266">
        <f ca="1">ROUND(C13/C40,3)</f>
        <v>0.39500000000000002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300-000000000000}">
      <formula1>"按租金收入计税,按房产原值计税"</formula1>
    </dataValidation>
    <dataValidation type="list" allowBlank="1" showInputMessage="1" showErrorMessage="1" sqref="D33 D61" xr:uid="{00000000-0002-0000-1300-000001000000}">
      <formula1>"按租金收入计税,按房产原值计税,按票据"</formula1>
    </dataValidation>
    <dataValidation type="list" allowBlank="1" showInputMessage="1" showErrorMessage="1" sqref="C1" xr:uid="{00000000-0002-0000-1300-000002000000}">
      <formula1>项目类型</formula1>
    </dataValidation>
    <dataValidation type="list" allowBlank="1" showInputMessage="1" showErrorMessage="1" sqref="J47" xr:uid="{00000000-0002-0000-1300-000003000000}">
      <formula1>"钢,钢混,砖混"</formula1>
    </dataValidation>
    <dataValidation type="list" allowBlank="1" showInputMessage="1" showErrorMessage="1" sqref="J48" xr:uid="{00000000-0002-0000-1300-000004000000}">
      <formula1>"非生产用房,生产用房,受腐蚀的生产用房"</formula1>
    </dataValidation>
    <dataValidation type="list" allowBlank="1" showInputMessage="1" showErrorMessage="1" sqref="J56" xr:uid="{00000000-0002-0000-1300-000005000000}">
      <formula1>估价范围判定</formula1>
    </dataValidation>
    <dataValidation type="list" allowBlank="1" showInputMessage="1" showErrorMessage="1" sqref="L55" xr:uid="{00000000-0002-0000-1300-000006000000}">
      <formula1>"比较法,基准地价,收益还原"</formula1>
    </dataValidation>
    <dataValidation type="list" allowBlank="1" showInputMessage="1" showErrorMessage="1" sqref="M10 F10 F53" xr:uid="{00000000-0002-0000-1300-000007000000}">
      <formula1>"押一,押二,押三,自定义"</formula1>
    </dataValidation>
    <dataValidation type="list" allowBlank="1" showInputMessage="1" showErrorMessage="1" sqref="D1" xr:uid="{00000000-0002-0000-1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pageSetUpPr fitToPage="1"/>
  </sheetPr>
  <dimension ref="A1:I57"/>
  <sheetViews>
    <sheetView view="pageBreakPreview" zoomScale="90" zoomScaleNormal="70" zoomScaleSheetLayoutView="90" workbookViewId="0">
      <selection activeCell="J41" sqref="J4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74"/>
      <c r="C1" s="190"/>
      <c r="D1" s="190"/>
      <c r="E1" s="190"/>
      <c r="F1" s="190"/>
      <c r="G1" s="1062">
        <f>MATCH(B1,'数据-取费表'!A6:A16,0)+5</f>
        <v>7</v>
      </c>
    </row>
    <row r="2" spans="1:9" s="192" customFormat="1" ht="18" customHeight="1">
      <c r="A2" s="193" t="s">
        <v>1459</v>
      </c>
      <c r="B2" s="194">
        <f ca="1">IF(D2="——",C52,C52-E2)</f>
        <v>8792</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f ca="1">ROUND(B2*10000/(IF(B1="",'数据-汇总表'!E3,INDIRECT("'数据-取费表'!k"&amp;$G$1))),0)</f>
        <v>9665</v>
      </c>
      <c r="C3" s="191" t="s">
        <v>1462</v>
      </c>
      <c r="D3" s="191"/>
      <c r="E3" s="191"/>
      <c r="F3" s="191"/>
      <c r="G3" s="191"/>
    </row>
    <row r="4" spans="1:9" s="200" customFormat="1" ht="15.75">
      <c r="A4" s="197" t="s">
        <v>1463</v>
      </c>
      <c r="B4" s="198"/>
      <c r="C4" s="198"/>
      <c r="D4" s="198"/>
      <c r="E4" s="198"/>
      <c r="F4" s="198"/>
      <c r="G4" s="199"/>
    </row>
    <row r="5" spans="1:9" s="206" customFormat="1" ht="13.5" customHeight="1">
      <c r="A5" s="247" t="s">
        <v>1464</v>
      </c>
      <c r="B5" s="202" t="s">
        <v>1465</v>
      </c>
      <c r="C5" s="203">
        <f ca="1">C6+C7+C8</f>
        <v>3182</v>
      </c>
      <c r="D5" s="203" t="s">
        <v>1466</v>
      </c>
      <c r="E5" s="204" t="s">
        <v>1467</v>
      </c>
      <c r="F5" s="204" t="s">
        <v>1468</v>
      </c>
      <c r="G5" s="205"/>
    </row>
    <row r="6" spans="1:9" s="206" customFormat="1" ht="13.5" customHeight="1">
      <c r="A6" s="732" t="s">
        <v>1469</v>
      </c>
      <c r="B6" s="207" t="s">
        <v>1470</v>
      </c>
      <c r="C6" s="208">
        <f>基准地价修正!B2</f>
        <v>2911</v>
      </c>
      <c r="D6" s="209"/>
      <c r="E6" s="210"/>
      <c r="F6" s="210"/>
      <c r="G6" s="211"/>
    </row>
    <row r="7" spans="1:9" s="206" customFormat="1" ht="13.5" customHeight="1">
      <c r="A7" s="732" t="s">
        <v>1471</v>
      </c>
      <c r="B7" s="207" t="s">
        <v>1472</v>
      </c>
      <c r="C7" s="212">
        <f>ROUND(C6*F7,0)</f>
        <v>89</v>
      </c>
      <c r="D7" s="212"/>
      <c r="E7" s="210"/>
      <c r="F7" s="213">
        <f>IF(项目基本情况!B8="出让",0,'数据-取费表'!B48+'数据-取费表'!B49)</f>
        <v>3.0499999999999999E-2</v>
      </c>
      <c r="G7" s="211"/>
    </row>
    <row r="8" spans="1:9" s="215" customFormat="1">
      <c r="A8" s="732" t="s">
        <v>1473</v>
      </c>
      <c r="B8" s="207" t="s">
        <v>1474</v>
      </c>
      <c r="C8" s="212">
        <f ca="1">IF(G8="已包含在土地购买价格中","0",IF(B1="",'数据-取费表'!B29,IF(G9="全部缴纳",C9+C10,H9)))</f>
        <v>182</v>
      </c>
      <c r="D8" s="214"/>
      <c r="E8" s="212"/>
      <c r="F8" s="213"/>
      <c r="G8" s="1714" t="s">
        <v>3413</v>
      </c>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160</v>
      </c>
      <c r="F9" s="213"/>
      <c r="G9" s="1715"/>
      <c r="H9" s="1070"/>
      <c r="I9" s="1716" t="s">
        <v>1476</v>
      </c>
    </row>
    <row r="10" spans="1:9" s="206" customFormat="1" ht="13.5" customHeight="1">
      <c r="A10" s="733" t="s">
        <v>356</v>
      </c>
      <c r="B10" s="216" t="s">
        <v>1477</v>
      </c>
      <c r="C10" s="217">
        <f ca="1">ROUND(D10*E10/10000,0)</f>
        <v>182</v>
      </c>
      <c r="D10" s="795">
        <f ca="1">IF(B1="",'数据-汇总表'!E6,IF(INDIRECT("'数据-取费表'!c"&amp;$G$1)="住宅",INDIRECT("'数据-取费表'!s"&amp;$G$1),INDIRECT("'数据-取费表'!k"&amp;$G$1)+INDIRECT("'数据-取费表'!s"&amp;$G$1)))</f>
        <v>9096.41</v>
      </c>
      <c r="E10" s="217">
        <f>'数据-取费表'!B28</f>
        <v>200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t="str">
        <f>IF(G19="已包含在土地取得成本中","0",ROUND(D19*E19/10000,0))</f>
        <v>0</v>
      </c>
      <c r="D19" s="204">
        <f ca="1">D9+D10</f>
        <v>9096.41</v>
      </c>
      <c r="E19" s="203">
        <f>'数据-取费表'!B31</f>
        <v>200</v>
      </c>
      <c r="F19" s="223"/>
      <c r="G19" s="1714" t="s">
        <v>3414</v>
      </c>
    </row>
    <row r="20" spans="1:7" s="206" customFormat="1" ht="13.5" customHeight="1">
      <c r="A20" s="247" t="s">
        <v>1490</v>
      </c>
      <c r="B20" s="202" t="s">
        <v>1491</v>
      </c>
      <c r="C20" s="224">
        <f ca="1">ROUND((C5+C19)*F20,0)</f>
        <v>95</v>
      </c>
      <c r="D20" s="224"/>
      <c r="E20" s="224"/>
      <c r="F20" s="225">
        <f>'数据-取费表'!B37</f>
        <v>0.03</v>
      </c>
      <c r="G20" s="226" t="s">
        <v>1492</v>
      </c>
    </row>
    <row r="21" spans="1:7" s="206" customFormat="1" ht="13.5" customHeight="1">
      <c r="A21" s="247" t="s">
        <v>1493</v>
      </c>
      <c r="B21" s="202" t="s">
        <v>1494</v>
      </c>
      <c r="C21" s="227">
        <f>F21</f>
        <v>0.03</v>
      </c>
      <c r="D21" s="228" t="s">
        <v>1495</v>
      </c>
      <c r="E21" s="224"/>
      <c r="F21" s="225">
        <f>'数据-取费表'!B38</f>
        <v>0.03</v>
      </c>
      <c r="G21" s="226" t="s">
        <v>1496</v>
      </c>
    </row>
    <row r="22" spans="1:7" s="206" customFormat="1" ht="13.5" customHeight="1">
      <c r="A22" s="247" t="s">
        <v>1497</v>
      </c>
      <c r="B22" s="202" t="s">
        <v>1498</v>
      </c>
      <c r="C22" s="1041">
        <f ca="1">ROUND(SUM(C23:C25),0)</f>
        <v>226</v>
      </c>
      <c r="D22" s="227">
        <f ca="1">C26</f>
        <v>1E-3</v>
      </c>
      <c r="E22" s="228" t="s">
        <v>1495</v>
      </c>
      <c r="F22" s="229">
        <f ca="1">'数据-取费表'!B40</f>
        <v>3.4500000000000003E-2</v>
      </c>
      <c r="G22" s="226" t="str">
        <f>IF('数据-取费表'!B22&lt;=1,"单利计息","复利计息")</f>
        <v>复利计息</v>
      </c>
    </row>
    <row r="23" spans="1:7" s="206" customFormat="1" ht="13.5" customHeight="1">
      <c r="A23" s="734" t="s">
        <v>1499</v>
      </c>
      <c r="B23" s="207" t="s">
        <v>1500</v>
      </c>
      <c r="C23" s="1042">
        <f ca="1">ROUND(IF('数据-取费表'!B22&lt;=1,C5*F22*'数据-取费表'!B23,C5*(POWER((1+F22),'数据-取费表'!B23)-1)),0)</f>
        <v>223</v>
      </c>
      <c r="D23" s="230"/>
      <c r="E23" s="230"/>
      <c r="F23" s="231"/>
      <c r="G23" s="232" t="s">
        <v>1501</v>
      </c>
    </row>
    <row r="24" spans="1:7" s="206" customFormat="1" ht="13.5" customHeight="1">
      <c r="A24" s="734" t="s">
        <v>1502</v>
      </c>
      <c r="B24" s="207" t="s">
        <v>1503</v>
      </c>
      <c r="C24" s="1042">
        <f ca="1">ROUND(IF('数据-取费表'!B22&lt;=1,C19*F22*('数据-取费表'!B19/2+'数据-取费表'!B21),C19*(POWER((1+F22),('数据-取费表'!B19/2+'数据-取费表'!B21))-1)),0)</f>
        <v>0</v>
      </c>
      <c r="D24" s="230"/>
      <c r="E24" s="230"/>
      <c r="F24" s="231"/>
      <c r="G24" s="232" t="s">
        <v>1504</v>
      </c>
    </row>
    <row r="25" spans="1:7" s="206" customFormat="1" ht="24">
      <c r="A25" s="734" t="s">
        <v>1505</v>
      </c>
      <c r="B25" s="207" t="s">
        <v>1506</v>
      </c>
      <c r="C25" s="1042">
        <f ca="1">ROUND(IF('数据-取费表'!B22&lt;=1,C20*F22*'数据-取费表'!B23/2,C20*(POWER((1+F22),'数据-取费表'!B23/2)-1)),0)</f>
        <v>3</v>
      </c>
      <c r="D25" s="230"/>
      <c r="E25" s="233"/>
      <c r="F25" s="231"/>
      <c r="G25" s="234" t="s">
        <v>1507</v>
      </c>
    </row>
    <row r="26" spans="1:7" s="206" customFormat="1">
      <c r="A26" s="734" t="s">
        <v>350</v>
      </c>
      <c r="B26" s="207" t="s">
        <v>1508</v>
      </c>
      <c r="C26" s="230">
        <f ca="1">ROUND(IF('数据-取费表'!B22&lt;=1,F21*F22*'数据-取费表'!B23/2,F21*(POWER((1+F22),'数据-取费表'!B23/2)-1)),4)</f>
        <v>1E-3</v>
      </c>
      <c r="D26" s="230"/>
      <c r="E26" s="233"/>
      <c r="F26" s="231"/>
      <c r="G26" s="235"/>
    </row>
    <row r="27" spans="1:7" s="206" customFormat="1" ht="24.75">
      <c r="A27" s="247" t="s">
        <v>1509</v>
      </c>
      <c r="B27" s="236" t="s">
        <v>1510</v>
      </c>
      <c r="C27" s="237">
        <f ca="1">C28</f>
        <v>492</v>
      </c>
      <c r="D27" s="227">
        <f ca="1">C29</f>
        <v>4.4999999999999997E-3</v>
      </c>
      <c r="E27" s="228" t="s">
        <v>1511</v>
      </c>
      <c r="F27" s="238">
        <f ca="1">IF(B1="",'数据-取费表'!Q16,INDIRECT("'数据-取费表'!q"&amp;$G$1))</f>
        <v>0.15</v>
      </c>
      <c r="G27" s="239" t="s">
        <v>1512</v>
      </c>
    </row>
    <row r="28" spans="1:7" s="206" customFormat="1" ht="13.5" customHeight="1">
      <c r="A28" s="734" t="s">
        <v>346</v>
      </c>
      <c r="B28" s="240" t="s">
        <v>1513</v>
      </c>
      <c r="C28" s="241">
        <f ca="1">ROUND((C5+C19+C20)*F27*'数据-取费表'!B21/'数据-取费表'!B20,0)</f>
        <v>492</v>
      </c>
      <c r="D28" s="227"/>
      <c r="E28" s="228"/>
      <c r="F28" s="238"/>
      <c r="G28" s="239"/>
    </row>
    <row r="29" spans="1:7" s="206" customFormat="1" ht="13.5" customHeight="1">
      <c r="A29" s="734" t="s">
        <v>347</v>
      </c>
      <c r="B29" s="240" t="s">
        <v>1514</v>
      </c>
      <c r="C29" s="230">
        <f ca="1">ROUND(C21*F27*'数据-取费表'!B21/'数据-取费表'!B20,4)</f>
        <v>4.4999999999999997E-3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4380</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3881</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3457</v>
      </c>
      <c r="D34" s="209"/>
      <c r="E34" s="212"/>
      <c r="F34" s="249">
        <f ca="1">IF('数据-取费表'!B24=0,1,IF(B1="",'数据-取费表'!N16,INDIRECT("'数据-取费表'!n"&amp;$G$1)))</f>
        <v>1</v>
      </c>
      <c r="G34" s="211" t="s">
        <v>1523</v>
      </c>
    </row>
    <row r="35" spans="1:7" ht="13.5" customHeight="1">
      <c r="A35" s="734" t="s">
        <v>351</v>
      </c>
      <c r="B35" s="207" t="s">
        <v>1524</v>
      </c>
      <c r="C35" s="212">
        <f ca="1">ROUND(C34*F35,0)</f>
        <v>173</v>
      </c>
      <c r="D35" s="212"/>
      <c r="E35" s="212"/>
      <c r="F35" s="251">
        <f>'数据-取费表'!B33</f>
        <v>0.05</v>
      </c>
      <c r="G35" s="211" t="s">
        <v>1525</v>
      </c>
    </row>
    <row r="36" spans="1:7" ht="24">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182</v>
      </c>
      <c r="D37" s="209">
        <f ca="1">D19</f>
        <v>9096.41</v>
      </c>
      <c r="E37" s="241">
        <f>'数据-取费表'!B35</f>
        <v>200</v>
      </c>
      <c r="F37" s="251"/>
      <c r="G37" s="253" t="s">
        <v>1529</v>
      </c>
    </row>
    <row r="38" spans="1:7" ht="13.5" customHeight="1">
      <c r="A38" s="734" t="s">
        <v>354</v>
      </c>
      <c r="B38" s="207" t="s">
        <v>1530</v>
      </c>
      <c r="C38" s="212">
        <f ca="1">ROUND(C34*F38,0)</f>
        <v>69</v>
      </c>
      <c r="D38" s="212"/>
      <c r="E38" s="212"/>
      <c r="F38" s="251">
        <f>'数据-取费表'!B36</f>
        <v>0.02</v>
      </c>
      <c r="G38" s="211" t="s">
        <v>1525</v>
      </c>
    </row>
    <row r="39" spans="1:7" s="206" customFormat="1" ht="13.5" customHeight="1">
      <c r="A39" s="247" t="s">
        <v>1531</v>
      </c>
      <c r="B39" s="202" t="s">
        <v>1532</v>
      </c>
      <c r="C39" s="224">
        <f ca="1">ROUND(C33*F20,0)</f>
        <v>116</v>
      </c>
      <c r="D39" s="224"/>
      <c r="E39" s="224"/>
      <c r="F39" s="225">
        <f>F20</f>
        <v>0.03</v>
      </c>
      <c r="G39" s="226" t="s">
        <v>1533</v>
      </c>
    </row>
    <row r="40" spans="1:7" s="206" customFormat="1" ht="13.5" customHeight="1">
      <c r="A40" s="247" t="s">
        <v>1534</v>
      </c>
      <c r="B40" s="202" t="s">
        <v>1535</v>
      </c>
      <c r="C40" s="227">
        <f>F21</f>
        <v>0.03</v>
      </c>
      <c r="D40" s="228" t="s">
        <v>1536</v>
      </c>
      <c r="E40" s="224"/>
      <c r="F40" s="225">
        <f>F21</f>
        <v>0.03</v>
      </c>
      <c r="G40" s="226" t="s">
        <v>1537</v>
      </c>
    </row>
    <row r="41" spans="1:7" s="206" customFormat="1" ht="13.5" customHeight="1">
      <c r="A41" s="247" t="s">
        <v>1538</v>
      </c>
      <c r="B41" s="202" t="s">
        <v>1539</v>
      </c>
      <c r="C41" s="224">
        <f ca="1">ROUND(SUM(C42:C43),0)</f>
        <v>138</v>
      </c>
      <c r="D41" s="227">
        <f ca="1">C44</f>
        <v>1E-3</v>
      </c>
      <c r="E41" s="228" t="s">
        <v>1536</v>
      </c>
      <c r="F41" s="229">
        <f ca="1">F22</f>
        <v>3.4500000000000003E-2</v>
      </c>
      <c r="G41" s="226" t="str">
        <f>IF('数据-取费表'!B22&lt;=1,"单利计息","复利计息")</f>
        <v>复利计息</v>
      </c>
    </row>
    <row r="42" spans="1:7" ht="13.5" customHeight="1">
      <c r="A42" s="734" t="s">
        <v>346</v>
      </c>
      <c r="B42" s="207" t="s">
        <v>1540</v>
      </c>
      <c r="C42" s="230">
        <f ca="1">ROUND(IF('数据-取费表'!B22&lt;=1,C33*F22*'数据-取费表'!B21/2,C33*(POWER((1+F22),'数据-取费表'!B21/2)-1)),0)</f>
        <v>134</v>
      </c>
      <c r="D42" s="230"/>
      <c r="E42" s="230"/>
      <c r="F42" s="231"/>
      <c r="G42" s="3390" t="s">
        <v>1541</v>
      </c>
    </row>
    <row r="43" spans="1:7" ht="13.5" customHeight="1">
      <c r="A43" s="734" t="s">
        <v>347</v>
      </c>
      <c r="B43" s="207" t="s">
        <v>1542</v>
      </c>
      <c r="C43" s="230">
        <f ca="1">ROUND(IF('数据-取费表'!B22&lt;=1,C39*F22*'数据-取费表'!B21/2,C39*(POWER((1+F22),'数据-取费表'!B21/2)-1)),0)</f>
        <v>4</v>
      </c>
      <c r="D43" s="230"/>
      <c r="E43" s="230"/>
      <c r="F43" s="231"/>
      <c r="G43" s="3391"/>
    </row>
    <row r="44" spans="1:7" ht="13.5" customHeight="1">
      <c r="A44" s="734" t="s">
        <v>348</v>
      </c>
      <c r="B44" s="207" t="s">
        <v>1543</v>
      </c>
      <c r="C44" s="230">
        <f ca="1">ROUND(IF('数据-取费表'!B22&lt;=1,C40*F22*'数据-取费表'!B21/2,C40*(POWER((1+F22),'数据-取费表'!B21/2)-1)),4)</f>
        <v>1E-3</v>
      </c>
      <c r="D44" s="230"/>
      <c r="E44" s="230"/>
      <c r="F44" s="231"/>
      <c r="G44" s="3392"/>
    </row>
    <row r="45" spans="1:7" s="206" customFormat="1" ht="13.5" customHeight="1">
      <c r="A45" s="247" t="s">
        <v>1544</v>
      </c>
      <c r="B45" s="236" t="s">
        <v>1510</v>
      </c>
      <c r="C45" s="237">
        <f ca="1">C46</f>
        <v>600</v>
      </c>
      <c r="D45" s="227">
        <f ca="1">C47</f>
        <v>4.4999999999999997E-3</v>
      </c>
      <c r="E45" s="228" t="s">
        <v>1536</v>
      </c>
      <c r="F45" s="238">
        <f ca="1">F27</f>
        <v>0.15</v>
      </c>
      <c r="G45" s="239" t="s">
        <v>1545</v>
      </c>
    </row>
    <row r="46" spans="1:7" s="206" customFormat="1" ht="13.5" customHeight="1">
      <c r="A46" s="734" t="s">
        <v>346</v>
      </c>
      <c r="B46" s="240" t="s">
        <v>1546</v>
      </c>
      <c r="C46" s="241">
        <f ca="1">ROUND((C33+C39)*F27,0)</f>
        <v>600</v>
      </c>
      <c r="D46" s="255"/>
      <c r="E46" s="228"/>
      <c r="F46" s="238"/>
      <c r="G46" s="239"/>
    </row>
    <row r="47" spans="1:7" s="206" customFormat="1" ht="13.5" customHeight="1">
      <c r="A47" s="734" t="s">
        <v>347</v>
      </c>
      <c r="B47" s="240" t="s">
        <v>1547</v>
      </c>
      <c r="C47" s="230">
        <f ca="1">ROUND(C40*F27,4)</f>
        <v>4.4999999999999997E-3</v>
      </c>
      <c r="D47" s="255"/>
      <c r="E47" s="228"/>
      <c r="F47" s="238"/>
      <c r="G47" s="239"/>
    </row>
    <row r="48" spans="1:7" s="206" customFormat="1" ht="13.5" customHeight="1">
      <c r="A48" s="247" t="s">
        <v>1509</v>
      </c>
      <c r="B48" s="202" t="s">
        <v>1548</v>
      </c>
      <c r="C48" s="227">
        <f>ROUND(F30/(1+'数据-取费表'!C42),4)</f>
        <v>5.2400000000000002E-2</v>
      </c>
      <c r="D48" s="228" t="s">
        <v>1536</v>
      </c>
      <c r="E48" s="224"/>
      <c r="F48" s="229">
        <f>F30</f>
        <v>5.5000000000000007E-2</v>
      </c>
      <c r="G48" s="226" t="s">
        <v>1549</v>
      </c>
    </row>
    <row r="49" spans="1:7" ht="16.5" customHeight="1">
      <c r="A49" s="247" t="s">
        <v>1515</v>
      </c>
      <c r="B49" s="202" t="s">
        <v>1550</v>
      </c>
      <c r="C49" s="224">
        <f ca="1">ROUND((C33+C39+C41+C45)/(1-C40-D41-D45-C48),0)</f>
        <v>5191</v>
      </c>
      <c r="D49" s="224"/>
      <c r="E49" s="224"/>
      <c r="F49" s="256"/>
      <c r="G49" s="226" t="s">
        <v>1551</v>
      </c>
    </row>
    <row r="50" spans="1:7" s="250" customFormat="1" ht="24">
      <c r="A50" s="247" t="s">
        <v>1552</v>
      </c>
      <c r="B50" s="202" t="s">
        <v>1553</v>
      </c>
      <c r="C50" s="224"/>
      <c r="D50" s="224"/>
      <c r="E50" s="224"/>
      <c r="F50" s="256">
        <f>IF('数据-取费表'!B24=0,'数据-取费表'!N16,1)</f>
        <v>0.85</v>
      </c>
      <c r="G50" s="239" t="s">
        <v>1554</v>
      </c>
    </row>
    <row r="51" spans="1:7" ht="16.5" customHeight="1">
      <c r="A51" s="247" t="s">
        <v>1555</v>
      </c>
      <c r="B51" s="202" t="s">
        <v>1556</v>
      </c>
      <c r="C51" s="224">
        <f ca="1">ROUND(C49*F50,0)</f>
        <v>4412</v>
      </c>
      <c r="D51" s="224"/>
      <c r="E51" s="224"/>
      <c r="F51" s="256"/>
      <c r="G51" s="226" t="s">
        <v>1557</v>
      </c>
    </row>
    <row r="52" spans="1:7" s="200" customFormat="1" ht="16.5" thickBot="1">
      <c r="A52" s="257" t="s">
        <v>1558</v>
      </c>
      <c r="B52" s="258"/>
      <c r="C52" s="259">
        <f ca="1">C31+C51</f>
        <v>8792</v>
      </c>
      <c r="D52" s="258"/>
      <c r="E52" s="258"/>
      <c r="F52" s="258"/>
      <c r="G52" s="260"/>
    </row>
    <row r="55" spans="1:7" ht="15">
      <c r="B55" s="262" t="s">
        <v>1559</v>
      </c>
      <c r="C55" s="263"/>
    </row>
    <row r="56" spans="1:7">
      <c r="B56" s="265" t="s">
        <v>802</v>
      </c>
      <c r="C56" s="267">
        <f ca="1">1-C57</f>
        <v>0.498</v>
      </c>
    </row>
    <row r="57" spans="1:7">
      <c r="B57" s="265" t="s">
        <v>803</v>
      </c>
      <c r="C57" s="266">
        <f ca="1">ROUND(C51/C52,3)</f>
        <v>0.502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1458</v>
      </c>
      <c r="B1" s="1374"/>
      <c r="C1" s="1717" t="s">
        <v>1560</v>
      </c>
      <c r="D1" s="190"/>
      <c r="E1" s="190"/>
      <c r="F1" s="190"/>
      <c r="G1" s="1062">
        <f>MATCH(B1,'数据-取费表'!A6:A16,0)+5</f>
        <v>7</v>
      </c>
      <c r="H1" s="998" t="str">
        <f>IF(ISERROR(FIND("住宅",B1)),"非住宅","住宅")</f>
        <v>非住宅</v>
      </c>
    </row>
    <row r="2" spans="1:8" s="192" customFormat="1" ht="18" customHeight="1">
      <c r="A2" s="193" t="s">
        <v>1459</v>
      </c>
      <c r="B2" s="3118">
        <f ca="1">ROUND(IF(D2="——",C52/10000,C52/10000-E2),4)</f>
        <v>4912.9780000000001</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f ca="1">ROUND(B2*10000/(IF(B1="",'数据-汇总表'!E3,INDIRECT("'数据-取费表'!k"&amp;$G$1))),0)</f>
        <v>5401</v>
      </c>
      <c r="C3" s="191" t="s">
        <v>1462</v>
      </c>
      <c r="D3" s="191"/>
      <c r="E3" s="191"/>
      <c r="F3" s="191"/>
      <c r="G3" s="191"/>
    </row>
    <row r="4" spans="1:8" s="200" customFormat="1" ht="15.75">
      <c r="A4" s="197" t="s">
        <v>1463</v>
      </c>
      <c r="B4" s="198"/>
      <c r="C4" s="198"/>
      <c r="D4" s="198"/>
      <c r="E4" s="198"/>
      <c r="F4" s="198"/>
      <c r="G4" s="199"/>
    </row>
    <row r="5" spans="1:8" s="206" customFormat="1" ht="13.5" customHeight="1">
      <c r="A5" s="247" t="s">
        <v>1464</v>
      </c>
      <c r="B5" s="202" t="s">
        <v>1465</v>
      </c>
      <c r="C5" s="203">
        <f ca="1">C6+C7+C8</f>
        <v>1819282</v>
      </c>
      <c r="D5" s="203" t="s">
        <v>1466</v>
      </c>
      <c r="E5" s="204" t="s">
        <v>1467</v>
      </c>
      <c r="F5" s="204" t="s">
        <v>1468</v>
      </c>
      <c r="G5" s="205"/>
    </row>
    <row r="6" spans="1:8" s="206" customFormat="1" ht="13.5" customHeight="1">
      <c r="A6" s="732" t="s">
        <v>1469</v>
      </c>
      <c r="B6" s="207" t="s">
        <v>1470</v>
      </c>
      <c r="C6" s="208"/>
      <c r="D6" s="209"/>
      <c r="E6" s="210"/>
      <c r="F6" s="210"/>
      <c r="G6" s="211"/>
    </row>
    <row r="7" spans="1:8" s="206" customFormat="1" ht="13.5" customHeight="1">
      <c r="A7" s="732" t="s">
        <v>1471</v>
      </c>
      <c r="B7" s="207" t="s">
        <v>1472</v>
      </c>
      <c r="C7" s="212">
        <f>ROUND(C6*F7,0)</f>
        <v>0</v>
      </c>
      <c r="D7" s="212"/>
      <c r="E7" s="210"/>
      <c r="F7" s="213">
        <f>IF(项目基本情况!B8="出让",0,'数据-取费表'!B48+'数据-取费表'!B49)</f>
        <v>3.0499999999999999E-2</v>
      </c>
      <c r="G7" s="211"/>
    </row>
    <row r="8" spans="1:8" s="215" customFormat="1">
      <c r="A8" s="732" t="s">
        <v>1473</v>
      </c>
      <c r="B8" s="207" t="s">
        <v>1474</v>
      </c>
      <c r="C8" s="212">
        <f ca="1">IF(G8="已包含在土地购买价格中",0,C9+C10)</f>
        <v>1819282</v>
      </c>
      <c r="D8" s="214"/>
      <c r="E8" s="212"/>
      <c r="F8" s="213"/>
      <c r="G8" s="1714"/>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1477</v>
      </c>
      <c r="C10" s="217">
        <f ca="1">ROUND(D10*E10,0)</f>
        <v>1819282</v>
      </c>
      <c r="D10" s="795">
        <f ca="1">IF(B1="",'数据-汇总表'!E6,IF(INDIRECT("'数据-取费表'!c"&amp;$G$1)="住宅",INDIRECT("'数据-取费表'!s"&amp;$G$1),INDIRECT("'数据-取费表'!k"&amp;$G$1)+INDIRECT("'数据-取费表'!s"&amp;$G$1)))</f>
        <v>9096.41</v>
      </c>
      <c r="E10" s="217">
        <f>'数据-取费表'!B28</f>
        <v>200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1819282</v>
      </c>
      <c r="D19" s="204">
        <f ca="1">D9+D10</f>
        <v>9096.41</v>
      </c>
      <c r="E19" s="203">
        <f>'数据-取费表'!B31</f>
        <v>200</v>
      </c>
      <c r="F19" s="223"/>
      <c r="G19" s="1714"/>
    </row>
    <row r="20" spans="1:7" s="206" customFormat="1" ht="13.5" customHeight="1">
      <c r="A20" s="247" t="s">
        <v>1571</v>
      </c>
      <c r="B20" s="202" t="s">
        <v>1572</v>
      </c>
      <c r="C20" s="224">
        <f ca="1">ROUND((C5+C19)*F20,0)</f>
        <v>109157</v>
      </c>
      <c r="D20" s="224"/>
      <c r="E20" s="224"/>
      <c r="F20" s="225">
        <f>'数据-取费表'!B37</f>
        <v>0.03</v>
      </c>
      <c r="G20" s="226" t="s">
        <v>1573</v>
      </c>
    </row>
    <row r="21" spans="1:7" s="206" customFormat="1" ht="13.5" customHeight="1">
      <c r="A21" s="247" t="s">
        <v>1574</v>
      </c>
      <c r="B21" s="202" t="s">
        <v>1575</v>
      </c>
      <c r="C21" s="227">
        <f>F21</f>
        <v>0.03</v>
      </c>
      <c r="D21" s="228" t="s">
        <v>1576</v>
      </c>
      <c r="E21" s="224"/>
      <c r="F21" s="225">
        <f>'数据-取费表'!B38</f>
        <v>0.03</v>
      </c>
      <c r="G21" s="226" t="s">
        <v>1577</v>
      </c>
    </row>
    <row r="22" spans="1:7" s="206" customFormat="1" ht="13.5" customHeight="1">
      <c r="A22" s="247" t="s">
        <v>1578</v>
      </c>
      <c r="B22" s="202" t="s">
        <v>1579</v>
      </c>
      <c r="C22" s="224">
        <f ca="1">ROUND(SUM(C23:C25),0)</f>
        <v>259158</v>
      </c>
      <c r="D22" s="227">
        <f ca="1">C26</f>
        <v>1E-3</v>
      </c>
      <c r="E22" s="228" t="s">
        <v>1576</v>
      </c>
      <c r="F22" s="229">
        <f ca="1">'数据-取费表'!B40</f>
        <v>3.4500000000000003E-2</v>
      </c>
      <c r="G22" s="226" t="str">
        <f>IF('数据-取费表'!B22&lt;=1,"单利计息","复利计息")</f>
        <v>复利计息</v>
      </c>
    </row>
    <row r="23" spans="1:7" s="206" customFormat="1" ht="13.5" customHeight="1">
      <c r="A23" s="734" t="s">
        <v>1469</v>
      </c>
      <c r="B23" s="207" t="s">
        <v>1580</v>
      </c>
      <c r="C23" s="230">
        <f ca="1">ROUND(IF('数据-取费表'!B22&lt;=1,C5*F22*'数据-取费表'!B22,C5*(POWER((1+F22),'数据-取费表'!B22)-1)),0)</f>
        <v>127696</v>
      </c>
      <c r="D23" s="230"/>
      <c r="E23" s="230"/>
      <c r="F23" s="231"/>
      <c r="G23" s="232" t="s">
        <v>1581</v>
      </c>
    </row>
    <row r="24" spans="1:7" s="206" customFormat="1" ht="13.5" customHeight="1">
      <c r="A24" s="734" t="s">
        <v>1471</v>
      </c>
      <c r="B24" s="207" t="s">
        <v>1582</v>
      </c>
      <c r="C24" s="230">
        <f ca="1">ROUND(IF('数据-取费表'!B22&lt;=1,C19*F22*('数据-取费表'!B19/2+'数据-取费表'!B20),C19*(POWER((1+F22),('数据-取费表'!B19/2+'数据-取费表'!B20))-1)),0)</f>
        <v>127696</v>
      </c>
      <c r="D24" s="230"/>
      <c r="E24" s="230"/>
      <c r="F24" s="231"/>
      <c r="G24" s="232" t="s">
        <v>1583</v>
      </c>
    </row>
    <row r="25" spans="1:7" s="206" customFormat="1" ht="24">
      <c r="A25" s="734" t="s">
        <v>1473</v>
      </c>
      <c r="B25" s="207" t="s">
        <v>1584</v>
      </c>
      <c r="C25" s="230">
        <f ca="1">ROUND(IF('数据-取费表'!B22&lt;=1,C20*F22*'数据-取费表'!B22/2,C20*(POWER((1+F22),'数据-取费表'!B22/2)-1)),0)</f>
        <v>3766</v>
      </c>
      <c r="D25" s="230"/>
      <c r="E25" s="233"/>
      <c r="F25" s="231"/>
      <c r="G25" s="234" t="s">
        <v>1585</v>
      </c>
    </row>
    <row r="26" spans="1:7" s="206" customFormat="1">
      <c r="A26" s="734" t="s">
        <v>350</v>
      </c>
      <c r="B26" s="207" t="s">
        <v>1508</v>
      </c>
      <c r="C26" s="230">
        <f ca="1">ROUND(IF('数据-取费表'!B22&lt;=1,F21*F22*'数据-取费表'!B22/2,F21*(POWER((1+F22),'数据-取费表'!B22/2)-1)),4)</f>
        <v>1E-3</v>
      </c>
      <c r="D26" s="230"/>
      <c r="E26" s="233"/>
      <c r="F26" s="231"/>
      <c r="G26" s="235"/>
    </row>
    <row r="27" spans="1:7" s="206" customFormat="1" ht="24.75">
      <c r="A27" s="247" t="s">
        <v>1509</v>
      </c>
      <c r="B27" s="236" t="s">
        <v>1510</v>
      </c>
      <c r="C27" s="237">
        <f ca="1">C28</f>
        <v>562158</v>
      </c>
      <c r="D27" s="227">
        <f ca="1">C29</f>
        <v>4.4999999999999997E-3</v>
      </c>
      <c r="E27" s="228" t="s">
        <v>1511</v>
      </c>
      <c r="F27" s="238">
        <f ca="1">IF(B1="",'数据-取费表'!Q16,INDIRECT("'数据-取费表'!q"&amp;$G$1))</f>
        <v>0.15</v>
      </c>
      <c r="G27" s="239" t="s">
        <v>1512</v>
      </c>
    </row>
    <row r="28" spans="1:7" s="206" customFormat="1" ht="13.5" customHeight="1">
      <c r="A28" s="734" t="s">
        <v>346</v>
      </c>
      <c r="B28" s="240" t="s">
        <v>1513</v>
      </c>
      <c r="C28" s="241">
        <f ca="1">ROUND((C5+C19+C20)*F27,0)</f>
        <v>562158</v>
      </c>
      <c r="D28" s="227"/>
      <c r="E28" s="228"/>
      <c r="F28" s="238"/>
      <c r="G28" s="239"/>
    </row>
    <row r="29" spans="1:7" s="206" customFormat="1" ht="13.5" customHeight="1">
      <c r="A29" s="734" t="s">
        <v>347</v>
      </c>
      <c r="B29" s="240" t="s">
        <v>1514</v>
      </c>
      <c r="C29" s="230">
        <f ca="1">ROUND(C21*F27,4)</f>
        <v>4.4999999999999997E-3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5009360</v>
      </c>
      <c r="D31" s="222"/>
      <c r="E31" s="203"/>
      <c r="F31" s="242"/>
      <c r="G31" s="226" t="s">
        <v>1519</v>
      </c>
    </row>
    <row r="32" spans="1:7" s="200" customFormat="1" ht="15.75">
      <c r="A32" s="244" t="s">
        <v>1586</v>
      </c>
      <c r="B32" s="245"/>
      <c r="C32" s="245"/>
      <c r="D32" s="245"/>
      <c r="E32" s="245"/>
      <c r="F32" s="245"/>
      <c r="G32" s="246"/>
    </row>
    <row r="33" spans="1:7" s="206" customFormat="1" ht="13.5" customHeight="1">
      <c r="A33" s="247" t="s">
        <v>337</v>
      </c>
      <c r="B33" s="202" t="s">
        <v>1587</v>
      </c>
      <c r="C33" s="248">
        <f ca="1">SUM(C34:C38)</f>
        <v>38805285</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34566358</v>
      </c>
      <c r="D34" s="209"/>
      <c r="E34" s="212"/>
      <c r="F34" s="249"/>
      <c r="G34" s="211"/>
    </row>
    <row r="35" spans="1:7" ht="13.5" customHeight="1">
      <c r="A35" s="734" t="s">
        <v>351</v>
      </c>
      <c r="B35" s="207" t="s">
        <v>1524</v>
      </c>
      <c r="C35" s="212">
        <f ca="1">ROUND(C34*F35,0)</f>
        <v>1728318</v>
      </c>
      <c r="D35" s="212"/>
      <c r="E35" s="212"/>
      <c r="F35" s="251">
        <f>'数据-取费表'!B33</f>
        <v>0.05</v>
      </c>
      <c r="G35" s="211" t="s">
        <v>1525</v>
      </c>
    </row>
    <row r="36" spans="1:7" ht="24">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1819282</v>
      </c>
      <c r="D37" s="209">
        <f ca="1">D19</f>
        <v>9096.41</v>
      </c>
      <c r="E37" s="241">
        <f>'数据-取费表'!B35</f>
        <v>200</v>
      </c>
      <c r="F37" s="251"/>
      <c r="G37" s="253"/>
    </row>
    <row r="38" spans="1:7" ht="13.5" customHeight="1">
      <c r="A38" s="734" t="s">
        <v>354</v>
      </c>
      <c r="B38" s="207" t="s">
        <v>1530</v>
      </c>
      <c r="C38" s="212">
        <f ca="1">ROUND(C34*F38,0)</f>
        <v>691327</v>
      </c>
      <c r="D38" s="212"/>
      <c r="E38" s="212"/>
      <c r="F38" s="251">
        <f>'数据-取费表'!B36</f>
        <v>0.02</v>
      </c>
      <c r="G38" s="211" t="s">
        <v>1525</v>
      </c>
    </row>
    <row r="39" spans="1:7" s="206" customFormat="1" ht="13.5" customHeight="1">
      <c r="A39" s="247" t="s">
        <v>1531</v>
      </c>
      <c r="B39" s="202" t="s">
        <v>1532</v>
      </c>
      <c r="C39" s="224">
        <f ca="1">ROUND(C33*F20,0)</f>
        <v>1164159</v>
      </c>
      <c r="D39" s="224"/>
      <c r="E39" s="224"/>
      <c r="F39" s="225">
        <f>F20</f>
        <v>0.03</v>
      </c>
      <c r="G39" s="226" t="s">
        <v>1533</v>
      </c>
    </row>
    <row r="40" spans="1:7" s="206" customFormat="1" ht="13.5" customHeight="1">
      <c r="A40" s="247" t="s">
        <v>1534</v>
      </c>
      <c r="B40" s="202" t="s">
        <v>1535</v>
      </c>
      <c r="C40" s="227">
        <f>F21</f>
        <v>0.03</v>
      </c>
      <c r="D40" s="228" t="s">
        <v>1536</v>
      </c>
      <c r="E40" s="224"/>
      <c r="F40" s="225">
        <f>F21</f>
        <v>0.03</v>
      </c>
      <c r="G40" s="226" t="s">
        <v>1537</v>
      </c>
    </row>
    <row r="41" spans="1:7" s="206" customFormat="1" ht="13.5" customHeight="1">
      <c r="A41" s="247" t="s">
        <v>1538</v>
      </c>
      <c r="B41" s="202" t="s">
        <v>1539</v>
      </c>
      <c r="C41" s="224">
        <f ca="1">ROUND(SUM(C42:C43),0)</f>
        <v>1378945</v>
      </c>
      <c r="D41" s="227">
        <f ca="1">C44</f>
        <v>1E-3</v>
      </c>
      <c r="E41" s="228" t="s">
        <v>1536</v>
      </c>
      <c r="F41" s="229">
        <f ca="1">F22</f>
        <v>3.4500000000000003E-2</v>
      </c>
      <c r="G41" s="226" t="str">
        <f>IF('数据-取费表'!B22&lt;=1,"单利计息","复利计息")</f>
        <v>复利计息</v>
      </c>
    </row>
    <row r="42" spans="1:7" ht="13.5" customHeight="1">
      <c r="A42" s="734" t="s">
        <v>346</v>
      </c>
      <c r="B42" s="207" t="s">
        <v>1540</v>
      </c>
      <c r="C42" s="230">
        <f ca="1">ROUND(IF('数据-取费表'!B22&lt;=1,C33*F22*'数据-取费表'!B20/2,C33*(POWER((1+F22),'数据-取费表'!B20/2)-1)),0)</f>
        <v>1338782</v>
      </c>
      <c r="D42" s="230"/>
      <c r="E42" s="230"/>
      <c r="F42" s="231"/>
      <c r="G42" s="3390" t="s">
        <v>1588</v>
      </c>
    </row>
    <row r="43" spans="1:7" ht="13.5" customHeight="1">
      <c r="A43" s="734" t="s">
        <v>347</v>
      </c>
      <c r="B43" s="207" t="s">
        <v>1542</v>
      </c>
      <c r="C43" s="230">
        <f ca="1">ROUND(IF('数据-取费表'!B22&lt;=1,C39*F22*'数据-取费表'!B20/2,C39*(POWER((1+F22),'数据-取费表'!B20/2)-1)),0)</f>
        <v>40163</v>
      </c>
      <c r="D43" s="230"/>
      <c r="E43" s="230"/>
      <c r="F43" s="231"/>
      <c r="G43" s="3391"/>
    </row>
    <row r="44" spans="1:7" ht="13.5" customHeight="1">
      <c r="A44" s="734" t="s">
        <v>348</v>
      </c>
      <c r="B44" s="207" t="s">
        <v>1543</v>
      </c>
      <c r="C44" s="230">
        <f ca="1">ROUND(IF('数据-取费表'!B22&lt;=1,C40*F22*'数据-取费表'!B20/2,C40*(POWER((1+F22),'数据-取费表'!B20/2)-1)),4)</f>
        <v>1E-3</v>
      </c>
      <c r="D44" s="230"/>
      <c r="E44" s="230"/>
      <c r="F44" s="231"/>
      <c r="G44" s="3392"/>
    </row>
    <row r="45" spans="1:7" s="206" customFormat="1" ht="13.5" customHeight="1">
      <c r="A45" s="247" t="s">
        <v>1544</v>
      </c>
      <c r="B45" s="236" t="s">
        <v>1510</v>
      </c>
      <c r="C45" s="237">
        <f ca="1">C46</f>
        <v>5995417</v>
      </c>
      <c r="D45" s="227">
        <f ca="1">C47</f>
        <v>4.4999999999999997E-3</v>
      </c>
      <c r="E45" s="228" t="s">
        <v>1536</v>
      </c>
      <c r="F45" s="238">
        <f ca="1">F27</f>
        <v>0.15</v>
      </c>
      <c r="G45" s="239" t="s">
        <v>1545</v>
      </c>
    </row>
    <row r="46" spans="1:7" s="206" customFormat="1" ht="13.5" customHeight="1">
      <c r="A46" s="734" t="s">
        <v>346</v>
      </c>
      <c r="B46" s="240" t="s">
        <v>1546</v>
      </c>
      <c r="C46" s="241">
        <f ca="1">ROUND((C33+C39)*F27,0)</f>
        <v>5995417</v>
      </c>
      <c r="D46" s="255"/>
      <c r="E46" s="228"/>
      <c r="F46" s="238"/>
      <c r="G46" s="239"/>
    </row>
    <row r="47" spans="1:7" s="206" customFormat="1" ht="13.5" customHeight="1">
      <c r="A47" s="734" t="s">
        <v>347</v>
      </c>
      <c r="B47" s="240" t="s">
        <v>1547</v>
      </c>
      <c r="C47" s="230">
        <f ca="1">ROUND(C40*F27,4)</f>
        <v>4.4999999999999997E-3</v>
      </c>
      <c r="D47" s="255"/>
      <c r="E47" s="228"/>
      <c r="F47" s="238"/>
      <c r="G47" s="239"/>
    </row>
    <row r="48" spans="1:7" s="206" customFormat="1" ht="13.5" customHeight="1">
      <c r="A48" s="247" t="s">
        <v>1509</v>
      </c>
      <c r="B48" s="202" t="s">
        <v>1548</v>
      </c>
      <c r="C48" s="254">
        <f>ROUND(F30/(1+'数据-取费表'!C42),4)</f>
        <v>5.2400000000000002E-2</v>
      </c>
      <c r="D48" s="228" t="s">
        <v>1536</v>
      </c>
      <c r="E48" s="224"/>
      <c r="F48" s="229">
        <f>F30</f>
        <v>5.5000000000000007E-2</v>
      </c>
      <c r="G48" s="226" t="s">
        <v>1549</v>
      </c>
    </row>
    <row r="49" spans="1:7" ht="16.5" customHeight="1">
      <c r="A49" s="247" t="s">
        <v>1515</v>
      </c>
      <c r="B49" s="202" t="s">
        <v>1589</v>
      </c>
      <c r="C49" s="224">
        <f ca="1">ROUND((C33+C39+C41+C45)/(1-C40-D41-D45-C48),0)</f>
        <v>51906376</v>
      </c>
      <c r="D49" s="224"/>
      <c r="E49" s="224"/>
      <c r="F49" s="256"/>
      <c r="G49" s="226" t="s">
        <v>1551</v>
      </c>
    </row>
    <row r="50" spans="1:7" s="250" customFormat="1">
      <c r="A50" s="247" t="s">
        <v>1552</v>
      </c>
      <c r="B50" s="202" t="s">
        <v>1553</v>
      </c>
      <c r="C50" s="224"/>
      <c r="D50" s="224"/>
      <c r="E50" s="224"/>
      <c r="F50" s="256">
        <f>IF('数据-取费表'!B24=0,'数据-取费表'!N16,1)</f>
        <v>0.85</v>
      </c>
      <c r="G50" s="239"/>
    </row>
    <row r="51" spans="1:7" ht="16.5" customHeight="1">
      <c r="A51" s="247" t="s">
        <v>1555</v>
      </c>
      <c r="B51" s="202" t="s">
        <v>1590</v>
      </c>
      <c r="C51" s="224">
        <f ca="1">ROUND(C49*F50,0)</f>
        <v>44120420</v>
      </c>
      <c r="D51" s="224"/>
      <c r="E51" s="224"/>
      <c r="F51" s="256"/>
      <c r="G51" s="226" t="s">
        <v>1557</v>
      </c>
    </row>
    <row r="52" spans="1:7" s="200" customFormat="1" ht="16.5" thickBot="1">
      <c r="A52" s="257" t="s">
        <v>1558</v>
      </c>
      <c r="B52" s="258"/>
      <c r="C52" s="259">
        <f ca="1">C31+C51</f>
        <v>49129780</v>
      </c>
      <c r="D52" s="258"/>
      <c r="E52" s="258"/>
      <c r="F52" s="258"/>
      <c r="G52" s="260"/>
    </row>
    <row r="55" spans="1:7" ht="15">
      <c r="B55" s="262" t="s">
        <v>1559</v>
      </c>
      <c r="C55" s="263"/>
    </row>
    <row r="56" spans="1:7">
      <c r="B56" s="265" t="s">
        <v>802</v>
      </c>
      <c r="C56" s="267">
        <f ca="1">1-C57</f>
        <v>0.10199999999999998</v>
      </c>
    </row>
    <row r="57" spans="1:7">
      <c r="B57" s="265" t="s">
        <v>803</v>
      </c>
      <c r="C57" s="266">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1591</v>
      </c>
      <c r="B1" s="121"/>
      <c r="C1" s="1110"/>
      <c r="D1" s="1109"/>
      <c r="E1" s="2563"/>
      <c r="F1" s="2563"/>
      <c r="G1" s="2444"/>
      <c r="H1" s="2563"/>
      <c r="I1" s="2563"/>
      <c r="J1" s="2563"/>
      <c r="K1" s="2564">
        <f>MATCH(C1,'数据-取费表'!A6:A16,0)+5</f>
        <v>7</v>
      </c>
    </row>
    <row r="2" spans="1:33" ht="18" customHeight="1">
      <c r="A2" s="193" t="s">
        <v>1459</v>
      </c>
      <c r="B2" s="196">
        <f ca="1">C32</f>
        <v>0</v>
      </c>
      <c r="C2" s="268" t="s">
        <v>1592</v>
      </c>
      <c r="D2" s="268"/>
      <c r="E2" s="2563"/>
      <c r="F2" s="2563"/>
      <c r="G2" s="2563"/>
      <c r="H2" s="2563"/>
      <c r="I2" s="2563"/>
      <c r="J2" s="2563"/>
      <c r="K2" s="2563"/>
    </row>
    <row r="3" spans="1:33" ht="18" customHeight="1" thickBot="1">
      <c r="A3" s="195" t="s">
        <v>1461</v>
      </c>
      <c r="B3" s="196">
        <f ca="1">ROUND(B2*10000/IF(C1="",'数据-汇总表'!E3,INDIRECT("'数据-取费表'!K"&amp;$K$1)),0)</f>
        <v>0</v>
      </c>
      <c r="C3" s="268" t="s">
        <v>1593</v>
      </c>
      <c r="D3" s="268"/>
      <c r="E3" s="2563"/>
      <c r="F3" s="2563"/>
      <c r="G3" s="2563"/>
      <c r="H3" s="2563"/>
      <c r="I3" s="2563"/>
      <c r="J3" s="2563"/>
      <c r="K3" s="2563"/>
    </row>
    <row r="4" spans="1:33" s="739" customFormat="1" ht="16.5" customHeight="1">
      <c r="A4" s="736" t="s">
        <v>1594</v>
      </c>
      <c r="B4" s="737"/>
      <c r="C4" s="775">
        <f>SUM(C8:K8)</f>
        <v>0</v>
      </c>
      <c r="D4" s="737"/>
      <c r="E4" s="737"/>
      <c r="F4" s="737"/>
      <c r="G4" s="737"/>
      <c r="H4" s="737"/>
      <c r="I4" s="737"/>
      <c r="J4" s="737"/>
      <c r="K4" s="738"/>
    </row>
    <row r="5" spans="1:33" s="743" customFormat="1" ht="15">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0.05</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9096.41</v>
      </c>
      <c r="E14" s="21">
        <f>'数据-取费表'!B35</f>
        <v>200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0.02</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9096.41</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0</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1624</v>
      </c>
      <c r="C20" s="21">
        <f ca="1">ROUND(D20*E20/10000,0)</f>
        <v>182</v>
      </c>
      <c r="D20" s="796">
        <f ca="1">IF(C1="",'数据-汇总表'!E6,IF(INDIRECT("'数据-取费表'!c"&amp;$K$1)="住宅",INDIRECT("'数据-取费表'!s"&amp;$K$1),INDIRECT("'数据-取费表'!k"&amp;$K$1)+INDIRECT("'数据-取费表'!s"&amp;$K$1)))</f>
        <v>9096.41</v>
      </c>
      <c r="E20" s="21">
        <f>'数据-取费表'!B28</f>
        <v>200</v>
      </c>
      <c r="F20" s="756"/>
      <c r="G20" s="12"/>
      <c r="H20" s="761"/>
      <c r="I20" s="761"/>
      <c r="J20" s="761"/>
      <c r="K20" s="762"/>
    </row>
    <row r="21" spans="1:33" s="755" customFormat="1" ht="13.5" customHeight="1">
      <c r="A21" s="744" t="s">
        <v>357</v>
      </c>
      <c r="B21" s="765" t="s">
        <v>1625</v>
      </c>
      <c r="C21" s="766">
        <f ca="1">C16+C17+C18</f>
        <v>0</v>
      </c>
      <c r="D21" s="767"/>
      <c r="E21" s="273"/>
      <c r="F21" s="273"/>
      <c r="G21" s="123" t="s">
        <v>1626</v>
      </c>
      <c r="H21" s="759"/>
      <c r="I21" s="759"/>
      <c r="J21" s="759"/>
      <c r="K21" s="760"/>
    </row>
    <row r="22" spans="1:33" s="755" customFormat="1" ht="13.5" customHeight="1">
      <c r="A22" s="744" t="s">
        <v>1598</v>
      </c>
      <c r="B22" s="765" t="s">
        <v>1627</v>
      </c>
      <c r="C22" s="766">
        <f ca="1">ROUND(C21*F22,0)</f>
        <v>0</v>
      </c>
      <c r="D22" s="273"/>
      <c r="E22" s="273"/>
      <c r="F22" s="768">
        <f>'数据-取费表'!B37</f>
        <v>0.03</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0.03</v>
      </c>
      <c r="G23" s="5" t="s">
        <v>1630</v>
      </c>
      <c r="H23" s="749"/>
      <c r="I23" s="749"/>
      <c r="J23" s="749"/>
      <c r="K23" s="750"/>
    </row>
    <row r="24" spans="1:33" s="755" customFormat="1" ht="13.5" customHeight="1">
      <c r="A24" s="744" t="s">
        <v>1631</v>
      </c>
      <c r="B24" s="765" t="s">
        <v>1632</v>
      </c>
      <c r="C24" s="272">
        <f>ROUND(F24/(1+'数据-取费表'!C42),4)</f>
        <v>2.9000000000000001E-2</v>
      </c>
      <c r="D24" s="273" t="s">
        <v>12</v>
      </c>
      <c r="E24" s="273"/>
      <c r="F24" s="768">
        <f>IF(项目基本情况!B8="出让",0,'数据-取费表'!B48+'数据-取费表'!B49)</f>
        <v>3.0499999999999999E-2</v>
      </c>
      <c r="G24" s="5" t="s">
        <v>1633</v>
      </c>
      <c r="H24" s="770"/>
      <c r="I24" s="770"/>
      <c r="J24" s="770"/>
      <c r="K24" s="55"/>
    </row>
    <row r="25" spans="1:33" s="755" customFormat="1" ht="13.5" customHeight="1">
      <c r="A25" s="744" t="s">
        <v>1634</v>
      </c>
      <c r="B25" s="767" t="s">
        <v>1635</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1636</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1637</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1638</v>
      </c>
      <c r="B28" s="1723" t="s">
        <v>1639</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1640</v>
      </c>
      <c r="C29" s="276">
        <f ca="1">ROUND((1+C24)*F28*'数据-取费表'!B24/'数据-取费表'!B20,4)</f>
        <v>0</v>
      </c>
      <c r="D29" s="276"/>
      <c r="E29" s="277"/>
      <c r="F29" s="282"/>
      <c r="G29" s="123" t="s">
        <v>1641</v>
      </c>
      <c r="H29" s="759"/>
      <c r="I29" s="759"/>
      <c r="J29" s="759"/>
      <c r="K29" s="760"/>
    </row>
    <row r="30" spans="1:33" s="283" customFormat="1" ht="13.5" customHeight="1">
      <c r="A30" s="752" t="s">
        <v>359</v>
      </c>
      <c r="B30" s="773" t="s">
        <v>1642</v>
      </c>
      <c r="C30" s="284">
        <f ca="1">ROUND((C21+C22+C23)*F28,0)</f>
        <v>0</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5.5000000000000007E-2</v>
      </c>
      <c r="G31" s="788" t="s">
        <v>1645</v>
      </c>
      <c r="H31" s="789"/>
      <c r="I31" s="789"/>
      <c r="J31" s="789"/>
      <c r="K31" s="790"/>
    </row>
    <row r="32" spans="1:33" s="751" customFormat="1" ht="13.5" customHeight="1" thickBot="1">
      <c r="A32" s="449" t="s">
        <v>1646</v>
      </c>
      <c r="B32" s="779"/>
      <c r="C32" s="780">
        <f ca="1">ROUND((C4-C21-C22-C23-C25-C28-C31)/(1+C24+D25+D28),0)</f>
        <v>0</v>
      </c>
      <c r="D32" s="779"/>
      <c r="E32" s="779"/>
      <c r="F32" s="779"/>
      <c r="G32" s="781" t="s">
        <v>1647</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80" zoomScaleNormal="80" zoomScaleSheetLayoutView="80" workbookViewId="0">
      <selection activeCell="N18" sqref="N1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1923</v>
      </c>
      <c r="B1" s="189"/>
      <c r="C1" s="193" t="s">
        <v>1924</v>
      </c>
      <c r="D1" s="333">
        <f>SUM(D33:D34,D37:D42)</f>
        <v>9096.41</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75">
      <c r="A2" s="193" t="s">
        <v>1931</v>
      </c>
      <c r="B2" s="196">
        <f>C30</f>
        <v>2911</v>
      </c>
      <c r="C2" s="1846" t="s">
        <v>1932</v>
      </c>
      <c r="D2" s="162" t="s">
        <v>1933</v>
      </c>
      <c r="E2" s="3116" t="s">
        <v>3386</v>
      </c>
      <c r="F2" s="162" t="s">
        <v>1934</v>
      </c>
      <c r="G2" s="163" t="str">
        <f>IF(E2="商业",项目基本情况!B37,IF(E2="办公",项目基本情况!C37,IF(E2="住宅",项目基本情况!D37,IF(E2="工业",项目基本情况!E37,项目基本情况!F37))))</f>
        <v>八级</v>
      </c>
      <c r="H2" s="162" t="s">
        <v>1935</v>
      </c>
      <c r="I2" s="163" t="str">
        <f>IF(E2="商业",项目基本情况!B38,IF(E2="办公",项目基本情况!C38,IF(E2="住宅",项目基本情况!D38,IF(E2="工业",项目基本情况!E38,项目基本情况!F38))))</f>
        <v>Ⅷ-昌3</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1.5418000000000001</v>
      </c>
      <c r="T2" s="3059">
        <f t="shared" ref="T2:T16" si="0">ROUND($C$5*$C$22*$C$23*$C$24*S2*$C$28,0)</f>
        <v>5492</v>
      </c>
      <c r="U2" s="1130"/>
      <c r="V2" s="3059">
        <f>ROUND(T2*U2/10000,0)</f>
        <v>0</v>
      </c>
      <c r="W2" s="1133"/>
      <c r="X2" s="1133"/>
      <c r="Y2" s="1133"/>
      <c r="Z2" s="1133"/>
      <c r="AA2" s="1133"/>
      <c r="AB2" s="1133"/>
      <c r="AC2" s="1134"/>
      <c r="AD2" s="1135"/>
      <c r="AE2" s="1135"/>
      <c r="AF2" s="1135"/>
      <c r="AG2" s="1135"/>
      <c r="AH2" s="1135"/>
      <c r="AI2" s="1135"/>
      <c r="AJ2" s="1136"/>
    </row>
    <row r="3" spans="1:36" ht="15.75">
      <c r="A3" s="195" t="s">
        <v>1937</v>
      </c>
      <c r="B3" s="196">
        <f>ROUND(B2*10000/D1,0)</f>
        <v>3200</v>
      </c>
      <c r="C3" s="1846" t="s">
        <v>1938</v>
      </c>
      <c r="D3" s="162" t="s">
        <v>1939</v>
      </c>
      <c r="E3" s="3114" t="s">
        <v>2446</v>
      </c>
      <c r="F3" s="1848" t="s">
        <v>3388</v>
      </c>
      <c r="G3" s="708">
        <f>IF(F3="宗地容积率",'数据-汇总表'!I4,IF(F3="估价对象容积率",'数据-汇总表'!I6,'数据-汇总表'!I7))</f>
        <v>1.18</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1.1883999999999999</v>
      </c>
      <c r="T3" s="3059">
        <f t="shared" si="0"/>
        <v>4233</v>
      </c>
      <c r="U3" s="1130"/>
      <c r="V3" s="3059">
        <f t="shared" ref="V3:V16" si="1">ROUND(T3*U3/10000,0)</f>
        <v>0</v>
      </c>
      <c r="W3" s="1133"/>
      <c r="X3" s="1133"/>
      <c r="Y3" s="1133"/>
      <c r="Z3" s="1133"/>
      <c r="AA3" s="1133"/>
      <c r="AB3" s="1133"/>
      <c r="AC3" s="1134"/>
      <c r="AD3" s="1135"/>
      <c r="AE3" s="1135"/>
      <c r="AF3" s="1135"/>
      <c r="AG3" s="1135"/>
      <c r="AH3" s="1135"/>
      <c r="AI3" s="1135"/>
      <c r="AJ3" s="1136"/>
    </row>
    <row r="4" spans="1:36" ht="15.75">
      <c r="A4" s="3400"/>
      <c r="B4" s="3401"/>
      <c r="C4" s="3401"/>
      <c r="D4" s="3402"/>
      <c r="E4" s="3402"/>
      <c r="F4" s="3402"/>
      <c r="G4" s="3402"/>
      <c r="H4" s="3402"/>
      <c r="I4" s="3402"/>
      <c r="J4" s="3403"/>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0.96940000000000004</v>
      </c>
      <c r="T4" s="3059">
        <f t="shared" si="0"/>
        <v>3453</v>
      </c>
      <c r="U4" s="1130"/>
      <c r="V4" s="3059">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1944</v>
      </c>
      <c r="C5" s="709">
        <f>ROUND(IF(E2="商业",C6*C7*C17+C20,(IF(E2="住宅",C6*C13*C17+C20,IF(E2="办公",C6*C12*C17+C20,C6+C20)))),0)</f>
        <v>4660</v>
      </c>
      <c r="D5" s="1252">
        <f>ROUND(C6*C17+C20,0)</f>
        <v>4660</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0.82299999999999995</v>
      </c>
      <c r="T5" s="3059">
        <f t="shared" si="0"/>
        <v>2931</v>
      </c>
      <c r="U5" s="1130"/>
      <c r="V5" s="3059">
        <f t="shared" si="1"/>
        <v>0</v>
      </c>
      <c r="W5" s="1133"/>
      <c r="X5" s="1133"/>
      <c r="Y5" s="1133"/>
      <c r="Z5" s="1133"/>
      <c r="AA5" s="1133"/>
      <c r="AB5" s="1133"/>
      <c r="AC5" s="1855"/>
      <c r="AD5" s="1856"/>
      <c r="AE5" s="1856"/>
      <c r="AF5" s="1856"/>
      <c r="AG5" s="1856"/>
      <c r="AH5" s="1856"/>
      <c r="AI5" s="1856"/>
      <c r="AJ5" s="1857"/>
    </row>
    <row r="6" spans="1:36" ht="15.75" thickBot="1">
      <c r="A6" s="1859" t="s">
        <v>1946</v>
      </c>
      <c r="B6" s="1860" t="s">
        <v>1947</v>
      </c>
      <c r="C6" s="710">
        <f>SUMIF(L1:L12,G2,M1:M12)</f>
        <v>4660</v>
      </c>
      <c r="D6" s="1861"/>
      <c r="E6" s="1862"/>
      <c r="F6" s="1862"/>
      <c r="G6" s="1863"/>
      <c r="H6" s="1863"/>
      <c r="I6" s="1863"/>
      <c r="J6" s="1864"/>
      <c r="K6" s="1292"/>
      <c r="L6" s="1847" t="s">
        <v>1948</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0.74980000000000002</v>
      </c>
      <c r="T6" s="3059">
        <f t="shared" si="0"/>
        <v>2671</v>
      </c>
      <c r="U6" s="1130"/>
      <c r="V6" s="3059">
        <f t="shared" si="1"/>
        <v>0</v>
      </c>
      <c r="W6" s="1133"/>
      <c r="X6" s="1133"/>
      <c r="Y6" s="1133"/>
      <c r="Z6" s="1133"/>
      <c r="AA6" s="1133"/>
      <c r="AB6" s="1133"/>
      <c r="AC6" s="1855"/>
      <c r="AD6" s="1856"/>
      <c r="AE6" s="1856"/>
      <c r="AF6" s="1856"/>
      <c r="AG6" s="1856"/>
      <c r="AH6" s="1856"/>
      <c r="AI6" s="1856"/>
      <c r="AJ6" s="1857"/>
    </row>
    <row r="7" spans="1:36" ht="24.75" thickBot="1">
      <c r="A7" s="3008" t="s">
        <v>3227</v>
      </c>
      <c r="B7" s="1865" t="s">
        <v>1949</v>
      </c>
      <c r="C7" s="711">
        <f>IF(C8="不临65条商业街",1,ROUND(1+(1.6*E8+1.2*E9+0.8*E10+0.4*E11)*C9,4))</f>
        <v>1</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7" t="s">
        <v>1952</v>
      </c>
      <c r="X7" s="1131" t="str">
        <f>G2</f>
        <v>八级</v>
      </c>
      <c r="Y7" s="1131" t="s">
        <v>1953</v>
      </c>
      <c r="Z7" s="1132">
        <f>G3</f>
        <v>1.18</v>
      </c>
      <c r="AA7" s="1133"/>
      <c r="AB7" s="1133"/>
      <c r="AC7" s="1134"/>
      <c r="AD7" s="1135"/>
      <c r="AE7" s="1135"/>
      <c r="AF7" s="1135"/>
      <c r="AG7" s="1135"/>
      <c r="AH7" s="1135"/>
      <c r="AI7" s="1135"/>
      <c r="AJ7" s="1136"/>
    </row>
    <row r="8" spans="1:36" ht="25.5">
      <c r="A8" s="3005"/>
      <c r="B8" s="162" t="s">
        <v>1954</v>
      </c>
      <c r="C8" s="1870" t="s">
        <v>3387</v>
      </c>
      <c r="D8" s="712" t="s">
        <v>112</v>
      </c>
      <c r="E8" s="713" t="e">
        <f>ROUND(C11/E7,4)</f>
        <v>#DIV/0!</v>
      </c>
      <c r="F8" s="1871" t="s">
        <v>1955</v>
      </c>
      <c r="G8" s="1872"/>
      <c r="H8" s="1872"/>
      <c r="I8" s="1872"/>
      <c r="J8" s="1873"/>
      <c r="K8" s="1056"/>
      <c r="L8" s="1847" t="s">
        <v>1956</v>
      </c>
      <c r="M8" s="811">
        <f>SUMPRODUCT((区片价!B234:B276=I2)*(区片价!C3:G3=E2)*(区片价!C234:G276))</f>
        <v>4660</v>
      </c>
      <c r="N8" s="813">
        <f>SUMPRODUCT((因素修正幅度!B234:B276=I2)*(因素修正幅度!C3:G3=E2)*(因素修正幅度!C234:G276))</f>
        <v>0.15</v>
      </c>
      <c r="O8" s="1056"/>
      <c r="P8" s="1056"/>
      <c r="Q8" s="1056"/>
      <c r="R8" s="1129">
        <v>7</v>
      </c>
      <c r="S8" s="1130"/>
      <c r="T8" s="3059">
        <f t="shared" si="0"/>
        <v>0</v>
      </c>
      <c r="U8" s="1130"/>
      <c r="V8" s="3059">
        <f t="shared" si="1"/>
        <v>0</v>
      </c>
      <c r="W8" s="3397" t="s">
        <v>1957</v>
      </c>
      <c r="X8" s="3398"/>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
      <c r="A9" s="3005"/>
      <c r="B9" s="162" t="s">
        <v>1970</v>
      </c>
      <c r="C9" s="714">
        <f>SUMIF(修正!C71:C138,C8,修正!E71:E138)</f>
        <v>0</v>
      </c>
      <c r="D9" s="163" t="s">
        <v>113</v>
      </c>
      <c r="E9" s="163" t="e">
        <f>ROUND(C11/E7,4)</f>
        <v>#DIV/0!</v>
      </c>
      <c r="F9" s="1871" t="s">
        <v>1971</v>
      </c>
      <c r="G9" s="1872"/>
      <c r="H9" s="1872"/>
      <c r="I9" s="1872"/>
      <c r="J9" s="1873"/>
      <c r="K9" s="1056"/>
      <c r="L9" s="1847" t="s">
        <v>1972</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399"/>
      <c r="X9" s="3060" t="s">
        <v>3257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SUMIF(修正!C71:C138,C8,修正!F71:F138)</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39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5" thickBot="1">
      <c r="A12" s="3008" t="s">
        <v>3228</v>
      </c>
      <c r="B12" s="3009" t="s">
        <v>3229</v>
      </c>
      <c r="C12" s="3010">
        <v>1</v>
      </c>
      <c r="D12" s="3011" t="s">
        <v>3230</v>
      </c>
      <c r="E12" s="3012" t="s">
        <v>3231</v>
      </c>
      <c r="F12" s="3013"/>
      <c r="G12" s="3014"/>
      <c r="H12" s="3014"/>
      <c r="I12" s="3014"/>
      <c r="J12" s="3015"/>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15.75" thickBot="1">
      <c r="A13" s="3008" t="s">
        <v>3232</v>
      </c>
      <c r="B13" s="1878" t="s">
        <v>1979</v>
      </c>
      <c r="C13" s="711">
        <f>ROUND(C16*D16*E16*F16*G16*H16*I16*J16,4)</f>
        <v>0</v>
      </c>
      <c r="D13" s="1879" t="s">
        <v>1980</v>
      </c>
      <c r="E13" s="1880"/>
      <c r="F13" s="1880"/>
      <c r="G13" s="1881"/>
      <c r="H13" s="1881"/>
      <c r="I13" s="1881"/>
      <c r="J13" s="1882"/>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15">
      <c r="A14" s="3004"/>
      <c r="B14" s="1883" t="s">
        <v>1982</v>
      </c>
      <c r="C14" s="1884" t="s">
        <v>1983</v>
      </c>
      <c r="D14" s="1261" t="s">
        <v>1984</v>
      </c>
      <c r="E14" s="27" t="s">
        <v>1985</v>
      </c>
      <c r="F14" s="3016" t="s">
        <v>3233</v>
      </c>
      <c r="G14" s="3016" t="s">
        <v>3233</v>
      </c>
      <c r="H14" s="3016" t="s">
        <v>3233</v>
      </c>
      <c r="I14" s="3016" t="s">
        <v>3233</v>
      </c>
      <c r="J14" s="3016" t="s">
        <v>3233</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3234</v>
      </c>
      <c r="G15" s="1928"/>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75" thickBot="1">
      <c r="A16" s="3004"/>
      <c r="B16" s="3022" t="s">
        <v>1986</v>
      </c>
      <c r="C16" s="3020"/>
      <c r="D16" s="3020"/>
      <c r="E16" s="3020"/>
      <c r="F16" s="3020">
        <v>1</v>
      </c>
      <c r="G16" s="3020">
        <v>1</v>
      </c>
      <c r="H16" s="3020">
        <v>1</v>
      </c>
      <c r="I16" s="3020">
        <v>1</v>
      </c>
      <c r="J16" s="3021">
        <v>1</v>
      </c>
      <c r="K16" s="1056"/>
      <c r="L16" s="1844"/>
      <c r="M16" s="1844"/>
      <c r="N16" s="1844"/>
      <c r="O16" s="1844"/>
      <c r="P16" s="1844"/>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c r="A17" s="3031" t="s">
        <v>3235</v>
      </c>
      <c r="B17" s="3023" t="s">
        <v>3236</v>
      </c>
      <c r="C17" s="3032">
        <f>ROUND(IF(OR(E2="工业",E2="公共服务"),1,IF(AND(E18=0,E19=0),1,IF(AND(E18=J24,E19=G19),0.8,IF(E19=0,1+E17*(-0.2),1+E17*G17*(-0.2))))),4)</f>
        <v>1</v>
      </c>
      <c r="D17" s="3024" t="s">
        <v>3237</v>
      </c>
      <c r="E17" s="3032">
        <f>ROUND(G18/I18,2)</f>
        <v>0</v>
      </c>
      <c r="F17" s="3024" t="s">
        <v>3240</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4"/>
      <c r="B18" s="2304"/>
      <c r="C18" s="3030"/>
      <c r="D18" s="3025" t="s">
        <v>3238</v>
      </c>
      <c r="E18" s="2351"/>
      <c r="F18" s="3026" t="s">
        <v>3241</v>
      </c>
      <c r="G18" s="3030">
        <f>ROUND(1-(1/(POWER(1+G24,E18))),4)</f>
        <v>0</v>
      </c>
      <c r="H18" s="3026" t="s">
        <v>3243</v>
      </c>
      <c r="I18" s="3030">
        <f>ROUND(1-(1/(POWER(1+G24,J24))),4)</f>
        <v>0.91279999999999994</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5" thickBot="1">
      <c r="A19" s="3036"/>
      <c r="B19" s="3037"/>
      <c r="C19" s="3038"/>
      <c r="D19" s="3038" t="s">
        <v>3239</v>
      </c>
      <c r="E19" s="3039"/>
      <c r="F19" s="3040" t="s">
        <v>3242</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4.25">
      <c r="A20" s="3404" t="s">
        <v>3244</v>
      </c>
      <c r="B20" s="159" t="s">
        <v>1991</v>
      </c>
      <c r="C20" s="3027">
        <f>ROUND(IF(F21="与级别开发程度一致",0,(G21-E21)/C21),0)</f>
        <v>0</v>
      </c>
      <c r="D20" s="3042" t="s">
        <v>1995</v>
      </c>
      <c r="E20" s="3043"/>
      <c r="F20" s="3410" t="s">
        <v>1992</v>
      </c>
      <c r="G20" s="3411"/>
      <c r="H20" s="3028" t="s">
        <v>3380</v>
      </c>
      <c r="I20" s="3028" t="s">
        <v>3381</v>
      </c>
      <c r="J20" s="3029" t="s">
        <v>3382</v>
      </c>
      <c r="K20" s="1889" t="s">
        <v>3383</v>
      </c>
      <c r="L20" s="1889" t="s">
        <v>3384</v>
      </c>
      <c r="M20" s="1889" t="s">
        <v>43</v>
      </c>
      <c r="N20" s="1889" t="s">
        <v>43</v>
      </c>
      <c r="O20" s="1890" t="s">
        <v>3385</v>
      </c>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26.25" thickBot="1">
      <c r="A21" s="3405"/>
      <c r="B21" s="2002" t="s">
        <v>1994</v>
      </c>
      <c r="C21" s="2003">
        <f>IF(E3="M4科研用地",SUMPRODUCT((修正!A2:A7=E3)*(修正!B1:M1=G2)*(修正!B2:M7)),SUMPRODUCT((修正!A2:A7=E2)*(修正!B1:M1=G2)*(修正!B2:M7)))</f>
        <v>1.5</v>
      </c>
      <c r="D21" s="179" t="str">
        <f>IF(OR(G2="八级",G2="九级",G2="十级",G2="十一级",G2="十二级"),"五通一平","七通一平")</f>
        <v>五通一平</v>
      </c>
      <c r="E21" s="1993">
        <f>SUMPRODUCT((修正!B1:M1=G2)*(修正!B17:M17))</f>
        <v>185</v>
      </c>
      <c r="F21" s="1994" t="s">
        <v>3389</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10</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75" thickBot="1">
      <c r="A22" s="1996" t="s">
        <v>363</v>
      </c>
      <c r="B22" s="1997" t="s">
        <v>1997</v>
      </c>
      <c r="C22" s="1998">
        <f>SUMIF(修正!C20:C51,E3,修正!E20:E51)</f>
        <v>0.8</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2" t="s">
        <v>364</v>
      </c>
      <c r="B23" s="1893" t="s">
        <v>1998</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1896" t="s">
        <v>1999</v>
      </c>
      <c r="E23" s="717">
        <v>44197</v>
      </c>
      <c r="F23" s="1896" t="s">
        <v>2000</v>
      </c>
      <c r="G23" s="718">
        <f>'数据-取费表'!B2</f>
        <v>45355</v>
      </c>
      <c r="H23" s="3044" t="s">
        <v>3245</v>
      </c>
      <c r="I23" s="3045" t="str">
        <f>IF(H23="季度增幅（自定义）",SUMIF(N25:N28,E2,O25:O28),"")</f>
        <v/>
      </c>
      <c r="J23" s="3137" t="s">
        <v>3390</v>
      </c>
      <c r="K23" s="1061"/>
      <c r="L23" s="1897" t="s">
        <v>2001</v>
      </c>
      <c r="M23" s="1241">
        <f>ROUND(SUMIF(地价!B2:G2,E2,地价!B16:G16),0)</f>
        <v>0</v>
      </c>
      <c r="N23" s="1898" t="s">
        <v>2002</v>
      </c>
      <c r="O23" s="719">
        <f>ROUNDDOWN(DATEDIF(E23,G23,"M")/3,0)</f>
        <v>12</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2003</v>
      </c>
      <c r="C24" s="720">
        <f>ROUND(POWER(1+G24,J24-I24)*(POWER(1+G24,I24)-1)/(POWER(1+G24,J24)-1),4)</f>
        <v>0.88060000000000005</v>
      </c>
      <c r="D24" s="1902" t="s">
        <v>2004</v>
      </c>
      <c r="E24" s="1248">
        <f>存贷款利率!E24/100</f>
        <v>4.3499999999999997E-2</v>
      </c>
      <c r="F24" s="1902" t="s">
        <v>1996</v>
      </c>
      <c r="G24" s="724">
        <f>SUMIF(M30:Q30,E2,M33:Q33)</f>
        <v>0.05</v>
      </c>
      <c r="H24" s="1902" t="s">
        <v>2005</v>
      </c>
      <c r="I24" s="725">
        <f>SUMIF('数据-取费表'!C6:C15,E2,'数据-取费表'!F6:F15)/COUNTIF('数据-取费表'!C6:C15,E2)</f>
        <v>33.380000000000003</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7" t="s">
        <v>366</v>
      </c>
      <c r="B25" s="1908" t="s">
        <v>3324</v>
      </c>
      <c r="C25" s="461">
        <f>IF(B25="容积率修正",IF(G3&lt;10,D26,J26),C27)</f>
        <v>1.0729</v>
      </c>
      <c r="D25" s="1909"/>
      <c r="E25" s="1909"/>
      <c r="F25" s="1909"/>
      <c r="G25" s="1909"/>
      <c r="H25" s="1909"/>
      <c r="I25" s="1909"/>
      <c r="J25" s="1910"/>
      <c r="K25" s="1061"/>
      <c r="L25" s="2548"/>
      <c r="M25" s="2548"/>
      <c r="N25" s="1911" t="s">
        <v>2010</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2011</v>
      </c>
      <c r="B26" s="1912" t="s">
        <v>2012</v>
      </c>
      <c r="C26" s="1912" t="s">
        <v>3246</v>
      </c>
      <c r="D26" s="1263">
        <f>IF(E26=G26,F26,IF(G3&lt;10,ROUND(F26+(H26-F26)*(G3-E26)/(G26-E26),4),"——"))</f>
        <v>1.0729</v>
      </c>
      <c r="E26" s="708">
        <f>ROUNDDOWN(G3,1)</f>
        <v>1.1000000000000001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1.0931</v>
      </c>
      <c r="G26" s="708">
        <f>ROUNDUP(G3,1)</f>
        <v>1.2000000000000002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1912" t="s">
        <v>3247</v>
      </c>
      <c r="J26" s="374" t="str">
        <f>IF(G3&gt;=10,D115,"——")</f>
        <v>——</v>
      </c>
      <c r="K26" s="1061"/>
      <c r="L26" s="2548"/>
      <c r="M26" s="2548"/>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2017</v>
      </c>
      <c r="C28" s="716">
        <f>SUMIF(A47:A101,E2,B47:B101)</f>
        <v>1.0537000000000001</v>
      </c>
      <c r="D28" s="1894"/>
      <c r="E28" s="1919"/>
      <c r="F28" s="1919"/>
      <c r="G28" s="1919"/>
      <c r="H28" s="1919"/>
      <c r="I28" s="1919"/>
      <c r="J28" s="1920"/>
      <c r="K28" s="1061"/>
      <c r="L28" s="2548"/>
      <c r="M28" s="2548"/>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2019</v>
      </c>
      <c r="C29" s="721"/>
      <c r="D29" s="1868"/>
      <c r="E29" s="1868"/>
      <c r="F29" s="1923"/>
      <c r="G29" s="1868"/>
      <c r="H29" s="1868"/>
      <c r="I29" s="1868"/>
      <c r="J29" s="1869"/>
      <c r="K29" s="1056"/>
      <c r="L29" s="1844"/>
      <c r="M29" s="1844"/>
      <c r="N29" s="2545" t="s">
        <v>2020</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2021</v>
      </c>
      <c r="C30" s="2145">
        <f>IF(B25="容积率修正",E33+SUM(E37:E42),SUM(V2:V16)+SUM(E37:E42))</f>
        <v>2911</v>
      </c>
      <c r="D30" s="1925"/>
      <c r="E30" s="1842"/>
      <c r="F30" s="1926"/>
      <c r="G30" s="1842"/>
      <c r="H30" s="1842"/>
      <c r="I30" s="1842"/>
      <c r="J30" s="1927"/>
      <c r="K30" s="1056"/>
      <c r="L30" s="3051" t="s">
        <v>1933</v>
      </c>
      <c r="M30" s="3052" t="s">
        <v>1987</v>
      </c>
      <c r="N30" s="3052" t="s">
        <v>1988</v>
      </c>
      <c r="O30" s="3052" t="s">
        <v>1989</v>
      </c>
      <c r="P30" s="3052" t="s">
        <v>1990</v>
      </c>
      <c r="Q30" s="3055"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2022</v>
      </c>
      <c r="C31" s="722">
        <f>E34+SUM(I37:I42)</f>
        <v>32</v>
      </c>
      <c r="D31" s="1929"/>
      <c r="E31" s="1930"/>
      <c r="F31" s="1931"/>
      <c r="G31" s="1930"/>
      <c r="H31" s="1930"/>
      <c r="I31" s="1930"/>
      <c r="J31" s="1932"/>
      <c r="K31" s="1056"/>
      <c r="L31" s="3053" t="s">
        <v>1993</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2023</v>
      </c>
      <c r="C32" s="1935" t="s">
        <v>2024</v>
      </c>
      <c r="D32" s="1935" t="s">
        <v>2025</v>
      </c>
      <c r="E32" s="1936" t="s">
        <v>2026</v>
      </c>
      <c r="F32" s="1937"/>
      <c r="G32" s="1881"/>
      <c r="H32" s="1881"/>
      <c r="I32" s="1881"/>
      <c r="J32" s="1882"/>
      <c r="K32" s="1056"/>
      <c r="L32" s="3054" t="s">
        <v>1996</v>
      </c>
      <c r="M32" s="2350">
        <f>ROUND($E$24*(1+M31),3)</f>
        <v>5.3999999999999999E-2</v>
      </c>
      <c r="N32" s="2350">
        <f>ROUND($E$24*(1+N31),3)</f>
        <v>5.1999999999999998E-2</v>
      </c>
      <c r="O32" s="2350">
        <f>ROUND($E$24*(1+O31),3)</f>
        <v>0.05</v>
      </c>
      <c r="P32" s="2350">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2027</v>
      </c>
      <c r="C33" s="167">
        <f>ROUND(C5*C22*C23*C24*C25*C28,0)</f>
        <v>3822</v>
      </c>
      <c r="D33" s="1940">
        <f>'数据-汇总表'!F31</f>
        <v>7277.1279999999997</v>
      </c>
      <c r="E33" s="727">
        <f>ROUND(C33*D33/10000,0)</f>
        <v>2781</v>
      </c>
      <c r="F33" s="3046" t="s">
        <v>3249</v>
      </c>
      <c r="G33" s="1941"/>
      <c r="H33" s="1941"/>
      <c r="I33" s="1941"/>
      <c r="J33" s="1942"/>
      <c r="K33" s="1056"/>
      <c r="L33" s="3049" t="s">
        <v>3252</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2028</v>
      </c>
      <c r="C34" s="179">
        <f>ROUND(IF(E2="工业",C33*M42,IF(B25="楼层修正",SUM(V2:V16)*M41*10000/D34,C33*M41)),0)</f>
        <v>956</v>
      </c>
      <c r="D34" s="1945"/>
      <c r="E34" s="727">
        <f>ROUND(IF(B25="楼层修正",SUM(V2:V16)*M40,C34*D34/10000),0)</f>
        <v>0</v>
      </c>
      <c r="F34" s="1946" t="s">
        <v>2029</v>
      </c>
      <c r="G34" s="1947"/>
      <c r="H34" s="1947"/>
      <c r="I34" s="1947"/>
      <c r="J34" s="1948"/>
      <c r="K34" s="1056"/>
      <c r="L34" s="3049" t="s">
        <v>3253</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2030</v>
      </c>
      <c r="C35" s="3047" t="s">
        <v>3250</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2024</v>
      </c>
      <c r="D36" s="433" t="s">
        <v>2025</v>
      </c>
      <c r="E36" s="433" t="s">
        <v>2026</v>
      </c>
      <c r="F36" s="333" t="s">
        <v>2032</v>
      </c>
      <c r="G36" s="1954" t="s">
        <v>2024</v>
      </c>
      <c r="H36" s="1954" t="s">
        <v>2025</v>
      </c>
      <c r="I36" s="1954" t="s">
        <v>2026</v>
      </c>
      <c r="J36" s="235"/>
      <c r="K36" s="1964" t="s">
        <v>3254</v>
      </c>
      <c r="L36" s="3138">
        <f ca="1">'数据-取费表'!B40</f>
        <v>3.4500000000000003E-2</v>
      </c>
      <c r="M36" s="2360">
        <f ca="1">ROUND($L$36*(1+M31),3)</f>
        <v>4.2999999999999997E-2</v>
      </c>
      <c r="N36" s="2360">
        <f ca="1">ROUND($L$36*(1+N31),3)</f>
        <v>4.1000000000000002E-2</v>
      </c>
      <c r="O36" s="2360">
        <f ca="1">ROUND($L$36*(1+O31),3)</f>
        <v>0.04</v>
      </c>
      <c r="P36" s="2360">
        <f ca="1">ROUND($L$36*(1+P31),3)</f>
        <v>3.7999999999999999E-2</v>
      </c>
      <c r="Q36" s="2360">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8"/>
      <c r="B37" s="1955" t="s">
        <v>2033</v>
      </c>
      <c r="C37" s="167">
        <f>ROUND(D5*C22*C23*C24*C28*F37,0)</f>
        <v>1781</v>
      </c>
      <c r="D37" s="1940"/>
      <c r="E37" s="163">
        <f>ROUND(C37*D37/10000,0)</f>
        <v>0</v>
      </c>
      <c r="F37" s="163">
        <f>SUMIF(修正!A57:A68,G2,修正!B57:B68)</f>
        <v>0.5</v>
      </c>
      <c r="G37" s="163">
        <f>ROUND(IF(E2="工业",C37*$M$42,C37*$M$41),0)</f>
        <v>445</v>
      </c>
      <c r="H37" s="163">
        <f>D37</f>
        <v>0</v>
      </c>
      <c r="I37" s="163">
        <f>ROUND(G37*H37/10000,0)</f>
        <v>0</v>
      </c>
      <c r="J37" s="2750"/>
      <c r="K37" s="3057" t="s">
        <v>3255</v>
      </c>
      <c r="L37" s="1964">
        <f ca="1">L36+K38</f>
        <v>3.95E-2</v>
      </c>
      <c r="M37" s="2360">
        <f ca="1">ROUND($L$37*(1+M31),3)</f>
        <v>4.9000000000000002E-2</v>
      </c>
      <c r="N37" s="2360">
        <f t="shared" ref="N37:Q37" ca="1" si="3">ROUND($L$37*(1+N31),3)</f>
        <v>4.7E-2</v>
      </c>
      <c r="O37" s="2360">
        <f t="shared" ca="1" si="3"/>
        <v>4.4999999999999998E-2</v>
      </c>
      <c r="P37" s="2360">
        <f t="shared" ca="1" si="3"/>
        <v>4.2999999999999997E-2</v>
      </c>
      <c r="Q37" s="2360">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9"/>
      <c r="B38" s="1884" t="s">
        <v>2034</v>
      </c>
      <c r="C38" s="167">
        <f>ROUND(D5*C22*C23*C24*C28*F38,0)</f>
        <v>712</v>
      </c>
      <c r="D38" s="1940"/>
      <c r="E38" s="163">
        <f t="shared" ref="E38:E42" si="4">ROUND(C38*D38/10000,0)</f>
        <v>0</v>
      </c>
      <c r="F38" s="163">
        <f>SUMIF(修正!A57:A68,G2,修正!C57:C68)</f>
        <v>0.2</v>
      </c>
      <c r="G38" s="163">
        <f>ROUND(IF(E2="工业",C38*$M$42,C38*$M$41),0)</f>
        <v>178</v>
      </c>
      <c r="H38" s="163">
        <f t="shared" ref="H38:H42" si="5">D38</f>
        <v>0</v>
      </c>
      <c r="I38" s="163">
        <f t="shared" ref="I38:I42" si="6">ROUND(G38*H38/10000,0)</f>
        <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9"/>
      <c r="B39" s="1884" t="s">
        <v>3248</v>
      </c>
      <c r="C39" s="167">
        <f>ROUND(D5*C22*C23*C24*C28*F39,0)</f>
        <v>712</v>
      </c>
      <c r="D39" s="1940"/>
      <c r="E39" s="163">
        <f t="shared" si="4"/>
        <v>0</v>
      </c>
      <c r="F39" s="163">
        <f>SUMIF(修正!A57:A68,G2,修正!D57:D68)</f>
        <v>0.2</v>
      </c>
      <c r="G39" s="163">
        <f>ROUND(IF(E2="工业",C39*$M$42,C39*$M$41),0)</f>
        <v>178</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2035</v>
      </c>
      <c r="C40" s="163">
        <f>ROUND(D5*C22*C23*C24*C28*F40,0)</f>
        <v>712</v>
      </c>
      <c r="D40" s="1940">
        <f>'数据-汇总表'!G31</f>
        <v>1819.2819999999999</v>
      </c>
      <c r="E40" s="163">
        <f t="shared" si="4"/>
        <v>130</v>
      </c>
      <c r="F40" s="167">
        <f>SUMIF(修正!A57:A68,G2,修正!E57:E68)</f>
        <v>0.2</v>
      </c>
      <c r="G40" s="163">
        <f>ROUND(IF(E2="工业",C40*$M$42,C40*$M$41),0)</f>
        <v>178</v>
      </c>
      <c r="H40" s="163">
        <f t="shared" si="5"/>
        <v>1819.2819999999999</v>
      </c>
      <c r="I40" s="163">
        <f t="shared" si="6"/>
        <v>32</v>
      </c>
      <c r="J40" s="939"/>
      <c r="L40" s="1957" t="s">
        <v>2036</v>
      </c>
      <c r="M40" s="1958"/>
      <c r="Z40" s="1057"/>
      <c r="AA40" s="1057"/>
      <c r="AB40" s="1057"/>
      <c r="AC40" s="1057"/>
      <c r="AD40" s="1057"/>
      <c r="AE40" s="1057"/>
      <c r="AF40" s="1057"/>
      <c r="AG40" s="1057"/>
      <c r="AH40" s="1057"/>
      <c r="AI40" s="1057"/>
      <c r="AJ40" s="1057"/>
    </row>
    <row r="41" spans="1:37" s="1056" customFormat="1">
      <c r="A41" s="1956"/>
      <c r="B41" s="1884" t="s">
        <v>2037</v>
      </c>
      <c r="C41" s="163">
        <f>ROUND(D5*C22*C23*C44*C28*F41,0)</f>
        <v>712</v>
      </c>
      <c r="D41" s="1940"/>
      <c r="E41" s="163">
        <f t="shared" si="4"/>
        <v>0</v>
      </c>
      <c r="F41" s="167">
        <f>SUMIF(修正!A57:A68,G2,修正!F57:F68)</f>
        <v>0.2</v>
      </c>
      <c r="G41" s="163">
        <f>ROUND(IF(E2="工业",C41*$M$42,C41*$M$41),0)</f>
        <v>178</v>
      </c>
      <c r="H41" s="163">
        <f t="shared" si="5"/>
        <v>0</v>
      </c>
      <c r="I41" s="163">
        <f t="shared" si="6"/>
        <v>0</v>
      </c>
      <c r="J41" s="939"/>
      <c r="L41" s="3058" t="s">
        <v>3256</v>
      </c>
      <c r="M41" s="1959">
        <v>0.25</v>
      </c>
      <c r="Z41" s="1057"/>
      <c r="AA41" s="1057"/>
      <c r="AB41" s="1057"/>
      <c r="AC41" s="1057"/>
      <c r="AD41" s="1057"/>
      <c r="AE41" s="1057"/>
      <c r="AF41" s="1057"/>
      <c r="AG41" s="1057"/>
      <c r="AH41" s="1057"/>
      <c r="AI41" s="1057"/>
      <c r="AJ41" s="1057"/>
    </row>
    <row r="42" spans="1:37" s="1056" customFormat="1" ht="13.5" thickBot="1">
      <c r="A42" s="1943"/>
      <c r="B42" s="1960" t="s">
        <v>2038</v>
      </c>
      <c r="C42" s="179">
        <f>ROUND(D5*C22*C23*C44*C28*F42,0)</f>
        <v>356</v>
      </c>
      <c r="D42" s="1945"/>
      <c r="E42" s="179">
        <f t="shared" si="4"/>
        <v>0</v>
      </c>
      <c r="F42" s="723">
        <f>SUMIF(修正!A57:A68,G2,修正!G57:G68)</f>
        <v>0.1</v>
      </c>
      <c r="G42" s="179">
        <f>ROUND(IF(E2="工业",C42*$M$42,C42*$M$41),0)</f>
        <v>89</v>
      </c>
      <c r="H42" s="179">
        <f t="shared" si="5"/>
        <v>0</v>
      </c>
      <c r="I42" s="179">
        <f t="shared" si="6"/>
        <v>0</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2119</v>
      </c>
      <c r="C44" s="333">
        <f>ROUND(POWER(1+E44,H44-G44)*(POWER(1+E44,G44)-1)/(POWER(1+E44,H44)-1),4)</f>
        <v>0.88060000000000005</v>
      </c>
      <c r="D44" s="163" t="s">
        <v>1996</v>
      </c>
      <c r="E44" s="1991">
        <f>G24</f>
        <v>0.05</v>
      </c>
      <c r="F44" s="163" t="s">
        <v>2005</v>
      </c>
      <c r="G44" s="175">
        <f>'数据-取费表'!F6</f>
        <v>33.380000000000003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24.75" hidden="1">
      <c r="A50" s="1970" t="s">
        <v>2049</v>
      </c>
      <c r="B50" s="1973" t="str">
        <f>估价对象房地状况!C4</f>
        <v>一般</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hidden="1">
      <c r="A51" s="1970" t="s">
        <v>2050</v>
      </c>
      <c r="B51" s="1262" t="str">
        <f>估价对象房地状况!C18</f>
        <v>一般</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6" t="s">
        <v>3258</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2051</v>
      </c>
      <c r="B53" s="1974" t="s">
        <v>2052</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2053</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2054</v>
      </c>
      <c r="B55" s="1975" t="s">
        <v>2055</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2056</v>
      </c>
      <c r="B56" s="1240" t="str">
        <f>估价对象房地状况!C21</f>
        <v>一般</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2057</v>
      </c>
      <c r="B57" s="1262" t="str">
        <f>估价对象房地状况!C22</f>
        <v>七通</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hidden="1" thickBot="1">
      <c r="A58" s="1977" t="s">
        <v>2058</v>
      </c>
      <c r="B58" s="1978" t="str">
        <f>估价对象房地状况!C20</f>
        <v>较好</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2059</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24" hidden="1">
      <c r="A61" s="1970" t="s">
        <v>2061</v>
      </c>
      <c r="B61" s="1973" t="str">
        <f>估价对象房地状况!C17</f>
        <v>一般</v>
      </c>
      <c r="C61" s="1887"/>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hidden="1">
      <c r="A62" s="1970" t="s">
        <v>2050</v>
      </c>
      <c r="B62" s="1262" t="str">
        <f>估价对象房地状况!C18</f>
        <v>一般</v>
      </c>
      <c r="C62" s="1887"/>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6" t="s">
        <v>3258</v>
      </c>
      <c r="B63" s="1262">
        <f>估价对象房地状况!C19</f>
        <v>0</v>
      </c>
      <c r="C63" s="1887"/>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2051</v>
      </c>
      <c r="B64" s="1974" t="s">
        <v>2052</v>
      </c>
      <c r="C64" s="1887"/>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2053</v>
      </c>
      <c r="B65" s="1262">
        <f>估价对象房地状况!C24</f>
        <v>0</v>
      </c>
      <c r="C65" s="1887"/>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2054</v>
      </c>
      <c r="B66" s="1975" t="s">
        <v>2055</v>
      </c>
      <c r="C66" s="1887"/>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hidden="1">
      <c r="A67" s="1970" t="s">
        <v>2056</v>
      </c>
      <c r="B67" s="1240" t="str">
        <f>估价对象房地状况!C21</f>
        <v>一般</v>
      </c>
      <c r="C67" s="1887"/>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70" t="s">
        <v>2057</v>
      </c>
      <c r="B68" s="1240" t="str">
        <f>估价对象房地状况!C22</f>
        <v>七通</v>
      </c>
      <c r="C68" s="1887"/>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hidden="1" thickBot="1">
      <c r="A69" s="1977" t="s">
        <v>2058</v>
      </c>
      <c r="B69" s="1979" t="str">
        <f>估价对象房地状况!C20</f>
        <v>较好</v>
      </c>
      <c r="C69" s="1887"/>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24" hidden="1">
      <c r="A72" s="1970" t="s">
        <v>2063</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hidden="1">
      <c r="A73" s="1970" t="s">
        <v>2050</v>
      </c>
      <c r="B73" s="1262" t="str">
        <f>估价对象房地状况!C18</f>
        <v>一般</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66" t="s">
        <v>3258</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2064</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hidden="1">
      <c r="A76" s="1970" t="s">
        <v>2056</v>
      </c>
      <c r="B76" s="1240" t="str">
        <f>估价对象房地状况!C21</f>
        <v>一般</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4" hidden="1">
      <c r="A77" s="1970" t="s">
        <v>2057</v>
      </c>
      <c r="B77" s="1240" t="str">
        <f>估价对象房地状况!C22</f>
        <v>七通</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2054</v>
      </c>
      <c r="B78" s="1975" t="s">
        <v>2055</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24" hidden="1">
      <c r="A79" s="1970" t="s">
        <v>2058</v>
      </c>
      <c r="B79" s="1973" t="str">
        <f>估价对象房地状况!C20</f>
        <v>较好</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2065</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5" hidden="1">
      <c r="A81" s="1967" t="s">
        <v>2066</v>
      </c>
      <c r="B81" s="1968">
        <f>1+E83</f>
        <v>1</v>
      </c>
      <c r="C81" s="699"/>
      <c r="D81" s="699"/>
      <c r="E81" s="700"/>
      <c r="F81" s="1969"/>
      <c r="G81" s="3"/>
      <c r="H81" s="3"/>
      <c r="I81" s="3"/>
      <c r="J81" s="4"/>
      <c r="K81" s="4"/>
      <c r="L81" s="4"/>
      <c r="M81" s="4"/>
      <c r="N81" s="4"/>
      <c r="Z81" s="1845"/>
      <c r="AA81" s="1895"/>
      <c r="AG81" s="1058"/>
      <c r="AK81" s="1895"/>
    </row>
    <row r="82" spans="1:37" ht="24.75" hidden="1">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24" hidden="1">
      <c r="A83" s="1970" t="s">
        <v>2067</v>
      </c>
      <c r="B83" s="1262" t="str">
        <f>估价对象房地状况!G15</f>
        <v>较好</v>
      </c>
      <c r="C83" s="1887"/>
      <c r="D83" s="1002">
        <f t="shared" ref="D83:D90" si="22">SUMIF($J$82:$N$82,C83,J83:N83)</f>
        <v>0</v>
      </c>
      <c r="E83" s="702">
        <f>ROUND(SUM(D83:D90),4)</f>
        <v>0</v>
      </c>
      <c r="F83" s="1675"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hidden="1">
      <c r="A84" s="1970" t="s">
        <v>2050</v>
      </c>
      <c r="B84" s="1262" t="str">
        <f>估价对象房地状况!G16</f>
        <v>一般</v>
      </c>
      <c r="C84" s="1887"/>
      <c r="D84" s="1002">
        <f t="shared" si="22"/>
        <v>0</v>
      </c>
      <c r="E84" s="705"/>
      <c r="F84" s="1675"/>
      <c r="G84" s="1000"/>
      <c r="H84" s="1003" t="str">
        <f t="shared" si="23"/>
        <v>——</v>
      </c>
      <c r="I84" s="3064">
        <v>0.3</v>
      </c>
      <c r="J84" s="1001">
        <f t="shared" si="24"/>
        <v>0</v>
      </c>
      <c r="K84" s="1001">
        <f t="shared" si="25"/>
        <v>0</v>
      </c>
      <c r="L84" s="1001">
        <v>0</v>
      </c>
      <c r="M84" s="1001">
        <f t="shared" si="26"/>
        <v>0</v>
      </c>
      <c r="N84" s="1001">
        <f t="shared" si="26"/>
        <v>0</v>
      </c>
      <c r="Z84" s="1845"/>
      <c r="AA84" s="1895"/>
      <c r="AG84" s="1058"/>
      <c r="AK84" s="1895"/>
    </row>
    <row r="85" spans="1:37" ht="36" hidden="1">
      <c r="A85" s="3066" t="s">
        <v>3259</v>
      </c>
      <c r="B85" s="1262">
        <f>估价对象房地状况!G17</f>
        <v>0</v>
      </c>
      <c r="C85" s="1887"/>
      <c r="D85" s="1002">
        <f t="shared" si="22"/>
        <v>0</v>
      </c>
      <c r="E85" s="705"/>
      <c r="F85" s="1675"/>
      <c r="G85" s="1000"/>
      <c r="H85" s="1003" t="str">
        <f t="shared" si="23"/>
        <v>——</v>
      </c>
      <c r="I85" s="3064">
        <v>0.1</v>
      </c>
      <c r="J85" s="1001">
        <f t="shared" si="24"/>
        <v>0</v>
      </c>
      <c r="K85" s="1001">
        <f t="shared" si="25"/>
        <v>0</v>
      </c>
      <c r="L85" s="1001">
        <v>0</v>
      </c>
      <c r="M85" s="1001">
        <f t="shared" si="26"/>
        <v>0</v>
      </c>
      <c r="N85" s="1001">
        <f t="shared" si="26"/>
        <v>0</v>
      </c>
      <c r="Z85" s="1845"/>
      <c r="AA85" s="1895"/>
      <c r="AG85" s="1058"/>
      <c r="AK85" s="1895"/>
    </row>
    <row r="86" spans="1:37" ht="14.25" hidden="1">
      <c r="A86" s="1970" t="s">
        <v>2064</v>
      </c>
      <c r="B86" s="1262">
        <f>估价对象房地状况!G22</f>
        <v>0</v>
      </c>
      <c r="C86" s="1887"/>
      <c r="D86" s="1002">
        <f t="shared" si="22"/>
        <v>0</v>
      </c>
      <c r="E86" s="705"/>
      <c r="F86" s="1675"/>
      <c r="G86" s="1000"/>
      <c r="H86" s="1003" t="str">
        <f t="shared" si="23"/>
        <v>——</v>
      </c>
      <c r="I86" s="3064">
        <v>0.05</v>
      </c>
      <c r="J86" s="1001">
        <f t="shared" si="24"/>
        <v>0</v>
      </c>
      <c r="K86" s="1001">
        <f t="shared" si="25"/>
        <v>0</v>
      </c>
      <c r="L86" s="1001">
        <v>0</v>
      </c>
      <c r="M86" s="1001">
        <f t="shared" si="26"/>
        <v>0</v>
      </c>
      <c r="N86" s="1001">
        <f t="shared" si="26"/>
        <v>0</v>
      </c>
      <c r="Z86" s="1845"/>
      <c r="AA86" s="1895"/>
      <c r="AG86" s="1058"/>
      <c r="AK86" s="1895"/>
    </row>
    <row r="87" spans="1:37" ht="24" hidden="1">
      <c r="A87" s="1970" t="s">
        <v>2056</v>
      </c>
      <c r="B87" s="1240" t="str">
        <f>估价对象房地状况!G19</f>
        <v>一般</v>
      </c>
      <c r="C87" s="1887"/>
      <c r="D87" s="1002">
        <f t="shared" si="22"/>
        <v>0</v>
      </c>
      <c r="E87" s="705"/>
      <c r="F87" s="1675"/>
      <c r="G87" s="1000"/>
      <c r="H87" s="1003" t="str">
        <f t="shared" si="23"/>
        <v>——</v>
      </c>
      <c r="I87" s="3064">
        <v>0.06</v>
      </c>
      <c r="J87" s="1001">
        <f t="shared" si="24"/>
        <v>0</v>
      </c>
      <c r="K87" s="1001">
        <f t="shared" si="25"/>
        <v>0</v>
      </c>
      <c r="L87" s="1001">
        <v>0</v>
      </c>
      <c r="M87" s="1001">
        <f t="shared" si="26"/>
        <v>0</v>
      </c>
      <c r="N87" s="1001">
        <f t="shared" si="26"/>
        <v>0</v>
      </c>
    </row>
    <row r="88" spans="1:37" ht="24" hidden="1">
      <c r="A88" s="1970" t="s">
        <v>2057</v>
      </c>
      <c r="B88" s="1240" t="str">
        <f>估价对象房地状况!G20</f>
        <v>七通</v>
      </c>
      <c r="C88" s="1887"/>
      <c r="D88" s="1002">
        <f t="shared" si="22"/>
        <v>0</v>
      </c>
      <c r="E88" s="705"/>
      <c r="F88" s="1675"/>
      <c r="G88" s="1000"/>
      <c r="H88" s="1003" t="str">
        <f t="shared" si="23"/>
        <v>——</v>
      </c>
      <c r="I88" s="3064">
        <v>0.12</v>
      </c>
      <c r="J88" s="1001">
        <f t="shared" si="24"/>
        <v>0</v>
      </c>
      <c r="K88" s="1001">
        <f t="shared" si="25"/>
        <v>0</v>
      </c>
      <c r="L88" s="1001">
        <v>0</v>
      </c>
      <c r="M88" s="1001">
        <f t="shared" si="26"/>
        <v>0</v>
      </c>
      <c r="N88" s="1001">
        <f t="shared" si="26"/>
        <v>0</v>
      </c>
    </row>
    <row r="89" spans="1:37" ht="24" hidden="1">
      <c r="A89" s="1970" t="s">
        <v>2054</v>
      </c>
      <c r="B89" s="1975" t="s">
        <v>2068</v>
      </c>
      <c r="C89" s="1887"/>
      <c r="D89" s="1002">
        <f t="shared" si="22"/>
        <v>0</v>
      </c>
      <c r="E89" s="705"/>
      <c r="F89" s="1675"/>
      <c r="G89" s="1000"/>
      <c r="H89" s="1003" t="str">
        <f t="shared" si="23"/>
        <v>——</v>
      </c>
      <c r="I89" s="3064">
        <v>0.06</v>
      </c>
      <c r="J89" s="1001">
        <f t="shared" si="24"/>
        <v>0</v>
      </c>
      <c r="K89" s="1001">
        <f t="shared" si="25"/>
        <v>0</v>
      </c>
      <c r="L89" s="1001">
        <v>0</v>
      </c>
      <c r="M89" s="1001">
        <f t="shared" si="26"/>
        <v>0</v>
      </c>
      <c r="N89" s="1001">
        <f t="shared" si="26"/>
        <v>0</v>
      </c>
    </row>
    <row r="90" spans="1:37" ht="15" hidden="1" thickBot="1">
      <c r="A90" s="1977" t="s">
        <v>2069</v>
      </c>
      <c r="B90" s="1982" t="str">
        <f>估价对象房地状况!G18</f>
        <v>较好</v>
      </c>
      <c r="C90" s="1887"/>
      <c r="D90" s="1002">
        <f t="shared" si="22"/>
        <v>0</v>
      </c>
      <c r="E90" s="706"/>
      <c r="F90" s="1675"/>
      <c r="G90" s="1000"/>
      <c r="H90" s="1003" t="str">
        <f t="shared" si="23"/>
        <v>——</v>
      </c>
      <c r="I90" s="3065">
        <v>0.05</v>
      </c>
      <c r="J90" s="1001">
        <f t="shared" si="24"/>
        <v>0</v>
      </c>
      <c r="K90" s="1001">
        <f t="shared" si="25"/>
        <v>0</v>
      </c>
      <c r="L90" s="1001">
        <v>0</v>
      </c>
      <c r="M90" s="1001">
        <f t="shared" si="26"/>
        <v>0</v>
      </c>
      <c r="N90" s="1001">
        <f t="shared" si="26"/>
        <v>0</v>
      </c>
    </row>
    <row r="91" spans="1:37" ht="15">
      <c r="A91" s="3074" t="s">
        <v>2602</v>
      </c>
      <c r="B91" s="3075">
        <f>1+E93</f>
        <v>1.0537000000000001</v>
      </c>
      <c r="C91" s="3068"/>
      <c r="D91" s="3069"/>
      <c r="E91" s="1675"/>
      <c r="F91" s="1675"/>
      <c r="G91" s="3070"/>
      <c r="H91" s="3071"/>
      <c r="I91" s="3072"/>
      <c r="J91" s="3073"/>
      <c r="K91" s="3073"/>
      <c r="L91" s="3073"/>
      <c r="M91" s="3073"/>
      <c r="N91" s="3073"/>
    </row>
    <row r="92" spans="1:37" ht="24.75">
      <c r="A92" s="3076" t="s">
        <v>3260</v>
      </c>
      <c r="B92" s="2304"/>
      <c r="C92" s="2304" t="s">
        <v>3269</v>
      </c>
      <c r="D92" s="2304" t="s">
        <v>3270</v>
      </c>
      <c r="E92" s="3048" t="s">
        <v>3271</v>
      </c>
      <c r="F92" s="3078" t="s">
        <v>3272</v>
      </c>
      <c r="G92" s="2304" t="s">
        <v>3273</v>
      </c>
      <c r="H92" s="3085" t="s">
        <v>3276</v>
      </c>
      <c r="I92" s="2304" t="s">
        <v>3277</v>
      </c>
      <c r="J92" s="2150" t="s">
        <v>3278</v>
      </c>
      <c r="K92" s="2150" t="s">
        <v>3279</v>
      </c>
      <c r="L92" s="2150" t="s">
        <v>3280</v>
      </c>
      <c r="M92" s="2150" t="s">
        <v>3281</v>
      </c>
      <c r="N92" s="2150" t="s">
        <v>3282</v>
      </c>
    </row>
    <row r="93" spans="1:37" ht="24">
      <c r="A93" s="3066" t="s">
        <v>3261</v>
      </c>
      <c r="B93" s="1221"/>
      <c r="C93" s="1887" t="s">
        <v>3391</v>
      </c>
      <c r="D93" s="2304">
        <f>SUMIF($J$92:$N$92,C93,J93:N93)</f>
        <v>1.8700000000000001E-2</v>
      </c>
      <c r="E93" s="3079">
        <f>ROUND(SUM(D93:D101),4)</f>
        <v>5.3699999999999998E-2</v>
      </c>
      <c r="F93" s="1675">
        <f>IF(E2="公共服务",SUMIF(L1:L12,G2,N1:N12),"——")</f>
        <v>0.15</v>
      </c>
      <c r="G93" s="3070">
        <v>1.8700000000000001E-2</v>
      </c>
      <c r="H93" s="3115">
        <f>IFERROR(ROUNDDOWN($F$93*I93/2,4),"——")</f>
        <v>1.8700000000000001E-2</v>
      </c>
      <c r="I93" s="3064">
        <v>0.25</v>
      </c>
      <c r="J93" s="1912">
        <f t="shared" ref="J93:J101" si="27">K93+$G93</f>
        <v>3.7400000000000003E-2</v>
      </c>
      <c r="K93" s="1912">
        <f t="shared" ref="K93:K101" si="28">$L93+$G93</f>
        <v>1.8700000000000001E-2</v>
      </c>
      <c r="L93" s="1912">
        <v>0</v>
      </c>
      <c r="M93" s="1912">
        <f t="shared" ref="M93:N101" si="29">L93-$G93</f>
        <v>-1.8700000000000001E-2</v>
      </c>
      <c r="N93" s="1912">
        <f t="shared" si="29"/>
        <v>-3.7400000000000003E-2</v>
      </c>
    </row>
    <row r="94" spans="1:37" ht="14.25">
      <c r="A94" s="3076" t="s">
        <v>3262</v>
      </c>
      <c r="B94" s="3067" t="str">
        <f>估价对象房地状况!C18</f>
        <v>一般</v>
      </c>
      <c r="C94" s="1887" t="s">
        <v>3392</v>
      </c>
      <c r="D94" s="2304">
        <f t="shared" ref="D94:D101" si="30">SUMIF($J$60:$N$60,C94,J94:N94)</f>
        <v>0</v>
      </c>
      <c r="E94" s="3080"/>
      <c r="F94" s="1675"/>
      <c r="G94" s="3070">
        <v>1.95E-2</v>
      </c>
      <c r="H94" s="3115">
        <f>IFERROR(ROUNDDOWN($F$93*I94/2,4),"——")</f>
        <v>1.95E-2</v>
      </c>
      <c r="I94" s="3064">
        <v>0.26</v>
      </c>
      <c r="J94" s="1912">
        <f t="shared" si="27"/>
        <v>3.9E-2</v>
      </c>
      <c r="K94" s="1912">
        <f t="shared" si="28"/>
        <v>1.95E-2</v>
      </c>
      <c r="L94" s="1912">
        <v>0</v>
      </c>
      <c r="M94" s="1912">
        <f t="shared" si="29"/>
        <v>-1.95E-2</v>
      </c>
      <c r="N94" s="1912">
        <f t="shared" si="29"/>
        <v>-3.9E-2</v>
      </c>
    </row>
    <row r="95" spans="1:37" ht="36">
      <c r="A95" s="3066" t="s">
        <v>3258</v>
      </c>
      <c r="B95" s="3067">
        <f>估价对象房地状况!C19</f>
        <v>0</v>
      </c>
      <c r="C95" s="1887" t="s">
        <v>3391</v>
      </c>
      <c r="D95" s="2304">
        <f t="shared" si="30"/>
        <v>8.2000000000000007E-3</v>
      </c>
      <c r="E95" s="3080"/>
      <c r="F95" s="1675"/>
      <c r="G95" s="3070">
        <v>8.2000000000000007E-3</v>
      </c>
      <c r="H95" s="3115">
        <f t="shared" ref="H95:H101" si="31">IFERROR(ROUNDDOWN($F$93*I95/2,4),"——")</f>
        <v>8.2000000000000007E-3</v>
      </c>
      <c r="I95" s="3064">
        <v>0.11</v>
      </c>
      <c r="J95" s="1912">
        <f t="shared" si="27"/>
        <v>1.6400000000000001E-2</v>
      </c>
      <c r="K95" s="1912">
        <f t="shared" si="28"/>
        <v>8.2000000000000007E-3</v>
      </c>
      <c r="L95" s="1912">
        <v>0</v>
      </c>
      <c r="M95" s="1912">
        <f t="shared" si="29"/>
        <v>-8.2000000000000007E-3</v>
      </c>
      <c r="N95" s="1912">
        <f t="shared" si="29"/>
        <v>-1.6400000000000001E-2</v>
      </c>
    </row>
    <row r="96" spans="1:37" ht="36.75">
      <c r="A96" s="3076" t="s">
        <v>3263</v>
      </c>
      <c r="B96" s="3082" t="s">
        <v>3274</v>
      </c>
      <c r="C96" s="1887" t="s">
        <v>3391</v>
      </c>
      <c r="D96" s="2304">
        <f t="shared" si="30"/>
        <v>3.7000000000000002E-3</v>
      </c>
      <c r="E96" s="3080"/>
      <c r="F96" s="1675"/>
      <c r="G96" s="3070">
        <v>3.7000000000000002E-3</v>
      </c>
      <c r="H96" s="3115">
        <f t="shared" si="31"/>
        <v>3.7000000000000002E-3</v>
      </c>
      <c r="I96" s="3064">
        <v>0.05</v>
      </c>
      <c r="J96" s="1912">
        <f t="shared" si="27"/>
        <v>7.4000000000000003E-3</v>
      </c>
      <c r="K96" s="1912">
        <f t="shared" si="28"/>
        <v>3.7000000000000002E-3</v>
      </c>
      <c r="L96" s="1912">
        <v>0</v>
      </c>
      <c r="M96" s="1912">
        <f t="shared" si="29"/>
        <v>-3.7000000000000002E-3</v>
      </c>
      <c r="N96" s="1912">
        <f t="shared" si="29"/>
        <v>-7.4000000000000003E-3</v>
      </c>
    </row>
    <row r="97" spans="1:14" ht="24">
      <c r="A97" s="3076" t="s">
        <v>3264</v>
      </c>
      <c r="B97" s="3067">
        <f>估价对象房地状况!C24</f>
        <v>0</v>
      </c>
      <c r="C97" s="1887" t="s">
        <v>3392</v>
      </c>
      <c r="D97" s="2304">
        <f t="shared" si="30"/>
        <v>0</v>
      </c>
      <c r="E97" s="3080"/>
      <c r="F97" s="1675"/>
      <c r="G97" s="3070">
        <v>3.7000000000000002E-3</v>
      </c>
      <c r="H97" s="3115">
        <f t="shared" si="31"/>
        <v>3.7000000000000002E-3</v>
      </c>
      <c r="I97" s="3064">
        <v>0.05</v>
      </c>
      <c r="J97" s="1912">
        <f t="shared" si="27"/>
        <v>7.4000000000000003E-3</v>
      </c>
      <c r="K97" s="1912">
        <f t="shared" si="28"/>
        <v>3.7000000000000002E-3</v>
      </c>
      <c r="L97" s="1912">
        <v>0</v>
      </c>
      <c r="M97" s="1912">
        <f t="shared" si="29"/>
        <v>-3.7000000000000002E-3</v>
      </c>
      <c r="N97" s="1912">
        <f t="shared" si="29"/>
        <v>-7.4000000000000003E-3</v>
      </c>
    </row>
    <row r="98" spans="1:14" ht="24">
      <c r="A98" s="3076" t="s">
        <v>3265</v>
      </c>
      <c r="B98" s="3083" t="s">
        <v>3275</v>
      </c>
      <c r="C98" s="1887" t="s">
        <v>3391</v>
      </c>
      <c r="D98" s="2304">
        <f t="shared" si="30"/>
        <v>4.4999999999999997E-3</v>
      </c>
      <c r="E98" s="3080"/>
      <c r="F98" s="1675"/>
      <c r="G98" s="3070">
        <v>4.4999999999999997E-3</v>
      </c>
      <c r="H98" s="3115">
        <f t="shared" si="31"/>
        <v>4.4999999999999997E-3</v>
      </c>
      <c r="I98" s="3064">
        <v>0.06</v>
      </c>
      <c r="J98" s="1912">
        <f t="shared" si="27"/>
        <v>8.9999999999999993E-3</v>
      </c>
      <c r="K98" s="1912">
        <f t="shared" si="28"/>
        <v>4.4999999999999997E-3</v>
      </c>
      <c r="L98" s="1912">
        <v>0</v>
      </c>
      <c r="M98" s="1912">
        <f t="shared" si="29"/>
        <v>-4.4999999999999997E-3</v>
      </c>
      <c r="N98" s="1912">
        <f t="shared" si="29"/>
        <v>-8.9999999999999993E-3</v>
      </c>
    </row>
    <row r="99" spans="1:14" ht="24">
      <c r="A99" s="3076" t="s">
        <v>3266</v>
      </c>
      <c r="B99" s="3067" t="str">
        <f>估价对象房地状况!C21</f>
        <v>一般</v>
      </c>
      <c r="C99" s="1887" t="s">
        <v>3392</v>
      </c>
      <c r="D99" s="2304">
        <f t="shared" si="30"/>
        <v>0</v>
      </c>
      <c r="E99" s="3080"/>
      <c r="F99" s="1675"/>
      <c r="G99" s="3070">
        <v>4.4999999999999997E-3</v>
      </c>
      <c r="H99" s="3115">
        <f t="shared" si="31"/>
        <v>4.4999999999999997E-3</v>
      </c>
      <c r="I99" s="3064">
        <v>0.06</v>
      </c>
      <c r="J99" s="1912">
        <f t="shared" si="27"/>
        <v>8.9999999999999993E-3</v>
      </c>
      <c r="K99" s="1912">
        <f t="shared" si="28"/>
        <v>4.4999999999999997E-3</v>
      </c>
      <c r="L99" s="1912">
        <v>0</v>
      </c>
      <c r="M99" s="1912">
        <f t="shared" si="29"/>
        <v>-4.4999999999999997E-3</v>
      </c>
      <c r="N99" s="1912">
        <f t="shared" si="29"/>
        <v>-8.9999999999999993E-3</v>
      </c>
    </row>
    <row r="100" spans="1:14" ht="24">
      <c r="A100" s="3076" t="s">
        <v>3267</v>
      </c>
      <c r="B100" s="3067" t="str">
        <f>估价对象房地状况!C22</f>
        <v>七通</v>
      </c>
      <c r="C100" s="1887" t="s">
        <v>3393</v>
      </c>
      <c r="D100" s="2304">
        <f t="shared" si="30"/>
        <v>1.34E-2</v>
      </c>
      <c r="E100" s="3080"/>
      <c r="F100" s="1675"/>
      <c r="G100" s="3070">
        <v>6.7000000000000002E-3</v>
      </c>
      <c r="H100" s="3115">
        <f t="shared" si="31"/>
        <v>6.7000000000000002E-3</v>
      </c>
      <c r="I100" s="3064">
        <v>0.09</v>
      </c>
      <c r="J100" s="1912">
        <f t="shared" si="27"/>
        <v>1.34E-2</v>
      </c>
      <c r="K100" s="1912">
        <f t="shared" si="28"/>
        <v>6.7000000000000002E-3</v>
      </c>
      <c r="L100" s="1912">
        <v>0</v>
      </c>
      <c r="M100" s="1912">
        <f t="shared" si="29"/>
        <v>-6.7000000000000002E-3</v>
      </c>
      <c r="N100" s="1912">
        <f t="shared" si="29"/>
        <v>-1.34E-2</v>
      </c>
    </row>
    <row r="101" spans="1:14" ht="24.75" thickBot="1">
      <c r="A101" s="3077" t="s">
        <v>3268</v>
      </c>
      <c r="B101" s="3084" t="str">
        <f>估价对象房地状况!C20</f>
        <v>较好</v>
      </c>
      <c r="C101" s="1887" t="s">
        <v>3391</v>
      </c>
      <c r="D101" s="2304">
        <f t="shared" si="30"/>
        <v>5.1999999999999998E-3</v>
      </c>
      <c r="E101" s="3081"/>
      <c r="F101" s="1675"/>
      <c r="G101" s="3070">
        <v>5.1999999999999998E-3</v>
      </c>
      <c r="H101" s="3115">
        <f t="shared" si="31"/>
        <v>5.1999999999999998E-3</v>
      </c>
      <c r="I101" s="3065">
        <v>7.0000000000000007E-2</v>
      </c>
      <c r="J101" s="1912">
        <f t="shared" si="27"/>
        <v>1.04E-2</v>
      </c>
      <c r="K101" s="1912">
        <f t="shared" si="28"/>
        <v>5.1999999999999998E-3</v>
      </c>
      <c r="L101" s="1912">
        <v>0</v>
      </c>
      <c r="M101" s="1912">
        <f t="shared" si="29"/>
        <v>-5.1999999999999998E-3</v>
      </c>
      <c r="N101" s="1912">
        <f t="shared" si="29"/>
        <v>-1.04E-2</v>
      </c>
    </row>
    <row r="103" spans="1:14">
      <c r="A103" s="3406" t="s">
        <v>3283</v>
      </c>
      <c r="B103" s="3406"/>
      <c r="C103" s="3406"/>
      <c r="D103" s="3406"/>
      <c r="E103" s="3406"/>
      <c r="F103" s="3406"/>
      <c r="G103" s="3406"/>
      <c r="H103" s="3406"/>
      <c r="I103" s="3406"/>
      <c r="J103" s="3406"/>
      <c r="K103" s="1667"/>
      <c r="L103" s="1667"/>
      <c r="M103" s="1667"/>
      <c r="N103" s="1667"/>
    </row>
    <row r="104" spans="1:14">
      <c r="A104" s="3407" t="s">
        <v>3284</v>
      </c>
      <c r="B104" s="3407" t="s">
        <v>3285</v>
      </c>
      <c r="C104" s="3086" t="s">
        <v>3286</v>
      </c>
      <c r="D104" s="3087"/>
      <c r="E104" s="3087"/>
      <c r="F104" s="3087"/>
      <c r="G104" s="3087"/>
      <c r="H104" s="3087"/>
      <c r="I104" s="3087"/>
      <c r="J104" s="3088"/>
      <c r="K104" s="3089"/>
      <c r="L104" s="3089"/>
      <c r="M104" s="3089"/>
      <c r="N104" s="3089"/>
    </row>
    <row r="105" spans="1:14">
      <c r="A105" s="3407"/>
      <c r="B105" s="3407"/>
      <c r="C105" s="3090" t="s">
        <v>3287</v>
      </c>
      <c r="D105" s="3090" t="s">
        <v>3288</v>
      </c>
      <c r="E105" s="3090" t="s">
        <v>3289</v>
      </c>
      <c r="F105" s="3090" t="s">
        <v>3290</v>
      </c>
      <c r="G105" s="3090" t="s">
        <v>3291</v>
      </c>
      <c r="H105" s="3090" t="s">
        <v>3292</v>
      </c>
      <c r="I105" s="3090" t="s">
        <v>3293</v>
      </c>
      <c r="J105" s="3090" t="s">
        <v>3294</v>
      </c>
      <c r="K105" s="3090" t="s">
        <v>3295</v>
      </c>
      <c r="L105" s="3090" t="s">
        <v>3296</v>
      </c>
      <c r="M105" s="3090" t="s">
        <v>3297</v>
      </c>
      <c r="N105" s="3090" t="s">
        <v>3298</v>
      </c>
    </row>
    <row r="106" spans="1:14">
      <c r="A106" s="3393" t="s">
        <v>3299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9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9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9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9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94"/>
      <c r="B111" s="3090" t="s">
        <v>3257</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39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396" t="s">
        <v>3300</v>
      </c>
      <c r="B113" s="3396"/>
      <c r="C113" s="3396"/>
      <c r="D113" s="3396"/>
      <c r="E113" s="3396"/>
      <c r="F113" s="3396"/>
      <c r="G113" s="3396"/>
      <c r="H113" s="3396"/>
      <c r="I113" s="3396"/>
      <c r="J113" s="3396"/>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5" thickBot="1">
      <c r="A115" s="3093"/>
      <c r="B115" s="3093"/>
      <c r="C115" s="3093"/>
      <c r="D115" s="3093"/>
      <c r="E115" s="3093"/>
      <c r="F115" s="3093"/>
      <c r="G115" s="3093"/>
      <c r="H115" s="3093"/>
      <c r="I115" s="3093"/>
      <c r="J115" s="3093"/>
      <c r="K115" s="1964"/>
      <c r="L115" s="3093"/>
      <c r="M115" s="3093"/>
      <c r="N115" s="3093"/>
    </row>
    <row r="116" spans="1:14" ht="25.5" thickBot="1">
      <c r="A116" s="3094" t="s">
        <v>3301</v>
      </c>
      <c r="B116" s="3110">
        <f>G3</f>
        <v>1.18</v>
      </c>
      <c r="C116" s="3095" t="s">
        <v>3302</v>
      </c>
      <c r="D116" s="3096">
        <f>SUMPRODUCT((A118:A122=F116)*(B117:M117=H116)*B118:M122)</f>
        <v>0.74360000000000004</v>
      </c>
      <c r="E116" s="162" t="s">
        <v>3303</v>
      </c>
      <c r="F116" s="3097" t="str">
        <f>E2</f>
        <v>公共服务</v>
      </c>
      <c r="G116" s="162" t="s">
        <v>3304</v>
      </c>
      <c r="H116" s="3097" t="str">
        <f>G2</f>
        <v>八级</v>
      </c>
      <c r="I116" s="162"/>
      <c r="J116" s="3098"/>
      <c r="K116" s="3098"/>
      <c r="L116" s="3098"/>
      <c r="M116" s="3098"/>
      <c r="N116" s="3093"/>
    </row>
    <row r="117" spans="1:14">
      <c r="A117" s="3099"/>
      <c r="B117" s="3100" t="s">
        <v>3305</v>
      </c>
      <c r="C117" s="3100" t="s">
        <v>3306</v>
      </c>
      <c r="D117" s="3100" t="s">
        <v>3307</v>
      </c>
      <c r="E117" s="3101" t="s">
        <v>3308</v>
      </c>
      <c r="F117" s="3101" t="s">
        <v>3309</v>
      </c>
      <c r="G117" s="3101" t="s">
        <v>3310</v>
      </c>
      <c r="H117" s="3102" t="s">
        <v>3311</v>
      </c>
      <c r="I117" s="3102" t="s">
        <v>3312</v>
      </c>
      <c r="J117" s="3103" t="s">
        <v>3313</v>
      </c>
      <c r="K117" s="3103" t="s">
        <v>3314</v>
      </c>
      <c r="L117" s="3103" t="s">
        <v>3315</v>
      </c>
      <c r="M117" s="3104" t="s">
        <v>3316</v>
      </c>
      <c r="N117" s="3093"/>
    </row>
    <row r="118" spans="1:14">
      <c r="A118" s="3053" t="s">
        <v>3317</v>
      </c>
      <c r="B118" s="3085">
        <f>ROUND(0.9968-0.011*B116,4)</f>
        <v>0.98380000000000001</v>
      </c>
      <c r="C118" s="3085">
        <f>B118</f>
        <v>0.98380000000000001</v>
      </c>
      <c r="D118" s="3085">
        <f>ROUND(0.949-0.014*B116,4)</f>
        <v>0.9325</v>
      </c>
      <c r="E118" s="3085">
        <f>D118</f>
        <v>0.9325</v>
      </c>
      <c r="F118" s="3085">
        <f>E118</f>
        <v>0.9325</v>
      </c>
      <c r="G118" s="3085">
        <f>F118</f>
        <v>0.9325</v>
      </c>
      <c r="H118" s="3085">
        <f>G118</f>
        <v>0.9325</v>
      </c>
      <c r="I118" s="3085">
        <f>ROUND(0.8486-0.018*B116,4)</f>
        <v>0.82740000000000002</v>
      </c>
      <c r="J118" s="3085">
        <f t="shared" ref="J118:M122" si="35">I118</f>
        <v>0.82740000000000002</v>
      </c>
      <c r="K118" s="3085">
        <f t="shared" si="35"/>
        <v>0.82740000000000002</v>
      </c>
      <c r="L118" s="3085">
        <f t="shared" si="35"/>
        <v>0.82740000000000002</v>
      </c>
      <c r="M118" s="3105">
        <f t="shared" si="35"/>
        <v>0.82740000000000002</v>
      </c>
      <c r="N118" s="3093"/>
    </row>
    <row r="119" spans="1:14">
      <c r="A119" s="3053" t="s">
        <v>3318</v>
      </c>
      <c r="B119" s="3085">
        <f>ROUND(0.993-0.0112*B116,4)</f>
        <v>0.9798</v>
      </c>
      <c r="C119" s="3085">
        <f>B119</f>
        <v>0.9798</v>
      </c>
      <c r="D119" s="3085">
        <f>ROUND(0.9415-0.0142*B116,4)</f>
        <v>0.92469999999999997</v>
      </c>
      <c r="E119" s="3085">
        <f t="shared" ref="E119:H120" si="36">D119</f>
        <v>0.92469999999999997</v>
      </c>
      <c r="F119" s="3085">
        <f t="shared" si="36"/>
        <v>0.92469999999999997</v>
      </c>
      <c r="G119" s="3085">
        <f t="shared" si="36"/>
        <v>0.92469999999999997</v>
      </c>
      <c r="H119" s="3085">
        <f t="shared" si="36"/>
        <v>0.92469999999999997</v>
      </c>
      <c r="I119" s="3085">
        <f>ROUND(0.838-0.0182*B116,4)</f>
        <v>0.8165</v>
      </c>
      <c r="J119" s="3085">
        <f t="shared" si="35"/>
        <v>0.8165</v>
      </c>
      <c r="K119" s="3085">
        <f t="shared" si="35"/>
        <v>0.8165</v>
      </c>
      <c r="L119" s="3085">
        <f t="shared" si="35"/>
        <v>0.8165</v>
      </c>
      <c r="M119" s="3105">
        <f t="shared" si="35"/>
        <v>0.8165</v>
      </c>
      <c r="N119" s="3093"/>
    </row>
    <row r="120" spans="1:14">
      <c r="A120" s="3053" t="s">
        <v>3319</v>
      </c>
      <c r="B120" s="3085">
        <f>ROUND(0.9448-0.0115*B116,4)</f>
        <v>0.93120000000000003</v>
      </c>
      <c r="C120" s="3085">
        <f>B120</f>
        <v>0.93120000000000003</v>
      </c>
      <c r="D120" s="3085">
        <f>ROUND(0.937-0.0145*B116,4)</f>
        <v>0.91990000000000005</v>
      </c>
      <c r="E120" s="3085">
        <f t="shared" si="36"/>
        <v>0.91990000000000005</v>
      </c>
      <c r="F120" s="3085">
        <f t="shared" si="36"/>
        <v>0.91990000000000005</v>
      </c>
      <c r="G120" s="3085">
        <f t="shared" si="36"/>
        <v>0.91990000000000005</v>
      </c>
      <c r="H120" s="3085">
        <f t="shared" si="36"/>
        <v>0.91990000000000005</v>
      </c>
      <c r="I120" s="3085">
        <f>ROUND(0.7965-0.0185*B116,4)</f>
        <v>0.77470000000000006</v>
      </c>
      <c r="J120" s="3085">
        <f t="shared" si="35"/>
        <v>0.77470000000000006</v>
      </c>
      <c r="K120" s="3085">
        <f t="shared" si="35"/>
        <v>0.77470000000000006</v>
      </c>
      <c r="L120" s="3085">
        <f t="shared" si="35"/>
        <v>0.77470000000000006</v>
      </c>
      <c r="M120" s="3105">
        <f t="shared" si="35"/>
        <v>0.77470000000000006</v>
      </c>
      <c r="N120" s="3093"/>
    </row>
    <row r="121" spans="1:14" ht="13.5" thickBot="1">
      <c r="A121" s="3106" t="s">
        <v>3320</v>
      </c>
      <c r="B121" s="3107">
        <f>ROUND(0.7836-0.012*B116,4)</f>
        <v>0.76939999999999997</v>
      </c>
      <c r="C121" s="3107">
        <f>B121</f>
        <v>0.76939999999999997</v>
      </c>
      <c r="D121" s="3107">
        <f>ROUND(0.753-0.015*B116,4)</f>
        <v>0.73529999999999995</v>
      </c>
      <c r="E121" s="3107">
        <f>D121</f>
        <v>0.73529999999999995</v>
      </c>
      <c r="F121" s="3107">
        <f>E121</f>
        <v>0.73529999999999995</v>
      </c>
      <c r="G121" s="3107">
        <f>ROUND(0.6612-0.018*B116,4)</f>
        <v>0.64</v>
      </c>
      <c r="H121" s="3107">
        <f>G121</f>
        <v>0.64</v>
      </c>
      <c r="I121" s="3107">
        <f>ROUND(0.5905-0.019*B116,4)</f>
        <v>0.56810000000000005</v>
      </c>
      <c r="J121" s="3107">
        <f t="shared" si="35"/>
        <v>0.56810000000000005</v>
      </c>
      <c r="K121" s="3107">
        <f t="shared" si="35"/>
        <v>0.56810000000000005</v>
      </c>
      <c r="L121" s="3107">
        <f t="shared" si="35"/>
        <v>0.56810000000000005</v>
      </c>
      <c r="M121" s="3108">
        <f t="shared" si="35"/>
        <v>0.56810000000000005</v>
      </c>
      <c r="N121" s="3093"/>
    </row>
    <row r="122" spans="1:14">
      <c r="A122" s="3109" t="s">
        <v>2602</v>
      </c>
      <c r="B122" s="3085">
        <f>ROUND(0.9404-0.0106*B116,4)</f>
        <v>0.92789999999999995</v>
      </c>
      <c r="C122" s="3085">
        <f>B122</f>
        <v>0.92789999999999995</v>
      </c>
      <c r="D122" s="3085">
        <f>ROUND(0.8955-0.0135*B116,4)</f>
        <v>0.87960000000000005</v>
      </c>
      <c r="E122" s="3085">
        <f t="shared" ref="E122:H122" si="37">D122</f>
        <v>0.87960000000000005</v>
      </c>
      <c r="F122" s="3085">
        <f t="shared" si="37"/>
        <v>0.87960000000000005</v>
      </c>
      <c r="G122" s="3085">
        <f t="shared" si="37"/>
        <v>0.87960000000000005</v>
      </c>
      <c r="H122" s="3085">
        <f t="shared" si="37"/>
        <v>0.87960000000000005</v>
      </c>
      <c r="I122" s="3085">
        <f>ROUND(0.7632-0.0166*B116,4)</f>
        <v>0.74360000000000004</v>
      </c>
      <c r="J122" s="3085">
        <f t="shared" si="35"/>
        <v>0.74360000000000004</v>
      </c>
      <c r="K122" s="3085">
        <f t="shared" si="35"/>
        <v>0.74360000000000004</v>
      </c>
      <c r="L122" s="3085">
        <f t="shared" si="35"/>
        <v>0.74360000000000004</v>
      </c>
      <c r="M122" s="3105">
        <f t="shared" si="35"/>
        <v>0.74360000000000004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t="e">
        <f ca="1">ROUND(D2/10000,4)</f>
        <v>#DIV/0!</v>
      </c>
      <c r="C2" s="1289" t="s">
        <v>879</v>
      </c>
      <c r="D2" s="1375" t="e">
        <f ca="1">C40+J29+L46</f>
        <v>#DIV/0!</v>
      </c>
      <c r="E2" s="1295" t="s">
        <v>880</v>
      </c>
      <c r="F2" s="1296"/>
      <c r="G2" s="2474"/>
      <c r="H2" s="2464"/>
      <c r="I2" s="2464"/>
      <c r="J2" s="2464"/>
      <c r="K2" s="2465"/>
      <c r="L2" s="2464"/>
      <c r="M2" s="2464"/>
    </row>
    <row r="3" spans="1:37" ht="18" customHeight="1" thickBot="1">
      <c r="A3" s="1297" t="s">
        <v>881</v>
      </c>
      <c r="B3" s="1298">
        <f ca="1">IF(ISERROR(D2/F43),0,ROUND(D2/F43,0))</f>
        <v>0</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7" t="s">
        <v>694</v>
      </c>
      <c r="C6" s="1011">
        <f ca="1">ROUND(F6*F8*F7*(1-F9),0)</f>
        <v>0</v>
      </c>
      <c r="D6" s="147" t="s">
        <v>2103</v>
      </c>
      <c r="E6" s="294" t="s">
        <v>696</v>
      </c>
      <c r="F6" s="295">
        <f ca="1">INDIRECT("'数据-取费表'!u"&amp;$G$1)</f>
        <v>0</v>
      </c>
      <c r="G6" s="1292"/>
      <c r="H6" s="1006" t="s">
        <v>398</v>
      </c>
      <c r="I6" s="3387" t="s">
        <v>694</v>
      </c>
      <c r="J6" s="293">
        <f ca="1">ROUND(M6*M8*M7*(1-M9),0)</f>
        <v>0</v>
      </c>
      <c r="K6" s="1284" t="s">
        <v>2104</v>
      </c>
      <c r="L6" s="294" t="s">
        <v>696</v>
      </c>
      <c r="M6" s="295">
        <f ca="1">INDIRECT("'数据-取费表'!z"&amp;$G$1)</f>
        <v>0</v>
      </c>
    </row>
    <row r="7" spans="1:37" ht="18" customHeight="1">
      <c r="A7" s="1010"/>
      <c r="B7" s="3388"/>
      <c r="C7" s="1012"/>
      <c r="D7" s="299"/>
      <c r="E7" s="1013" t="s">
        <v>697</v>
      </c>
      <c r="F7" s="295">
        <f ca="1">IF(INDIRECT("'数据-取费表'!ah"&amp;$G$1)="",INDIRECT("'数据-取费表'!k"&amp;$G$1),INDIRECT("'数据-取费表'!ah"&amp;$G$1))</f>
        <v>0</v>
      </c>
      <c r="G7" s="1292"/>
      <c r="H7" s="296"/>
      <c r="I7" s="3388"/>
      <c r="J7" s="298"/>
      <c r="K7" s="299"/>
      <c r="L7" s="294" t="s">
        <v>697</v>
      </c>
      <c r="M7" s="295">
        <f ca="1">F7</f>
        <v>0</v>
      </c>
    </row>
    <row r="8" spans="1:37" ht="18" customHeight="1">
      <c r="A8" s="296"/>
      <c r="B8" s="3388"/>
      <c r="C8" s="298"/>
      <c r="D8" s="299"/>
      <c r="E8" s="294" t="s">
        <v>698</v>
      </c>
      <c r="F8" s="295">
        <f ca="1">INDIRECT("'数据-取费表'!ai"&amp;$G$1)</f>
        <v>0</v>
      </c>
      <c r="G8" s="1292"/>
      <c r="H8" s="296"/>
      <c r="I8" s="3388"/>
      <c r="J8" s="298"/>
      <c r="K8" s="299"/>
      <c r="L8" s="294" t="s">
        <v>698</v>
      </c>
      <c r="M8" s="295">
        <f ca="1">INDIRECT("'数据-取费表'!ai"&amp;$G$1)</f>
        <v>0</v>
      </c>
    </row>
    <row r="9" spans="1:37" ht="18" customHeight="1">
      <c r="A9" s="296"/>
      <c r="B9" s="3389"/>
      <c r="C9" s="298"/>
      <c r="D9" s="299"/>
      <c r="E9" s="294" t="s">
        <v>699</v>
      </c>
      <c r="F9" s="304">
        <f ca="1">INDIRECT("'数据-取费表'!w"&amp;$G$1)</f>
        <v>0</v>
      </c>
      <c r="G9" s="1292"/>
      <c r="H9" s="296"/>
      <c r="I9" s="338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2113</v>
      </c>
      <c r="E10" s="305" t="s">
        <v>701</v>
      </c>
      <c r="F10" s="1053"/>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5" t="s">
        <v>2296</v>
      </c>
      <c r="I31" s="1305"/>
      <c r="J31" s="1306"/>
      <c r="K31" s="121"/>
      <c r="L31" s="2467"/>
      <c r="M31" s="2468"/>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0</v>
      </c>
      <c r="D36" s="1256" t="s">
        <v>771</v>
      </c>
      <c r="E36" s="294" t="s">
        <v>712</v>
      </c>
      <c r="F36" s="320">
        <f ca="1">INDIRECT("'数据-取费表'!Ak"&amp;$G$1)</f>
        <v>0</v>
      </c>
      <c r="G36" s="1292"/>
      <c r="H36" s="2469"/>
      <c r="I36" s="1305"/>
      <c r="J36" s="1306"/>
      <c r="K36" s="2325"/>
      <c r="L36" s="2469"/>
      <c r="M36" s="2469"/>
    </row>
    <row r="37" spans="1:18" ht="18" customHeight="1">
      <c r="A37" s="928" t="s">
        <v>437</v>
      </c>
      <c r="B37" s="294" t="s">
        <v>742</v>
      </c>
      <c r="C37" s="21">
        <f ca="1">ROUND(C13*F37,0)</f>
        <v>0</v>
      </c>
      <c r="D37" s="1256" t="s">
        <v>743</v>
      </c>
      <c r="E37" s="294" t="s">
        <v>744</v>
      </c>
      <c r="F37" s="321">
        <f ca="1">INDIRECT("'数据-取费表'!Al"&amp;$G$1)</f>
        <v>0</v>
      </c>
      <c r="G37" s="1292"/>
      <c r="H37" s="2469"/>
      <c r="I37" s="1305"/>
      <c r="J37" s="1306"/>
      <c r="K37" s="2325"/>
      <c r="L37" s="2469"/>
      <c r="M37" s="2469"/>
    </row>
    <row r="38" spans="1:18" ht="18" customHeight="1" thickBot="1">
      <c r="A38" s="1026" t="s">
        <v>684</v>
      </c>
      <c r="B38" s="1027" t="s">
        <v>728</v>
      </c>
      <c r="C38" s="1028">
        <f ca="1">ROUND(C5*F38,0)</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5"/>
      <c r="L41" s="121"/>
      <c r="M41" s="121"/>
    </row>
    <row r="42" spans="1:18" ht="18" customHeight="1">
      <c r="A42" s="300"/>
      <c r="B42" s="301"/>
      <c r="C42" s="302"/>
      <c r="D42" s="319"/>
      <c r="E42" s="294" t="s">
        <v>766</v>
      </c>
      <c r="F42" s="304">
        <f ca="1">INDIRECT("'数据-取费表'!v"&amp;$G$1)</f>
        <v>0</v>
      </c>
      <c r="G42" s="1292"/>
      <c r="H42" s="121"/>
      <c r="I42" s="1305"/>
      <c r="J42" s="1306"/>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5"/>
      <c r="L43" s="121"/>
      <c r="M43" s="121"/>
    </row>
    <row r="44" spans="1:18" s="1292" customFormat="1" ht="18" customHeight="1">
      <c r="A44" s="1307"/>
      <c r="B44" s="1307"/>
      <c r="C44" s="1308"/>
      <c r="D44" s="1307"/>
      <c r="E44" s="1307"/>
      <c r="F44" s="1307"/>
      <c r="K44" s="1309"/>
    </row>
    <row r="45" spans="1:18" s="1292" customFormat="1" ht="18" customHeight="1" thickBot="1">
      <c r="A45" s="3125" t="s">
        <v>3341</v>
      </c>
      <c r="B45" s="1307"/>
      <c r="C45" s="1376" t="e">
        <f ca="1">ROUND((C68-C40)/10000,4)</f>
        <v>#DIV/0!</v>
      </c>
      <c r="D45" s="3126"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5" t="s">
        <v>837</v>
      </c>
      <c r="L53" s="338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2425</v>
      </c>
      <c r="B1" s="2579"/>
      <c r="C1" s="2591"/>
      <c r="D1" s="2591"/>
      <c r="E1" s="2580"/>
      <c r="F1" s="2581"/>
      <c r="G1" s="2582"/>
      <c r="J1" s="2585" t="s">
        <v>2304</v>
      </c>
      <c r="K1" s="2586"/>
      <c r="L1" s="2586"/>
      <c r="M1" s="2586"/>
      <c r="N1" s="2586"/>
      <c r="O1" s="2586"/>
      <c r="P1" s="2586"/>
      <c r="Q1" s="2586"/>
      <c r="R1" s="2587"/>
      <c r="S1" s="2588"/>
      <c r="T1" s="2588"/>
      <c r="U1" s="2588"/>
    </row>
    <row r="2" spans="1:22" s="2600" customFormat="1" ht="13.15" customHeight="1">
      <c r="A2" s="1293" t="s">
        <v>2305</v>
      </c>
      <c r="B2" s="2590" t="e">
        <f>IF(D2="——",C40,C40+E2)</f>
        <v>#DIV/0!</v>
      </c>
      <c r="C2" s="2591" t="s">
        <v>2306</v>
      </c>
      <c r="D2" s="3134" t="s">
        <v>3348</v>
      </c>
      <c r="E2" s="3135"/>
      <c r="F2" s="2593"/>
      <c r="G2" s="2594"/>
      <c r="H2" s="2595"/>
      <c r="I2" s="2596"/>
      <c r="J2" s="3418" t="s">
        <v>2307</v>
      </c>
      <c r="K2" s="3419"/>
      <c r="L2" s="2597" t="s">
        <v>2308</v>
      </c>
      <c r="M2" s="2597" t="s">
        <v>2309</v>
      </c>
      <c r="N2" s="2597" t="s">
        <v>2310</v>
      </c>
      <c r="O2" s="2597" t="s">
        <v>2311</v>
      </c>
      <c r="P2" s="2597" t="s">
        <v>2312</v>
      </c>
      <c r="Q2" s="2598" t="s">
        <v>2313</v>
      </c>
      <c r="R2" s="2599" t="s">
        <v>2314</v>
      </c>
      <c r="S2" s="2588"/>
      <c r="T2" s="2588"/>
      <c r="U2" s="2588"/>
      <c r="V2" s="2596"/>
    </row>
    <row r="3" spans="1:22" s="2600" customFormat="1" ht="13.15" customHeight="1">
      <c r="A3" s="2601" t="s">
        <v>2315</v>
      </c>
      <c r="B3" s="2602" t="e">
        <f>ROUND(B2*10000/B4,0)</f>
        <v>#DIV/0!</v>
      </c>
      <c r="C3" s="2591" t="s">
        <v>2316</v>
      </c>
      <c r="D3" s="2591"/>
      <c r="E3" s="2592"/>
      <c r="F3" s="2593"/>
      <c r="G3" s="2594"/>
      <c r="H3" s="2595"/>
      <c r="I3" s="2596"/>
      <c r="J3" s="3420" t="s">
        <v>2317</v>
      </c>
      <c r="K3" s="3421"/>
      <c r="L3" s="2603"/>
      <c r="M3" s="2603"/>
      <c r="N3" s="2603"/>
      <c r="O3" s="2603"/>
      <c r="P3" s="2603"/>
      <c r="Q3" s="2604"/>
      <c r="R3" s="2605">
        <f>SUM(L3:Q3)</f>
        <v>0</v>
      </c>
      <c r="S3" s="2588"/>
      <c r="T3" s="2588"/>
      <c r="U3" s="2588"/>
      <c r="V3" s="2596"/>
    </row>
    <row r="4" spans="1:22" s="2600" customFormat="1" ht="13.15" customHeight="1">
      <c r="A4" s="2606" t="s">
        <v>2318</v>
      </c>
      <c r="B4" s="2607"/>
      <c r="C4" s="2591"/>
      <c r="D4" s="2591"/>
      <c r="E4" s="2592"/>
      <c r="F4" s="2593"/>
      <c r="G4" s="2594"/>
      <c r="H4" s="2595"/>
      <c r="I4" s="2596"/>
      <c r="J4" s="3420" t="s">
        <v>2319</v>
      </c>
      <c r="K4" s="3421"/>
      <c r="L4" s="2608"/>
      <c r="M4" s="2608"/>
      <c r="N4" s="2608"/>
      <c r="O4" s="2608"/>
      <c r="P4" s="2608"/>
      <c r="Q4" s="2609"/>
      <c r="R4" s="2610">
        <f>SUM(L4:Q4)</f>
        <v>0</v>
      </c>
      <c r="S4" s="2588"/>
      <c r="T4" s="2588"/>
      <c r="U4" s="2588"/>
      <c r="V4" s="2596"/>
    </row>
    <row r="5" spans="1:22" s="2600" customFormat="1" ht="13.15" customHeight="1" thickBot="1">
      <c r="A5" s="2611" t="s">
        <v>2320</v>
      </c>
      <c r="B5" s="2612"/>
      <c r="C5" s="2591"/>
      <c r="D5" s="2613"/>
      <c r="E5" s="2593"/>
      <c r="F5" s="2593"/>
      <c r="G5" s="2594"/>
      <c r="H5" s="2595"/>
      <c r="I5" s="2596"/>
      <c r="J5" s="2614" t="s">
        <v>2321</v>
      </c>
      <c r="K5" s="2615"/>
      <c r="L5" s="2615"/>
      <c r="M5" s="2616"/>
      <c r="N5" s="2616"/>
      <c r="O5" s="2616"/>
      <c r="P5" s="2616"/>
      <c r="Q5" s="2616"/>
      <c r="R5" s="2599">
        <f>SUM(R14,R19,R24,R25,R27,R28)</f>
        <v>0</v>
      </c>
      <c r="S5" s="2588"/>
      <c r="T5" s="2588" t="s">
        <v>2322</v>
      </c>
      <c r="U5" s="2588" t="e">
        <f>ROUND(R5*10000/365/R3,1)</f>
        <v>#DIV/0!</v>
      </c>
      <c r="V5" s="2596"/>
    </row>
    <row r="6" spans="1:22" s="2600" customFormat="1" ht="13.15" customHeight="1" thickBot="1">
      <c r="A6" s="3426" t="s">
        <v>2323</v>
      </c>
      <c r="B6" s="3427"/>
      <c r="C6" s="3428"/>
      <c r="D6" s="2617"/>
      <c r="E6" s="2618"/>
      <c r="F6" s="2619"/>
      <c r="G6" s="2620"/>
      <c r="H6" s="2595"/>
      <c r="I6" s="2596"/>
      <c r="J6" s="3412">
        <v>1</v>
      </c>
      <c r="K6" s="3413" t="s">
        <v>2324</v>
      </c>
      <c r="L6" s="2621" t="s">
        <v>2325</v>
      </c>
      <c r="M6" s="2622" t="s">
        <v>2326</v>
      </c>
      <c r="N6" s="2622" t="s">
        <v>2327</v>
      </c>
      <c r="O6" s="2622" t="s">
        <v>2328</v>
      </c>
      <c r="P6" s="2622" t="s">
        <v>2329</v>
      </c>
      <c r="Q6" s="2622" t="s">
        <v>2330</v>
      </c>
      <c r="R6" s="2605" t="s">
        <v>2331</v>
      </c>
      <c r="S6" s="2588"/>
      <c r="T6" s="2588" t="s">
        <v>2332</v>
      </c>
      <c r="U6" s="2588"/>
      <c r="V6" s="2596"/>
    </row>
    <row r="7" spans="1:22" s="2600" customFormat="1" ht="13.15" customHeight="1">
      <c r="A7" s="2623" t="s">
        <v>2333</v>
      </c>
      <c r="B7" s="2624"/>
      <c r="C7" s="2625"/>
      <c r="D7" s="2626">
        <f>SUM(D9,D10,D11,D17,0)</f>
        <v>0</v>
      </c>
      <c r="E7" s="2627" t="e">
        <f>E9+E10+E11+E17</f>
        <v>#DIV/0!</v>
      </c>
      <c r="F7" s="2628"/>
      <c r="G7" s="2629"/>
      <c r="H7" s="2595"/>
      <c r="I7" s="2596"/>
      <c r="J7" s="3412"/>
      <c r="K7" s="3414"/>
      <c r="L7" s="2630" t="s">
        <v>2334</v>
      </c>
      <c r="M7" s="2631"/>
      <c r="N7" s="2607"/>
      <c r="O7" s="2632"/>
      <c r="P7" s="2632"/>
      <c r="Q7" s="2633">
        <v>365</v>
      </c>
      <c r="R7" s="2634">
        <f>ROUND(M7*N7*O7*P7*Q7/10000,0)</f>
        <v>0</v>
      </c>
      <c r="S7" s="2588"/>
      <c r="T7" s="2588" t="s">
        <v>2335</v>
      </c>
      <c r="U7" s="2588"/>
      <c r="V7" s="2596"/>
    </row>
    <row r="8" spans="1:22" s="2600" customFormat="1" ht="13.15" customHeight="1">
      <c r="A8" s="2635" t="s">
        <v>2336</v>
      </c>
      <c r="B8" s="3429" t="s">
        <v>2337</v>
      </c>
      <c r="C8" s="3430"/>
      <c r="D8" s="2636" t="s">
        <v>2338</v>
      </c>
      <c r="E8" s="2637" t="s">
        <v>2339</v>
      </c>
      <c r="F8" s="2638" t="s">
        <v>2340</v>
      </c>
      <c r="G8" s="2639"/>
      <c r="H8" s="2595"/>
      <c r="I8" s="2596"/>
      <c r="J8" s="3412"/>
      <c r="K8" s="3414"/>
      <c r="L8" s="2630" t="s">
        <v>2341</v>
      </c>
      <c r="M8" s="2631"/>
      <c r="N8" s="2607"/>
      <c r="O8" s="2632"/>
      <c r="P8" s="2632"/>
      <c r="Q8" s="2633">
        <v>365</v>
      </c>
      <c r="R8" s="2634">
        <f t="shared" ref="R8:R13" si="0">ROUND(M8*N8*O8*P8*Q8/10000,0)</f>
        <v>0</v>
      </c>
      <c r="S8" s="2588"/>
      <c r="T8" s="2588" t="s">
        <v>2342</v>
      </c>
      <c r="U8" s="2588"/>
      <c r="V8" s="2596"/>
    </row>
    <row r="9" spans="1:22" s="2600" customFormat="1" ht="13.15" customHeight="1">
      <c r="A9" s="2635">
        <v>1</v>
      </c>
      <c r="B9" s="3429" t="s">
        <v>2343</v>
      </c>
      <c r="C9" s="3430"/>
      <c r="D9" s="2636">
        <f>ROUND(D6*E9,0)</f>
        <v>0</v>
      </c>
      <c r="E9" s="2640"/>
      <c r="F9" s="2641" t="s">
        <v>2344</v>
      </c>
      <c r="G9" s="2620"/>
      <c r="H9" s="2595"/>
      <c r="I9" s="2596"/>
      <c r="J9" s="3412"/>
      <c r="K9" s="3414"/>
      <c r="L9" s="2630" t="s">
        <v>2345</v>
      </c>
      <c r="M9" s="2631"/>
      <c r="N9" s="2607"/>
      <c r="O9" s="2632"/>
      <c r="P9" s="2632"/>
      <c r="Q9" s="2633">
        <v>365</v>
      </c>
      <c r="R9" s="2634">
        <f t="shared" si="0"/>
        <v>0</v>
      </c>
      <c r="S9" s="2588"/>
      <c r="T9" s="2588"/>
      <c r="U9" s="2588"/>
      <c r="V9" s="2596"/>
    </row>
    <row r="10" spans="1:22" s="2600" customFormat="1" ht="13.15" customHeight="1">
      <c r="A10" s="2635">
        <v>2</v>
      </c>
      <c r="B10" s="3429" t="s">
        <v>2346</v>
      </c>
      <c r="C10" s="3430"/>
      <c r="D10" s="2636">
        <f>ROUND(D6*E10,0)</f>
        <v>0</v>
      </c>
      <c r="E10" s="2640"/>
      <c r="F10" s="2641" t="s">
        <v>2347</v>
      </c>
      <c r="G10" s="2620"/>
      <c r="H10" s="2595"/>
      <c r="I10" s="2596"/>
      <c r="J10" s="3412"/>
      <c r="K10" s="3414"/>
      <c r="L10" s="2630" t="s">
        <v>2348</v>
      </c>
      <c r="M10" s="2631"/>
      <c r="N10" s="2607"/>
      <c r="O10" s="2632"/>
      <c r="P10" s="2632"/>
      <c r="Q10" s="2633">
        <v>365</v>
      </c>
      <c r="R10" s="2634">
        <f t="shared" si="0"/>
        <v>0</v>
      </c>
      <c r="S10" s="2588"/>
      <c r="T10" s="2588"/>
      <c r="U10" s="2588"/>
      <c r="V10" s="2596"/>
    </row>
    <row r="11" spans="1:22" s="2600" customFormat="1" ht="13.15" customHeight="1">
      <c r="A11" s="2635">
        <v>3</v>
      </c>
      <c r="B11" s="3429" t="s">
        <v>2349</v>
      </c>
      <c r="C11" s="3430"/>
      <c r="D11" s="2636">
        <f>D12+D14+D15+D16</f>
        <v>0</v>
      </c>
      <c r="E11" s="2642" t="e">
        <f>D11/D6</f>
        <v>#DIV/0!</v>
      </c>
      <c r="F11" s="2638"/>
      <c r="G11" s="2639"/>
      <c r="H11" s="2595"/>
      <c r="I11" s="2596"/>
      <c r="J11" s="3412"/>
      <c r="K11" s="3414"/>
      <c r="L11" s="2630" t="s">
        <v>2350</v>
      </c>
      <c r="M11" s="2631"/>
      <c r="N11" s="2607"/>
      <c r="O11" s="2632"/>
      <c r="P11" s="2632"/>
      <c r="Q11" s="2633">
        <v>365</v>
      </c>
      <c r="R11" s="2634">
        <f t="shared" si="0"/>
        <v>0</v>
      </c>
      <c r="S11" s="2588"/>
      <c r="T11" s="2588"/>
      <c r="U11" s="2588"/>
      <c r="V11" s="2596"/>
    </row>
    <row r="12" spans="1:22" s="2600" customFormat="1" ht="13.15" customHeight="1">
      <c r="A12" s="2643" t="s">
        <v>2351</v>
      </c>
      <c r="B12" s="3422" t="s">
        <v>2352</v>
      </c>
      <c r="C12" s="3423"/>
      <c r="D12" s="2644">
        <f>ROUND(D13*1.2%*(1-30%),0)</f>
        <v>0</v>
      </c>
      <c r="E12" s="2645">
        <v>1.2E-2</v>
      </c>
      <c r="F12" s="2638" t="s">
        <v>2353</v>
      </c>
      <c r="G12" s="2639"/>
      <c r="H12" s="2595"/>
      <c r="I12" s="2596"/>
      <c r="J12" s="3412"/>
      <c r="K12" s="3414"/>
      <c r="L12" s="2630" t="s">
        <v>2354</v>
      </c>
      <c r="M12" s="2631"/>
      <c r="N12" s="2607"/>
      <c r="O12" s="2632"/>
      <c r="P12" s="2632"/>
      <c r="Q12" s="2633">
        <v>365</v>
      </c>
      <c r="R12" s="2634">
        <f t="shared" si="0"/>
        <v>0</v>
      </c>
      <c r="S12" s="2588"/>
      <c r="T12" s="2588"/>
      <c r="U12" s="2588"/>
      <c r="V12" s="2596"/>
    </row>
    <row r="13" spans="1:22" s="2600" customFormat="1" ht="13.15" customHeight="1">
      <c r="A13" s="2643"/>
      <c r="B13" s="2646"/>
      <c r="C13" s="2647" t="s">
        <v>2355</v>
      </c>
      <c r="D13" s="2648"/>
      <c r="E13" s="2649"/>
      <c r="F13" s="2638"/>
      <c r="G13" s="2639"/>
      <c r="H13" s="2595"/>
      <c r="I13" s="2596"/>
      <c r="J13" s="3412"/>
      <c r="K13" s="3414"/>
      <c r="L13" s="2630" t="s">
        <v>2356</v>
      </c>
      <c r="M13" s="2631"/>
      <c r="N13" s="2607"/>
      <c r="O13" s="2632"/>
      <c r="P13" s="2632"/>
      <c r="Q13" s="2633">
        <v>365</v>
      </c>
      <c r="R13" s="2634">
        <f t="shared" si="0"/>
        <v>0</v>
      </c>
      <c r="S13" s="2588"/>
      <c r="T13" s="2588"/>
      <c r="U13" s="2588"/>
      <c r="V13" s="2596"/>
    </row>
    <row r="14" spans="1:22" s="2600" customFormat="1" ht="13.15" customHeight="1">
      <c r="A14" s="2643" t="s">
        <v>2357</v>
      </c>
      <c r="B14" s="3422" t="s">
        <v>2358</v>
      </c>
      <c r="C14" s="3423"/>
      <c r="D14" s="2644">
        <f>ROUND(E14*B5/10000,0)</f>
        <v>0</v>
      </c>
      <c r="E14" s="2633"/>
      <c r="F14" s="2638" t="s">
        <v>2359</v>
      </c>
      <c r="G14" s="2639"/>
      <c r="H14" s="2595"/>
      <c r="I14" s="2596"/>
      <c r="J14" s="3412"/>
      <c r="K14" s="3415"/>
      <c r="L14" s="2650" t="s">
        <v>2360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2361</v>
      </c>
      <c r="B15" s="3422" t="s">
        <v>2362</v>
      </c>
      <c r="C15" s="3423"/>
      <c r="D15" s="2644">
        <f>ROUND(D6*E15,0)</f>
        <v>0</v>
      </c>
      <c r="E15" s="2645">
        <v>5.5E-2</v>
      </c>
      <c r="F15" s="2638" t="s">
        <v>2363</v>
      </c>
      <c r="G15" s="2620"/>
      <c r="H15" s="2595"/>
      <c r="I15" s="2596"/>
      <c r="J15" s="3412">
        <v>2</v>
      </c>
      <c r="K15" s="3413" t="s">
        <v>2364</v>
      </c>
      <c r="L15" s="2630" t="s">
        <v>2365</v>
      </c>
      <c r="M15" s="2631" t="s">
        <v>2366</v>
      </c>
      <c r="N15" s="2631" t="s">
        <v>2367</v>
      </c>
      <c r="O15" s="2632" t="s">
        <v>2368</v>
      </c>
      <c r="P15" s="2632" t="s">
        <v>2330</v>
      </c>
      <c r="Q15" s="2607" t="s">
        <v>2369</v>
      </c>
      <c r="R15" s="2654" t="s">
        <v>2331</v>
      </c>
      <c r="S15" s="2588"/>
      <c r="T15" s="2588"/>
      <c r="U15" s="2588"/>
      <c r="V15" s="2596"/>
    </row>
    <row r="16" spans="1:22" s="2600" customFormat="1" ht="13.15" customHeight="1">
      <c r="A16" s="2643" t="s">
        <v>2370</v>
      </c>
      <c r="B16" s="3422" t="s">
        <v>2371</v>
      </c>
      <c r="C16" s="3423"/>
      <c r="D16" s="2655">
        <f>D6*E16</f>
        <v>0</v>
      </c>
      <c r="E16" s="2656"/>
      <c r="F16" s="2641" t="s">
        <v>2372</v>
      </c>
      <c r="G16" s="2620"/>
      <c r="H16" s="2595"/>
      <c r="I16" s="2596"/>
      <c r="J16" s="3412"/>
      <c r="K16" s="3414"/>
      <c r="L16" s="2630" t="s">
        <v>2373</v>
      </c>
      <c r="M16" s="2631"/>
      <c r="N16" s="2631"/>
      <c r="O16" s="2632"/>
      <c r="P16" s="2633">
        <v>365</v>
      </c>
      <c r="Q16" s="2607"/>
      <c r="R16" s="2654">
        <f>ROUND(M16*N16*O16*P16/10000,0)</f>
        <v>0</v>
      </c>
      <c r="S16" s="2588"/>
      <c r="T16" s="2588"/>
      <c r="U16" s="2588"/>
      <c r="V16" s="2596"/>
    </row>
    <row r="17" spans="1:22" s="2600" customFormat="1" ht="13.15" customHeight="1" thickBot="1">
      <c r="A17" s="2657">
        <v>4</v>
      </c>
      <c r="B17" s="3424" t="s">
        <v>2374</v>
      </c>
      <c r="C17" s="3425"/>
      <c r="D17" s="2658">
        <f>ROUND(D6*E17,0)</f>
        <v>0</v>
      </c>
      <c r="E17" s="2659"/>
      <c r="F17" s="2660" t="s">
        <v>2375</v>
      </c>
      <c r="G17" s="2620"/>
      <c r="H17" s="2595"/>
      <c r="I17" s="2596"/>
      <c r="J17" s="3412"/>
      <c r="K17" s="3414"/>
      <c r="L17" s="2630" t="s">
        <v>2376</v>
      </c>
      <c r="M17" s="2631"/>
      <c r="N17" s="2631"/>
      <c r="O17" s="2632"/>
      <c r="P17" s="2633">
        <v>365</v>
      </c>
      <c r="Q17" s="2607"/>
      <c r="R17" s="2654">
        <f>ROUND(M17*N17*O17*P17/10000,0)</f>
        <v>0</v>
      </c>
      <c r="S17" s="2588"/>
      <c r="T17" s="2588"/>
      <c r="U17" s="2588"/>
      <c r="V17" s="2596"/>
    </row>
    <row r="18" spans="1:22" s="2600" customFormat="1" ht="13.15" customHeight="1" thickBot="1">
      <c r="A18" s="2623" t="s">
        <v>2377</v>
      </c>
      <c r="B18" s="2624"/>
      <c r="C18" s="2624"/>
      <c r="D18" s="2661">
        <f>ROUND(D6*E18,0)</f>
        <v>0</v>
      </c>
      <c r="E18" s="2662"/>
      <c r="F18" s="2663" t="s">
        <v>2378</v>
      </c>
      <c r="G18" s="2620"/>
      <c r="H18" s="2595"/>
      <c r="I18" s="2596"/>
      <c r="J18" s="3412"/>
      <c r="K18" s="3414"/>
      <c r="L18" s="2630" t="s">
        <v>2379</v>
      </c>
      <c r="M18" s="2631"/>
      <c r="N18" s="2631"/>
      <c r="O18" s="2632"/>
      <c r="P18" s="2633">
        <v>365</v>
      </c>
      <c r="Q18" s="2607"/>
      <c r="R18" s="2654">
        <f>ROUND(M18*N18*O18*P18/10000,0)</f>
        <v>0</v>
      </c>
      <c r="S18" s="2588"/>
      <c r="T18" s="2588"/>
      <c r="U18" s="2588"/>
      <c r="V18" s="2596"/>
    </row>
    <row r="19" spans="1:22" s="2600" customFormat="1" ht="13.15" customHeight="1" thickBot="1">
      <c r="A19" s="2664" t="s">
        <v>2380</v>
      </c>
      <c r="B19" s="2618"/>
      <c r="C19" s="2618"/>
      <c r="D19" s="2618"/>
      <c r="E19" s="2618"/>
      <c r="F19" s="2619"/>
      <c r="G19" s="2639"/>
      <c r="H19" s="2595"/>
      <c r="I19" s="2596"/>
      <c r="J19" s="3412"/>
      <c r="K19" s="3415"/>
      <c r="L19" s="2650" t="s">
        <v>2360</v>
      </c>
      <c r="M19" s="2651"/>
      <c r="N19" s="2651">
        <f>SUM(N16:N18)</f>
        <v>0</v>
      </c>
      <c r="O19" s="2652"/>
      <c r="P19" s="2665" t="s">
        <v>2424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12">
        <v>3</v>
      </c>
      <c r="K20" s="3413" t="s">
        <v>2381</v>
      </c>
      <c r="L20" s="2630" t="s">
        <v>2382</v>
      </c>
      <c r="M20" s="2631" t="s">
        <v>2383</v>
      </c>
      <c r="N20" s="2668" t="s">
        <v>2384</v>
      </c>
      <c r="O20" s="2632" t="s">
        <v>2385</v>
      </c>
      <c r="P20" s="2633" t="s">
        <v>2386</v>
      </c>
      <c r="Q20" s="2607" t="s">
        <v>2387</v>
      </c>
      <c r="R20" s="2654" t="s">
        <v>2388</v>
      </c>
      <c r="S20" s="2588"/>
      <c r="T20" s="2588"/>
      <c r="U20" s="2588"/>
      <c r="V20" s="2596"/>
    </row>
    <row r="21" spans="1:22" s="2600" customFormat="1" ht="13.15" customHeight="1">
      <c r="A21" s="2623"/>
      <c r="B21" s="2624"/>
      <c r="C21" s="2669" t="s">
        <v>2389</v>
      </c>
      <c r="D21" s="2670" t="s">
        <v>2390</v>
      </c>
      <c r="E21" s="2671" t="s">
        <v>2391</v>
      </c>
      <c r="F21" s="2667"/>
      <c r="G21" s="2639"/>
      <c r="H21" s="2595"/>
      <c r="I21" s="2596"/>
      <c r="J21" s="3412"/>
      <c r="K21" s="3414"/>
      <c r="L21" s="2630" t="s">
        <v>2392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2393</v>
      </c>
      <c r="D22" s="2674" t="s">
        <v>2394</v>
      </c>
      <c r="E22" s="2675" t="s">
        <v>2395</v>
      </c>
      <c r="F22" s="2667"/>
      <c r="G22" s="2588"/>
      <c r="H22" s="2595"/>
      <c r="I22" s="2596"/>
      <c r="J22" s="3412"/>
      <c r="K22" s="3414"/>
      <c r="L22" s="2630" t="s">
        <v>2396</v>
      </c>
      <c r="M22" s="2631"/>
      <c r="N22" s="2631"/>
      <c r="O22" s="2632"/>
      <c r="P22" s="2633">
        <v>365</v>
      </c>
      <c r="Q22" s="2607"/>
      <c r="R22" s="2672">
        <f>ROUND(M22*N22*O22*P22/10000,0)</f>
        <v>0</v>
      </c>
      <c r="S22" s="2588"/>
      <c r="T22" s="2588"/>
      <c r="U22" s="2588"/>
      <c r="V22" s="2596"/>
    </row>
    <row r="23" spans="1:22" s="2600" customFormat="1" ht="13.15" customHeight="1">
      <c r="A23" s="2676">
        <v>1</v>
      </c>
      <c r="B23" s="2677" t="s">
        <v>2397</v>
      </c>
      <c r="C23" s="2678">
        <f>D6</f>
        <v>0</v>
      </c>
      <c r="D23" s="2679">
        <f>C23*(1+D24)</f>
        <v>0</v>
      </c>
      <c r="E23" s="2680">
        <f>D23*(1+E24)</f>
        <v>0</v>
      </c>
      <c r="F23" s="2681"/>
      <c r="G23" s="2682"/>
      <c r="H23" s="2595"/>
      <c r="I23" s="2596"/>
      <c r="J23" s="3412"/>
      <c r="K23" s="3414"/>
      <c r="L23" s="2630" t="s">
        <v>2398</v>
      </c>
      <c r="M23" s="2631"/>
      <c r="N23" s="2631"/>
      <c r="O23" s="2632"/>
      <c r="P23" s="2633">
        <v>365</v>
      </c>
      <c r="Q23" s="2607"/>
      <c r="R23" s="2672">
        <f>ROUND(M23*N23*O23*P23/10000,0)</f>
        <v>0</v>
      </c>
      <c r="S23" s="2588"/>
      <c r="T23" s="2588"/>
      <c r="U23" s="2588"/>
      <c r="V23" s="2596"/>
    </row>
    <row r="24" spans="1:22" s="2600" customFormat="1" ht="13.15" customHeight="1">
      <c r="A24" s="2683"/>
      <c r="B24" s="2684" t="s">
        <v>2399</v>
      </c>
      <c r="C24" s="2685"/>
      <c r="D24" s="2686"/>
      <c r="E24" s="2687"/>
      <c r="F24" s="2688"/>
      <c r="G24" s="2682"/>
      <c r="H24" s="2595"/>
      <c r="I24" s="2596"/>
      <c r="J24" s="3412"/>
      <c r="K24" s="3415"/>
      <c r="L24" s="2650" t="s">
        <v>2360</v>
      </c>
      <c r="M24" s="2651">
        <f>SUM(M21:M23)</f>
        <v>0</v>
      </c>
      <c r="N24" s="2651"/>
      <c r="O24" s="2652"/>
      <c r="P24" s="2665" t="s">
        <v>2424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2400</v>
      </c>
      <c r="L25" s="2691"/>
      <c r="M25" s="2691"/>
      <c r="N25" s="2691"/>
      <c r="O25" s="2691"/>
      <c r="P25" s="2692"/>
      <c r="Q25" s="2693">
        <v>0</v>
      </c>
      <c r="R25" s="2666">
        <f>ROUND(R14*Q25,0)</f>
        <v>0</v>
      </c>
      <c r="S25" s="2588"/>
      <c r="T25" s="2588"/>
      <c r="U25" s="2588"/>
      <c r="V25" s="2694"/>
    </row>
    <row r="26" spans="1:22" s="2695" customFormat="1" ht="13.15" customHeight="1">
      <c r="A26" s="2676">
        <v>2</v>
      </c>
      <c r="B26" s="2677" t="s">
        <v>2401</v>
      </c>
      <c r="C26" s="2678">
        <f>D7</f>
        <v>0</v>
      </c>
      <c r="D26" s="2679">
        <f>D23*D27</f>
        <v>0</v>
      </c>
      <c r="E26" s="2680">
        <f>E23*E27</f>
        <v>0</v>
      </c>
      <c r="F26" s="2681"/>
      <c r="G26" s="2682"/>
      <c r="H26" s="2595"/>
      <c r="I26" s="2596"/>
      <c r="J26" s="3416">
        <v>5</v>
      </c>
      <c r="K26" s="2696" t="s">
        <v>2402</v>
      </c>
      <c r="L26" s="2697"/>
      <c r="M26" s="2698"/>
      <c r="N26" s="2699" t="s">
        <v>2403</v>
      </c>
      <c r="O26" s="2699" t="s">
        <v>2404</v>
      </c>
      <c r="P26" s="2700" t="s">
        <v>2405</v>
      </c>
      <c r="Q26" s="2700" t="s">
        <v>2406</v>
      </c>
      <c r="R26" s="2605" t="s">
        <v>2331</v>
      </c>
      <c r="S26" s="2639"/>
      <c r="T26" s="2639"/>
      <c r="U26" s="2639"/>
      <c r="V26" s="2694"/>
    </row>
    <row r="27" spans="1:22" s="2600" customFormat="1" ht="13.15" customHeight="1">
      <c r="A27" s="2683"/>
      <c r="B27" s="2684" t="s">
        <v>2407</v>
      </c>
      <c r="C27" s="2701" t="e">
        <f>E7</f>
        <v>#DIV/0!</v>
      </c>
      <c r="D27" s="2686"/>
      <c r="E27" s="2687"/>
      <c r="F27" s="2688"/>
      <c r="G27" s="2682"/>
      <c r="H27" s="2702"/>
      <c r="I27" s="2694"/>
      <c r="J27" s="3417"/>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2408</v>
      </c>
      <c r="F28" s="2688"/>
      <c r="G28" s="2588"/>
      <c r="H28" s="2702"/>
      <c r="I28" s="2694"/>
      <c r="J28" s="2708">
        <v>6</v>
      </c>
      <c r="K28" s="2709" t="s">
        <v>2409</v>
      </c>
      <c r="L28" s="2710" t="s">
        <v>2410</v>
      </c>
      <c r="M28" s="2711"/>
      <c r="N28" s="2710" t="s">
        <v>2411</v>
      </c>
      <c r="O28" s="2712"/>
      <c r="P28" s="2710" t="s">
        <v>2412</v>
      </c>
      <c r="Q28" s="2713">
        <v>1.4999999999999999E-2</v>
      </c>
      <c r="R28" s="2714"/>
      <c r="S28" s="2588"/>
      <c r="T28" s="2588"/>
      <c r="U28" s="2588"/>
      <c r="V28" s="2694"/>
    </row>
    <row r="29" spans="1:22" s="2695" customFormat="1" ht="13.15" customHeight="1">
      <c r="A29" s="2676">
        <v>3</v>
      </c>
      <c r="B29" s="2677" t="s">
        <v>2413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2414</v>
      </c>
      <c r="K31" s="2586"/>
      <c r="L31" s="2586"/>
      <c r="M31" s="2586"/>
      <c r="N31" s="2586"/>
      <c r="O31" s="2586"/>
      <c r="P31" s="2586"/>
      <c r="Q31" s="2586"/>
      <c r="R31" s="2587"/>
      <c r="S31" s="2588"/>
      <c r="T31" s="2588"/>
      <c r="U31" s="2588"/>
      <c r="V31" s="2694"/>
    </row>
    <row r="32" spans="1:22" s="2695" customFormat="1" ht="13.15" customHeight="1">
      <c r="A32" s="2676">
        <v>4</v>
      </c>
      <c r="B32" s="2677" t="s">
        <v>2415</v>
      </c>
      <c r="C32" s="2678">
        <f>C23-C26-C29</f>
        <v>0</v>
      </c>
      <c r="D32" s="2679">
        <f>D23-D26-D29</f>
        <v>0</v>
      </c>
      <c r="E32" s="2680">
        <f>E23-E26-E29</f>
        <v>0</v>
      </c>
      <c r="F32" s="2681"/>
      <c r="G32" s="2588"/>
      <c r="H32" s="2595"/>
      <c r="I32" s="2596"/>
      <c r="J32" s="3418" t="s">
        <v>2307</v>
      </c>
      <c r="K32" s="3419"/>
      <c r="L32" s="2597" t="s">
        <v>2308</v>
      </c>
      <c r="M32" s="2597" t="s">
        <v>2309</v>
      </c>
      <c r="N32" s="2597" t="s">
        <v>2310</v>
      </c>
      <c r="O32" s="2597" t="s">
        <v>2311</v>
      </c>
      <c r="P32" s="2597" t="s">
        <v>2312</v>
      </c>
      <c r="Q32" s="2598" t="s">
        <v>2313</v>
      </c>
      <c r="R32" s="2717" t="s">
        <v>2314</v>
      </c>
      <c r="S32" s="2588"/>
      <c r="T32" s="2588"/>
      <c r="U32" s="2588"/>
      <c r="V32" s="2694"/>
    </row>
    <row r="33" spans="1:23" s="2600" customFormat="1" ht="13.15" customHeight="1">
      <c r="A33" s="2676"/>
      <c r="B33" s="2677"/>
      <c r="C33" s="2678"/>
      <c r="D33" s="2718"/>
      <c r="E33" s="2719"/>
      <c r="F33" s="2681"/>
      <c r="G33" s="2588"/>
      <c r="H33" s="2702"/>
      <c r="I33" s="2694"/>
      <c r="J33" s="3420" t="s">
        <v>2317</v>
      </c>
      <c r="K33" s="3421"/>
      <c r="L33" s="2603"/>
      <c r="M33" s="2603"/>
      <c r="N33" s="2603"/>
      <c r="O33" s="2603"/>
      <c r="P33" s="2603"/>
      <c r="Q33" s="2604"/>
      <c r="R33" s="2720">
        <f>SUM(L33:Q33)</f>
        <v>0</v>
      </c>
      <c r="S33" s="2588"/>
      <c r="T33" s="2588"/>
      <c r="U33" s="2588"/>
      <c r="V33" s="2596"/>
    </row>
    <row r="34" spans="1:23" s="2600" customFormat="1" ht="13.15" customHeight="1">
      <c r="A34" s="2676">
        <v>5</v>
      </c>
      <c r="B34" s="2677" t="s">
        <v>2416</v>
      </c>
      <c r="C34" s="2721"/>
      <c r="D34" s="2722"/>
      <c r="E34" s="2723"/>
      <c r="F34" s="2681"/>
      <c r="G34" s="2588"/>
      <c r="H34" s="2702"/>
      <c r="I34" s="2694"/>
      <c r="J34" s="3420" t="s">
        <v>2319</v>
      </c>
      <c r="K34" s="3421"/>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2417</v>
      </c>
      <c r="C35" s="2725"/>
      <c r="D35" s="2726"/>
      <c r="E35" s="2727"/>
      <c r="F35" s="2681"/>
      <c r="G35" s="2728"/>
      <c r="H35" s="2595"/>
      <c r="I35" s="2694"/>
      <c r="J35" s="2614" t="s">
        <v>2321</v>
      </c>
      <c r="K35" s="2615"/>
      <c r="L35" s="2615"/>
      <c r="M35" s="2616"/>
      <c r="N35" s="2616"/>
      <c r="O35" s="2616"/>
      <c r="P35" s="2616"/>
      <c r="Q35" s="2616"/>
      <c r="R35" s="2729">
        <f>R40+R41+R43</f>
        <v>0</v>
      </c>
      <c r="S35" s="2588"/>
      <c r="T35" s="2588" t="s">
        <v>2322</v>
      </c>
      <c r="U35" s="2588"/>
      <c r="V35" s="2596"/>
    </row>
    <row r="36" spans="1:23" s="2600" customFormat="1" ht="13.15" customHeight="1" thickBot="1">
      <c r="A36" s="2676">
        <v>7</v>
      </c>
      <c r="B36" s="2730" t="s">
        <v>2418</v>
      </c>
      <c r="C36" s="2731"/>
      <c r="D36" s="2732"/>
      <c r="E36" s="2733"/>
      <c r="F36" s="2734">
        <f>C36+D36+E36</f>
        <v>0</v>
      </c>
      <c r="G36" s="2588"/>
      <c r="H36" s="2595"/>
      <c r="I36" s="2596"/>
      <c r="J36" s="3412">
        <v>1</v>
      </c>
      <c r="K36" s="3413" t="s">
        <v>2419</v>
      </c>
      <c r="L36" s="2621"/>
      <c r="M36" s="2622"/>
      <c r="N36" s="2622"/>
      <c r="O36" s="2622"/>
      <c r="P36" s="2622"/>
      <c r="Q36" s="2622"/>
      <c r="R36" s="2605" t="s">
        <v>2331</v>
      </c>
      <c r="S36" s="2588"/>
      <c r="T36" s="2588" t="s">
        <v>2332</v>
      </c>
      <c r="U36" s="2588"/>
      <c r="V36" s="2596"/>
    </row>
    <row r="37" spans="1:23" s="2600" customFormat="1" ht="13.15" customHeight="1">
      <c r="A37" s="2676"/>
      <c r="B37" s="2677"/>
      <c r="C37" s="2677"/>
      <c r="D37" s="2677"/>
      <c r="E37" s="2677"/>
      <c r="F37" s="2681"/>
      <c r="G37" s="2588"/>
      <c r="H37" s="2595"/>
      <c r="I37" s="2596"/>
      <c r="J37" s="3412"/>
      <c r="K37" s="3414"/>
      <c r="L37" s="2630"/>
      <c r="M37" s="2631"/>
      <c r="N37" s="2607"/>
      <c r="O37" s="2632"/>
      <c r="P37" s="2632"/>
      <c r="Q37" s="2633"/>
      <c r="R37" s="2634"/>
      <c r="S37" s="2588"/>
      <c r="T37" s="2588" t="s">
        <v>2335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12"/>
      <c r="K38" s="3414"/>
      <c r="L38" s="2630"/>
      <c r="M38" s="2631"/>
      <c r="N38" s="2607"/>
      <c r="O38" s="2632"/>
      <c r="P38" s="2632"/>
      <c r="Q38" s="2633"/>
      <c r="R38" s="2634"/>
      <c r="S38" s="2588"/>
      <c r="T38" s="2588" t="s">
        <v>2342</v>
      </c>
      <c r="U38" s="2588"/>
      <c r="V38" s="2596"/>
    </row>
    <row r="39" spans="1:23" s="2600" customFormat="1" ht="13.15" customHeight="1">
      <c r="A39" s="2676">
        <v>9</v>
      </c>
      <c r="B39" s="2677" t="s">
        <v>2420</v>
      </c>
      <c r="C39" s="2644" t="e">
        <f>C38</f>
        <v>#DIV/0!</v>
      </c>
      <c r="D39" s="2677">
        <f>D38/(1+D34)^C36</f>
        <v>0</v>
      </c>
      <c r="E39" s="2677">
        <f>E38/(1+E34)^(C36+D36)</f>
        <v>0</v>
      </c>
      <c r="F39" s="2681"/>
      <c r="G39" s="2596"/>
      <c r="H39" s="2595"/>
      <c r="I39" s="2596"/>
      <c r="J39" s="3412"/>
      <c r="K39" s="3414"/>
      <c r="L39" s="2630"/>
      <c r="M39" s="2631"/>
      <c r="N39" s="2607"/>
      <c r="O39" s="2632"/>
      <c r="P39" s="2632"/>
      <c r="Q39" s="2633"/>
      <c r="R39" s="2634"/>
      <c r="S39" s="2588"/>
      <c r="T39" s="2588"/>
      <c r="U39" s="2588"/>
      <c r="V39" s="2596"/>
    </row>
    <row r="40" spans="1:23" s="2600" customFormat="1" ht="13.15" customHeight="1">
      <c r="A40" s="2735">
        <v>10</v>
      </c>
      <c r="B40" s="2677" t="s">
        <v>2421</v>
      </c>
      <c r="C40" s="2736" t="e">
        <f>C39+D39+E39</f>
        <v>#DIV/0!</v>
      </c>
      <c r="D40" s="2737"/>
      <c r="E40" s="2737"/>
      <c r="F40" s="2738"/>
      <c r="G40" s="2588"/>
      <c r="H40" s="2595"/>
      <c r="I40" s="2596"/>
      <c r="J40" s="3412"/>
      <c r="K40" s="3415"/>
      <c r="L40" s="2650" t="s">
        <v>2360</v>
      </c>
      <c r="M40" s="2651"/>
      <c r="N40" s="2651"/>
      <c r="O40" s="2652"/>
      <c r="P40" s="2652"/>
      <c r="Q40" s="2653"/>
      <c r="R40" s="2599">
        <f>SUM(R37:R39)</f>
        <v>0</v>
      </c>
      <c r="S40" s="2588"/>
      <c r="T40" s="2588"/>
      <c r="U40" s="2588"/>
      <c r="V40" s="2596"/>
    </row>
    <row r="41" spans="1:23" s="2600" customFormat="1" ht="13.15" customHeight="1" thickBot="1">
      <c r="A41" s="2739">
        <v>11</v>
      </c>
      <c r="B41" s="2740" t="s">
        <v>2422</v>
      </c>
      <c r="C41" s="2740" t="e">
        <f>ROUND(C40*10000/B4,0)</f>
        <v>#DIV/0!</v>
      </c>
      <c r="D41" s="2741"/>
      <c r="E41" s="2741"/>
      <c r="F41" s="2742"/>
      <c r="G41" s="2595"/>
      <c r="H41" s="2595"/>
      <c r="I41" s="2596"/>
      <c r="J41" s="2689">
        <v>2</v>
      </c>
      <c r="K41" s="2690" t="s">
        <v>2400</v>
      </c>
      <c r="L41" s="2691"/>
      <c r="M41" s="2691"/>
      <c r="N41" s="2691"/>
      <c r="O41" s="2691"/>
      <c r="P41" s="2692"/>
      <c r="Q41" s="2693"/>
      <c r="R41" s="2666">
        <f>ROUND(R40*Q41,0)</f>
        <v>0</v>
      </c>
      <c r="S41" s="2588"/>
      <c r="T41" s="2588"/>
      <c r="U41" s="2639"/>
      <c r="V41" s="2596"/>
    </row>
    <row r="42" spans="1:23" s="2600" customFormat="1" ht="13.15" customHeight="1">
      <c r="G42" s="2595"/>
      <c r="H42" s="2595"/>
      <c r="I42" s="2596"/>
      <c r="J42" s="3416">
        <v>3</v>
      </c>
      <c r="K42" s="2696" t="s">
        <v>2402</v>
      </c>
      <c r="L42" s="2697"/>
      <c r="M42" s="2698"/>
      <c r="N42" s="2699" t="s">
        <v>2403</v>
      </c>
      <c r="O42" s="2699" t="s">
        <v>2404</v>
      </c>
      <c r="P42" s="2700" t="s">
        <v>2405</v>
      </c>
      <c r="Q42" s="2700" t="s">
        <v>2406</v>
      </c>
      <c r="R42" s="2605" t="s">
        <v>2331</v>
      </c>
      <c r="S42" s="2639"/>
      <c r="T42" s="2639"/>
      <c r="U42" s="2588"/>
      <c r="V42" s="2596"/>
    </row>
    <row r="43" spans="1:23" ht="13.15" customHeight="1">
      <c r="A43" s="2600"/>
      <c r="B43" s="2600"/>
      <c r="C43" s="2600"/>
      <c r="D43" s="2600"/>
      <c r="E43" s="2600"/>
      <c r="F43" s="2600"/>
      <c r="I43" s="2583"/>
      <c r="J43" s="3417"/>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2409</v>
      </c>
      <c r="L44" s="2745" t="s">
        <v>2410</v>
      </c>
      <c r="M44" s="2711"/>
      <c r="N44" s="2745" t="s">
        <v>2411</v>
      </c>
      <c r="O44" s="2711"/>
      <c r="P44" s="2745" t="s">
        <v>2412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1655</v>
      </c>
      <c r="B1" s="1726"/>
      <c r="C1" s="1726"/>
      <c r="D1" s="1726"/>
      <c r="E1" s="1727"/>
      <c r="F1" s="2475"/>
      <c r="G1" s="459"/>
      <c r="H1" s="459"/>
      <c r="I1" s="459"/>
      <c r="J1" s="459"/>
      <c r="K1" s="459"/>
      <c r="L1" s="459"/>
      <c r="M1" s="459"/>
      <c r="N1" s="459"/>
      <c r="O1" s="459"/>
      <c r="P1" s="459"/>
      <c r="Q1" s="459"/>
      <c r="R1" s="459"/>
      <c r="S1" s="459"/>
    </row>
    <row r="2" spans="1:22" ht="15.75">
      <c r="A2" s="1728" t="s">
        <v>1459</v>
      </c>
      <c r="B2" s="811">
        <f ca="1">SUMIF(B6:B13,"&lt;&gt;#ref!",B6:B13)</f>
        <v>11346</v>
      </c>
      <c r="C2" s="1729" t="s">
        <v>1648</v>
      </c>
      <c r="D2" s="1730" t="s">
        <v>1649</v>
      </c>
      <c r="E2" s="2387">
        <f>SUM(E6:E13)</f>
        <v>9096.41</v>
      </c>
      <c r="F2" s="2475"/>
      <c r="G2" s="459"/>
      <c r="H2" s="459"/>
      <c r="I2" s="459"/>
      <c r="J2" s="459"/>
      <c r="K2" s="459"/>
      <c r="L2" s="459"/>
      <c r="M2" s="459"/>
      <c r="N2" s="459"/>
      <c r="O2" s="459"/>
      <c r="P2" s="459"/>
      <c r="Q2" s="459"/>
      <c r="R2" s="459"/>
      <c r="S2" s="459"/>
    </row>
    <row r="3" spans="1:22" ht="15.75">
      <c r="A3" s="1728" t="s">
        <v>686</v>
      </c>
      <c r="B3" s="2381">
        <f ca="1">ROUND(B2*10000/E2,0)</f>
        <v>12473</v>
      </c>
      <c r="C3" s="1729" t="s">
        <v>1656</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3" t="s">
        <v>1650</v>
      </c>
      <c r="B5" s="3431" t="s">
        <v>1651</v>
      </c>
      <c r="C5" s="3432"/>
      <c r="D5" s="2476"/>
      <c r="E5" s="1731" t="s">
        <v>1652</v>
      </c>
      <c r="F5" s="129" t="s">
        <v>1653</v>
      </c>
      <c r="G5" s="459"/>
      <c r="H5" s="459"/>
      <c r="I5" s="459"/>
      <c r="J5" s="459"/>
      <c r="K5" s="459"/>
      <c r="L5" s="459"/>
      <c r="M5" s="459"/>
      <c r="N5" s="459"/>
      <c r="O5" s="459"/>
      <c r="P5" s="459"/>
      <c r="Q5" s="459"/>
      <c r="R5" s="459"/>
      <c r="S5" s="459"/>
    </row>
    <row r="6" spans="1:22">
      <c r="A6" s="2384" t="str">
        <f>'数据-取费表'!AN6</f>
        <v>收益法</v>
      </c>
      <c r="B6" s="2382">
        <f ca="1">IF(F6="是",'数据-取费表'!AO6,0)</f>
        <v>11346</v>
      </c>
      <c r="C6" s="1729" t="s">
        <v>1648</v>
      </c>
      <c r="D6" s="2475"/>
      <c r="E6" s="2386">
        <f>IF(OR(A6=0,F6="否"),0,'数据-取费表'!K6+'数据-取费表'!S6)</f>
        <v>9096.41</v>
      </c>
      <c r="F6" s="1732" t="s">
        <v>1654</v>
      </c>
      <c r="G6" s="459"/>
      <c r="H6" s="459"/>
      <c r="I6" s="459"/>
      <c r="J6" s="459"/>
      <c r="K6" s="459"/>
      <c r="L6" s="459"/>
      <c r="M6" s="459"/>
      <c r="N6" s="459"/>
      <c r="O6" s="459"/>
      <c r="P6" s="459"/>
      <c r="Q6" s="459"/>
      <c r="R6" s="459"/>
      <c r="S6" s="459"/>
    </row>
    <row r="7" spans="1:22">
      <c r="A7" s="2384">
        <f>'数据-取费表'!AN7</f>
        <v>0</v>
      </c>
      <c r="B7" s="2382" t="e">
        <f ca="1">IF(F7="是",'数据-取费表'!AO7,0)</f>
        <v>#REF!</v>
      </c>
      <c r="C7" s="1729" t="s">
        <v>1648</v>
      </c>
      <c r="D7" s="2475"/>
      <c r="E7" s="2386">
        <f>IF(OR(A7=0,F7="否"),0,'数据-取费表'!K7+'数据-取费表'!S7)</f>
        <v>0</v>
      </c>
      <c r="F7" s="1732" t="s">
        <v>1654</v>
      </c>
      <c r="G7" s="459"/>
      <c r="H7" s="459"/>
      <c r="I7" s="459"/>
      <c r="J7" s="459"/>
      <c r="K7" s="459"/>
      <c r="L7" s="459"/>
      <c r="M7" s="459"/>
      <c r="N7" s="459"/>
      <c r="O7" s="459"/>
      <c r="P7" s="459"/>
      <c r="Q7" s="459"/>
      <c r="R7" s="459"/>
      <c r="S7" s="459"/>
    </row>
    <row r="8" spans="1:22">
      <c r="A8" s="2384">
        <f>'数据-取费表'!AN8</f>
        <v>0</v>
      </c>
      <c r="B8" s="2382" t="e">
        <f ca="1">IF(F8="是",'数据-取费表'!AO8,0)</f>
        <v>#REF!</v>
      </c>
      <c r="C8" s="1729" t="s">
        <v>1648</v>
      </c>
      <c r="D8" s="2475"/>
      <c r="E8" s="2386">
        <f>IF(OR(A8=0,F8="否"),0,'数据-取费表'!K8+'数据-取费表'!S8)</f>
        <v>0</v>
      </c>
      <c r="F8" s="1732" t="s">
        <v>1654</v>
      </c>
      <c r="G8" s="459"/>
      <c r="H8" s="459"/>
      <c r="I8" s="459"/>
      <c r="J8" s="459"/>
      <c r="K8" s="459"/>
      <c r="L8" s="459"/>
      <c r="M8" s="459"/>
      <c r="N8" s="459"/>
      <c r="O8" s="459"/>
      <c r="P8" s="459"/>
      <c r="Q8" s="459"/>
      <c r="R8" s="459"/>
      <c r="S8" s="459"/>
    </row>
    <row r="9" spans="1:22">
      <c r="A9" s="2384">
        <f>'数据-取费表'!AN9</f>
        <v>0</v>
      </c>
      <c r="B9" s="2382" t="e">
        <f ca="1">IF(F9="是",'数据-取费表'!AO9,0)</f>
        <v>#REF!</v>
      </c>
      <c r="C9" s="1729" t="s">
        <v>1648</v>
      </c>
      <c r="D9" s="2475"/>
      <c r="E9" s="2386">
        <f>IF(OR(A9=0,F9="否"),0,'数据-取费表'!K9+'数据-取费表'!S9)</f>
        <v>0</v>
      </c>
      <c r="F9" s="1732" t="s">
        <v>1654</v>
      </c>
      <c r="G9" s="459"/>
      <c r="H9" s="459"/>
      <c r="I9" s="459"/>
      <c r="J9" s="459"/>
      <c r="K9" s="459"/>
      <c r="L9" s="459"/>
      <c r="M9" s="459"/>
      <c r="N9" s="459"/>
      <c r="O9" s="459"/>
      <c r="P9" s="459"/>
      <c r="Q9" s="459"/>
      <c r="R9" s="459"/>
      <c r="S9" s="459"/>
    </row>
    <row r="10" spans="1:22">
      <c r="A10" s="2384">
        <f>'数据-取费表'!AN10</f>
        <v>0</v>
      </c>
      <c r="B10" s="2382" t="e">
        <f ca="1">IF(F10="是",'数据-取费表'!AO10,0)</f>
        <v>#REF!</v>
      </c>
      <c r="C10" s="1729" t="s">
        <v>1648</v>
      </c>
      <c r="D10" s="2475"/>
      <c r="E10" s="2386">
        <f>IF(OR(A10=0,F10="否"),0,'数据-取费表'!K10+'数据-取费表'!S10)</f>
        <v>0</v>
      </c>
      <c r="F10" s="1732" t="s">
        <v>1654</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9" t="s">
        <v>1648</v>
      </c>
      <c r="D11" s="2475"/>
      <c r="E11" s="2386">
        <f>IF(OR(A11=0,F11="否"),0,'数据-取费表'!K11+'数据-取费表'!S11)</f>
        <v>0</v>
      </c>
      <c r="F11" s="1732" t="s">
        <v>1654</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9" t="s">
        <v>1648</v>
      </c>
      <c r="D12" s="2475"/>
      <c r="E12" s="2386">
        <f>IF(OR(A12=0,F12="否"),0,'数据-取费表'!K12+'数据-取费表'!S12)</f>
        <v>0</v>
      </c>
      <c r="F12" s="1732" t="s">
        <v>1654</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3" t="s">
        <v>1648</v>
      </c>
      <c r="D13" s="2477"/>
      <c r="E13" s="2386">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1658</v>
      </c>
      <c r="C1" s="1155" t="s">
        <v>1659</v>
      </c>
      <c r="D1" s="1142"/>
      <c r="E1" s="3120"/>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1662</v>
      </c>
      <c r="D3" s="343">
        <f>IF(D1="",'数据-汇总表'!E3,SUMIF('数据-汇总表'!$C19:$C33,D1,'数据-汇总表'!$E19:$E33))</f>
        <v>9096.41</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5">
      <c r="A4" s="345" t="s">
        <v>1663</v>
      </c>
      <c r="B4" s="346"/>
      <c r="C4" s="3356" t="s">
        <v>1664</v>
      </c>
      <c r="D4" s="3357"/>
      <c r="E4" s="3358" t="s">
        <v>1665</v>
      </c>
      <c r="F4" s="3359"/>
      <c r="G4" s="3356" t="s">
        <v>1666</v>
      </c>
      <c r="H4" s="3357"/>
      <c r="I4" s="3356" t="s">
        <v>1667</v>
      </c>
      <c r="J4" s="3357"/>
      <c r="K4" s="1744" t="s">
        <v>1668</v>
      </c>
      <c r="L4" s="2482"/>
      <c r="M4" s="2483"/>
      <c r="N4" s="2483"/>
      <c r="O4" s="2483"/>
      <c r="P4" s="3360" t="s">
        <v>1669</v>
      </c>
      <c r="Q4" s="3361"/>
      <c r="R4" s="3366" t="s">
        <v>1665</v>
      </c>
      <c r="S4" s="3367"/>
      <c r="T4" s="3366" t="s">
        <v>1666</v>
      </c>
      <c r="U4" s="3367"/>
      <c r="V4" s="3344" t="s">
        <v>1667</v>
      </c>
      <c r="W4" s="3344"/>
      <c r="X4" s="1265"/>
      <c r="Y4" s="3366" t="s">
        <v>1669</v>
      </c>
      <c r="Z4" s="3367"/>
      <c r="AA4" s="3353" t="s">
        <v>1665</v>
      </c>
      <c r="AB4" s="3353" t="s">
        <v>1666</v>
      </c>
      <c r="AC4" s="3353" t="s">
        <v>1667</v>
      </c>
    </row>
    <row r="5" spans="1:29" ht="15">
      <c r="A5" s="348"/>
      <c r="B5" s="349"/>
      <c r="C5" s="3379" t="s">
        <v>1670</v>
      </c>
      <c r="D5" s="3375"/>
      <c r="E5" s="3440" t="s">
        <v>1671</v>
      </c>
      <c r="F5" s="3384"/>
      <c r="G5" s="3379" t="s">
        <v>1672</v>
      </c>
      <c r="H5" s="3375"/>
      <c r="I5" s="3379" t="s">
        <v>1673</v>
      </c>
      <c r="J5" s="3375"/>
      <c r="K5" s="1745"/>
      <c r="L5" s="2482"/>
      <c r="M5" s="2483"/>
      <c r="N5" s="2483"/>
      <c r="O5" s="2483"/>
      <c r="P5" s="3362"/>
      <c r="Q5" s="3363"/>
      <c r="R5" s="3368"/>
      <c r="S5" s="3369"/>
      <c r="T5" s="3368"/>
      <c r="U5" s="3369"/>
      <c r="V5" s="3344"/>
      <c r="W5" s="3344"/>
      <c r="X5" s="1265"/>
      <c r="Y5" s="3368"/>
      <c r="Z5" s="3369"/>
      <c r="AA5" s="3354"/>
      <c r="AB5" s="3354"/>
      <c r="AC5" s="3354"/>
    </row>
    <row r="6" spans="1:29" ht="15.75" thickBot="1">
      <c r="A6" s="350"/>
      <c r="B6" s="351"/>
      <c r="C6" s="3380" t="s">
        <v>1674</v>
      </c>
      <c r="D6" s="3373"/>
      <c r="E6" s="3439" t="s">
        <v>1674</v>
      </c>
      <c r="F6" s="3382"/>
      <c r="G6" s="3380" t="s">
        <v>1674</v>
      </c>
      <c r="H6" s="3373"/>
      <c r="I6" s="3380" t="s">
        <v>1674</v>
      </c>
      <c r="J6" s="3373"/>
      <c r="K6" s="1745" t="s">
        <v>1675</v>
      </c>
      <c r="L6" s="2482"/>
      <c r="M6" s="2483"/>
      <c r="N6" s="2483"/>
      <c r="O6" s="2483"/>
      <c r="P6" s="3364"/>
      <c r="Q6" s="3365"/>
      <c r="R6" s="3368"/>
      <c r="S6" s="3369"/>
      <c r="T6" s="3370"/>
      <c r="U6" s="3371"/>
      <c r="V6" s="3344"/>
      <c r="W6" s="3344"/>
      <c r="X6" s="1265"/>
      <c r="Y6" s="3370"/>
      <c r="Z6" s="3371"/>
      <c r="AA6" s="3355"/>
      <c r="AB6" s="3355"/>
      <c r="AC6" s="3355"/>
    </row>
    <row r="7" spans="1:29" s="102" customFormat="1" ht="15.75" thickBot="1">
      <c r="A7" s="352" t="s">
        <v>1676</v>
      </c>
      <c r="B7" s="353"/>
      <c r="C7" s="354">
        <f>'数据-取费表'!B2</f>
        <v>45355</v>
      </c>
      <c r="D7" s="355">
        <v>100</v>
      </c>
      <c r="E7" s="356"/>
      <c r="F7" s="357">
        <f>SUMIF(58:58,YEAR(E7)&amp;"-"&amp;MONTH(E7),59:59)</f>
        <v>0</v>
      </c>
      <c r="G7" s="356"/>
      <c r="H7" s="355">
        <f>SUMIF(58:58,YEAR(G7)&amp;"-"&amp;MONTH(G7),59:59)</f>
        <v>0</v>
      </c>
      <c r="I7" s="356"/>
      <c r="J7" s="355">
        <f>SUMIF(58:58,YEAR(I7)&amp;"-"&amp;MONTH(I7),59:59)</f>
        <v>0</v>
      </c>
      <c r="K7" s="1746"/>
      <c r="L7" s="2484"/>
      <c r="M7" s="2435"/>
      <c r="N7" s="2435"/>
      <c r="O7" s="2435"/>
      <c r="P7" s="3376" t="s">
        <v>1677</v>
      </c>
      <c r="Q7" s="3378"/>
      <c r="R7" s="664" t="s">
        <v>20</v>
      </c>
      <c r="S7" s="665">
        <f t="shared" ref="S7:S15" si="0">F7</f>
        <v>0</v>
      </c>
      <c r="T7" s="664" t="s">
        <v>20</v>
      </c>
      <c r="U7" s="665">
        <f t="shared" ref="U7:U15" si="1">H7</f>
        <v>0</v>
      </c>
      <c r="V7" s="664" t="s">
        <v>20</v>
      </c>
      <c r="W7" s="665">
        <f t="shared" ref="W7:W15" si="2">J7</f>
        <v>0</v>
      </c>
      <c r="X7" s="666"/>
      <c r="Y7" s="3376" t="s">
        <v>1677</v>
      </c>
      <c r="Z7" s="3377"/>
      <c r="AA7" s="50" t="e">
        <f>D7/F7</f>
        <v>#DIV/0!</v>
      </c>
      <c r="AB7" s="50" t="e">
        <f>D7/H7</f>
        <v>#DIV/0!</v>
      </c>
      <c r="AC7" s="50" t="e">
        <f>D7/J7</f>
        <v>#DIV/0!</v>
      </c>
    </row>
    <row r="8" spans="1:29" s="102" customFormat="1" ht="15.7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4"/>
      <c r="M8" s="2435"/>
      <c r="N8" s="2435"/>
      <c r="O8" s="2435"/>
      <c r="P8" s="3376" t="s">
        <v>1680</v>
      </c>
      <c r="Q8" s="3377"/>
      <c r="R8" s="664" t="s">
        <v>20</v>
      </c>
      <c r="S8" s="665">
        <f t="shared" si="0"/>
        <v>100</v>
      </c>
      <c r="T8" s="664" t="s">
        <v>20</v>
      </c>
      <c r="U8" s="665">
        <f t="shared" si="1"/>
        <v>100</v>
      </c>
      <c r="V8" s="664" t="s">
        <v>20</v>
      </c>
      <c r="W8" s="665">
        <f t="shared" si="2"/>
        <v>100</v>
      </c>
      <c r="X8" s="666"/>
      <c r="Y8" s="3376" t="s">
        <v>1680</v>
      </c>
      <c r="Z8" s="3377"/>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4"/>
      <c r="M9" s="2435"/>
      <c r="N9" s="2435"/>
      <c r="O9" s="2435"/>
      <c r="P9" s="3438" t="s">
        <v>1683</v>
      </c>
      <c r="Q9" s="530" t="str">
        <f t="shared" ref="Q9:Q15" si="6">B9</f>
        <v>用途</v>
      </c>
      <c r="R9" s="664" t="s">
        <v>14</v>
      </c>
      <c r="S9" s="665">
        <f t="shared" si="0"/>
        <v>100</v>
      </c>
      <c r="T9" s="664" t="s">
        <v>14</v>
      </c>
      <c r="U9" s="665">
        <f t="shared" si="1"/>
        <v>100</v>
      </c>
      <c r="V9" s="664" t="s">
        <v>14</v>
      </c>
      <c r="W9" s="665">
        <f t="shared" si="2"/>
        <v>100</v>
      </c>
      <c r="X9" s="666"/>
      <c r="Y9" s="3250" t="s">
        <v>1684</v>
      </c>
      <c r="Z9" s="50" t="str">
        <f t="shared" ref="Z9:Z15" si="7">Q9</f>
        <v>用途</v>
      </c>
      <c r="AA9" s="50">
        <f t="shared" si="3"/>
        <v>1</v>
      </c>
      <c r="AB9" s="50">
        <f t="shared" si="4"/>
        <v>1</v>
      </c>
      <c r="AC9" s="50">
        <f t="shared" si="5"/>
        <v>1</v>
      </c>
    </row>
    <row r="10" spans="1:29" s="366" customFormat="1" ht="27">
      <c r="A10" s="363"/>
      <c r="B10" s="364" t="s">
        <v>1685</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438"/>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38"/>
      <c r="Q11" s="530" t="str">
        <f t="shared" si="6"/>
        <v>容积率</v>
      </c>
      <c r="R11" s="664" t="s">
        <v>18</v>
      </c>
      <c r="S11" s="665" t="e">
        <f t="shared" si="0"/>
        <v>#N/A</v>
      </c>
      <c r="T11" s="664" t="s">
        <v>18</v>
      </c>
      <c r="U11" s="665" t="e">
        <f t="shared" si="1"/>
        <v>#N/A</v>
      </c>
      <c r="V11" s="664" t="s">
        <v>18</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5"/>
      <c r="N12" s="2435"/>
      <c r="O12" s="2435"/>
      <c r="P12" s="3438"/>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438"/>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438"/>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15">
      <c r="A15" s="379" t="s">
        <v>1687</v>
      </c>
      <c r="B15" s="58" t="s">
        <v>1254</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36" t="s">
        <v>1688</v>
      </c>
      <c r="Q15" s="1263" t="str">
        <f t="shared" si="6"/>
        <v>居住社区成熟度</v>
      </c>
      <c r="R15" s="667" t="s">
        <v>18</v>
      </c>
      <c r="S15" s="668">
        <f t="shared" si="0"/>
        <v>100</v>
      </c>
      <c r="T15" s="667" t="s">
        <v>18</v>
      </c>
      <c r="U15" s="668">
        <f t="shared" si="1"/>
        <v>100</v>
      </c>
      <c r="V15" s="667" t="s">
        <v>18</v>
      </c>
      <c r="W15" s="668">
        <f t="shared" si="2"/>
        <v>100</v>
      </c>
      <c r="X15" s="1265"/>
      <c r="Y15" s="3348" t="s">
        <v>1688</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437"/>
      <c r="Q16" s="1263"/>
      <c r="R16" s="667"/>
      <c r="S16" s="668"/>
      <c r="T16" s="667"/>
      <c r="U16" s="668"/>
      <c r="V16" s="667"/>
      <c r="W16" s="668"/>
      <c r="X16" s="1265"/>
      <c r="Y16" s="3349"/>
      <c r="Z16" s="1264"/>
      <c r="AA16" s="1264">
        <v>1</v>
      </c>
      <c r="AB16" s="1264">
        <v>1</v>
      </c>
      <c r="AC16" s="1264">
        <v>1</v>
      </c>
    </row>
    <row r="17" spans="1:29" ht="15">
      <c r="A17" s="367"/>
      <c r="B17" s="390" t="s">
        <v>1256</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37"/>
      <c r="Q17" s="1263" t="str">
        <f>B17</f>
        <v>交通便捷度</v>
      </c>
      <c r="R17" s="667" t="s">
        <v>18</v>
      </c>
      <c r="S17" s="668">
        <f>F17</f>
        <v>100</v>
      </c>
      <c r="T17" s="667" t="s">
        <v>18</v>
      </c>
      <c r="U17" s="668">
        <f>H17</f>
        <v>100</v>
      </c>
      <c r="V17" s="667" t="s">
        <v>18</v>
      </c>
      <c r="W17" s="668">
        <f>J17</f>
        <v>100</v>
      </c>
      <c r="X17" s="1265"/>
      <c r="Y17" s="334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437"/>
      <c r="Q18" s="1263"/>
      <c r="R18" s="667"/>
      <c r="S18" s="668"/>
      <c r="T18" s="667"/>
      <c r="U18" s="668"/>
      <c r="V18" s="667"/>
      <c r="W18" s="668"/>
      <c r="X18" s="1265"/>
      <c r="Y18" s="3349"/>
      <c r="Z18" s="1264"/>
      <c r="AA18" s="1264">
        <v>1</v>
      </c>
      <c r="AB18" s="1264">
        <v>1</v>
      </c>
      <c r="AC18" s="1264">
        <v>1</v>
      </c>
    </row>
    <row r="19" spans="1:29" ht="15">
      <c r="A19" s="367"/>
      <c r="B19" s="390" t="s">
        <v>1255</v>
      </c>
      <c r="C19" s="1754" t="str">
        <f>估价对象房地状况!C7</f>
        <v>一般</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37"/>
      <c r="Q19" s="1263" t="str">
        <f>B19</f>
        <v>公共配套设施</v>
      </c>
      <c r="R19" s="667" t="s">
        <v>18</v>
      </c>
      <c r="S19" s="668">
        <f>F19</f>
        <v>100</v>
      </c>
      <c r="T19" s="667" t="s">
        <v>18</v>
      </c>
      <c r="U19" s="668">
        <f>H19</f>
        <v>100</v>
      </c>
      <c r="V19" s="667" t="s">
        <v>18</v>
      </c>
      <c r="W19" s="668">
        <f>J19</f>
        <v>100</v>
      </c>
      <c r="X19" s="1265"/>
      <c r="Y19" s="334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437"/>
      <c r="Q20" s="1263"/>
      <c r="R20" s="667"/>
      <c r="S20" s="668"/>
      <c r="T20" s="667"/>
      <c r="U20" s="668"/>
      <c r="V20" s="667"/>
      <c r="W20" s="668"/>
      <c r="X20" s="1265"/>
      <c r="Y20" s="3349"/>
      <c r="Z20" s="1264"/>
      <c r="AA20" s="1264">
        <v>1</v>
      </c>
      <c r="AB20" s="1264">
        <v>1</v>
      </c>
      <c r="AC20" s="1264">
        <v>1</v>
      </c>
    </row>
    <row r="21" spans="1:29" ht="15">
      <c r="A21" s="367"/>
      <c r="B21" s="586" t="s">
        <v>1257</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37"/>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437"/>
      <c r="Q22" s="1263"/>
      <c r="R22" s="667"/>
      <c r="S22" s="668"/>
      <c r="T22" s="667"/>
      <c r="U22" s="668"/>
      <c r="V22" s="667"/>
      <c r="W22" s="668"/>
      <c r="X22" s="1265"/>
      <c r="Y22" s="3349"/>
      <c r="Z22" s="1264"/>
      <c r="AA22" s="1264">
        <v>1</v>
      </c>
      <c r="AB22" s="1264">
        <v>1</v>
      </c>
      <c r="AC22" s="1264">
        <v>1</v>
      </c>
    </row>
    <row r="23" spans="1:29" ht="15">
      <c r="A23" s="367"/>
      <c r="B23" s="390" t="s">
        <v>1258</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37"/>
      <c r="Q23" s="1263" t="str">
        <f>B23</f>
        <v>自然及人文环境</v>
      </c>
      <c r="R23" s="667" t="s">
        <v>18</v>
      </c>
      <c r="S23" s="668">
        <f>F23</f>
        <v>100</v>
      </c>
      <c r="T23" s="667" t="s">
        <v>18</v>
      </c>
      <c r="U23" s="668">
        <f>H23</f>
        <v>100</v>
      </c>
      <c r="V23" s="667" t="s">
        <v>18</v>
      </c>
      <c r="W23" s="668">
        <f>J23</f>
        <v>100</v>
      </c>
      <c r="X23" s="1265"/>
      <c r="Y23" s="334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437"/>
      <c r="Q24" s="1263"/>
      <c r="R24" s="667"/>
      <c r="S24" s="668"/>
      <c r="T24" s="667"/>
      <c r="U24" s="668"/>
      <c r="V24" s="667"/>
      <c r="W24" s="668"/>
      <c r="X24" s="1265"/>
      <c r="Y24" s="3349"/>
      <c r="Z24" s="1264"/>
      <c r="AA24" s="1264">
        <v>1</v>
      </c>
      <c r="AB24" s="1264">
        <v>1</v>
      </c>
      <c r="AC24" s="1264">
        <v>1</v>
      </c>
    </row>
    <row r="25" spans="1:29" ht="1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4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9"/>
      <c r="Z25" s="1264" t="str">
        <f>Q25</f>
        <v>楼层-1</v>
      </c>
      <c r="AA25" s="1264">
        <f t="shared" ref="AA25:AA46" si="15">D25/F25</f>
        <v>1</v>
      </c>
      <c r="AB25" s="1264">
        <f t="shared" ref="AB25:AB46" si="16">D25/H25</f>
        <v>1</v>
      </c>
      <c r="AC25" s="1264">
        <f t="shared" ref="AC25:AC46" si="17">D25/J25</f>
        <v>1</v>
      </c>
    </row>
    <row r="26" spans="1:29" ht="1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437"/>
      <c r="Q26" s="1263" t="str">
        <f t="shared" si="11"/>
        <v>朝向</v>
      </c>
      <c r="R26" s="667" t="s">
        <v>18</v>
      </c>
      <c r="S26" s="668">
        <f t="shared" si="12"/>
        <v>100</v>
      </c>
      <c r="T26" s="667" t="s">
        <v>18</v>
      </c>
      <c r="U26" s="668">
        <f t="shared" si="13"/>
        <v>100</v>
      </c>
      <c r="V26" s="667" t="s">
        <v>18</v>
      </c>
      <c r="W26" s="668">
        <f t="shared" si="14"/>
        <v>100</v>
      </c>
      <c r="X26" s="1265"/>
      <c r="Y26" s="334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5"/>
      <c r="N27" s="2435"/>
      <c r="O27" s="2435"/>
      <c r="P27" s="3437"/>
      <c r="Q27" s="530">
        <f t="shared" si="11"/>
        <v>111</v>
      </c>
      <c r="R27" s="664" t="s">
        <v>18</v>
      </c>
      <c r="S27" s="665">
        <f t="shared" si="12"/>
        <v>100</v>
      </c>
      <c r="T27" s="664" t="s">
        <v>18</v>
      </c>
      <c r="U27" s="665">
        <f t="shared" si="13"/>
        <v>100</v>
      </c>
      <c r="V27" s="664" t="s">
        <v>18</v>
      </c>
      <c r="W27" s="665">
        <f t="shared" si="14"/>
        <v>100</v>
      </c>
      <c r="X27" s="666"/>
      <c r="Y27" s="334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437"/>
      <c r="Q28" s="1263">
        <f t="shared" si="11"/>
        <v>111</v>
      </c>
      <c r="R28" s="667" t="s">
        <v>18</v>
      </c>
      <c r="S28" s="668">
        <f t="shared" si="12"/>
        <v>100</v>
      </c>
      <c r="T28" s="667" t="s">
        <v>18</v>
      </c>
      <c r="U28" s="668">
        <f t="shared" si="13"/>
        <v>100</v>
      </c>
      <c r="V28" s="667" t="s">
        <v>18</v>
      </c>
      <c r="W28" s="668">
        <f t="shared" si="14"/>
        <v>100</v>
      </c>
      <c r="X28" s="1265"/>
      <c r="Y28" s="334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437"/>
      <c r="Q29" s="1263">
        <f t="shared" si="11"/>
        <v>111</v>
      </c>
      <c r="R29" s="667" t="s">
        <v>18</v>
      </c>
      <c r="S29" s="668">
        <f t="shared" si="12"/>
        <v>100</v>
      </c>
      <c r="T29" s="667" t="s">
        <v>18</v>
      </c>
      <c r="U29" s="668">
        <f t="shared" si="13"/>
        <v>100</v>
      </c>
      <c r="V29" s="667" t="s">
        <v>18</v>
      </c>
      <c r="W29" s="668">
        <f t="shared" si="14"/>
        <v>100</v>
      </c>
      <c r="X29" s="1265"/>
      <c r="Y29" s="334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437"/>
      <c r="Q30" s="1263">
        <f t="shared" si="11"/>
        <v>111</v>
      </c>
      <c r="R30" s="667" t="s">
        <v>18</v>
      </c>
      <c r="S30" s="668">
        <f t="shared" si="12"/>
        <v>100</v>
      </c>
      <c r="T30" s="667" t="s">
        <v>18</v>
      </c>
      <c r="U30" s="668">
        <f t="shared" si="13"/>
        <v>100</v>
      </c>
      <c r="V30" s="667" t="s">
        <v>18</v>
      </c>
      <c r="W30" s="668">
        <f t="shared" si="14"/>
        <v>100</v>
      </c>
      <c r="X30" s="1265"/>
      <c r="Y30" s="334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437"/>
      <c r="Q31" s="1263">
        <f t="shared" si="11"/>
        <v>111</v>
      </c>
      <c r="R31" s="667" t="s">
        <v>18</v>
      </c>
      <c r="S31" s="668">
        <f t="shared" si="12"/>
        <v>100</v>
      </c>
      <c r="T31" s="667" t="s">
        <v>18</v>
      </c>
      <c r="U31" s="668">
        <f t="shared" si="13"/>
        <v>100</v>
      </c>
      <c r="V31" s="667" t="s">
        <v>18</v>
      </c>
      <c r="W31" s="668">
        <f t="shared" si="14"/>
        <v>100</v>
      </c>
      <c r="X31" s="1265"/>
      <c r="Y31" s="3349"/>
      <c r="Z31" s="1264">
        <f t="shared" si="18"/>
        <v>111</v>
      </c>
      <c r="AA31" s="1264">
        <f t="shared" si="15"/>
        <v>1</v>
      </c>
      <c r="AB31" s="1264">
        <f t="shared" si="16"/>
        <v>1</v>
      </c>
      <c r="AC31" s="1264">
        <f t="shared" si="17"/>
        <v>1</v>
      </c>
    </row>
    <row r="32" spans="1:29" ht="1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433" t="s">
        <v>1693</v>
      </c>
      <c r="Q32" s="1263" t="str">
        <f t="shared" si="11"/>
        <v>建筑类型</v>
      </c>
      <c r="R32" s="667" t="s">
        <v>18</v>
      </c>
      <c r="S32" s="668">
        <f t="shared" si="12"/>
        <v>100</v>
      </c>
      <c r="T32" s="667" t="s">
        <v>18</v>
      </c>
      <c r="U32" s="668">
        <f t="shared" si="13"/>
        <v>100</v>
      </c>
      <c r="V32" s="667" t="s">
        <v>18</v>
      </c>
      <c r="W32" s="668">
        <f t="shared" si="14"/>
        <v>100</v>
      </c>
      <c r="X32" s="1265"/>
      <c r="Y32" s="3351" t="s">
        <v>1693</v>
      </c>
      <c r="Z32" s="1264" t="str">
        <f t="shared" si="18"/>
        <v>建筑类型</v>
      </c>
      <c r="AA32" s="1264">
        <f t="shared" si="15"/>
        <v>1</v>
      </c>
      <c r="AB32" s="1264">
        <f t="shared" si="16"/>
        <v>1</v>
      </c>
      <c r="AC32" s="1264">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434"/>
      <c r="Q33" s="531" t="str">
        <f t="shared" si="11"/>
        <v>项目建筑规模</v>
      </c>
      <c r="R33" s="669" t="s">
        <v>18</v>
      </c>
      <c r="S33" s="670" t="e">
        <f t="shared" si="12"/>
        <v>#N/A</v>
      </c>
      <c r="T33" s="669" t="s">
        <v>18</v>
      </c>
      <c r="U33" s="670" t="e">
        <f t="shared" si="13"/>
        <v>#N/A</v>
      </c>
      <c r="V33" s="669" t="s">
        <v>18</v>
      </c>
      <c r="W33" s="670" t="e">
        <f t="shared" si="14"/>
        <v>#N/A</v>
      </c>
      <c r="X33" s="671"/>
      <c r="Y33" s="3351"/>
      <c r="Z33" s="672" t="str">
        <f t="shared" si="18"/>
        <v>项目建筑规模</v>
      </c>
      <c r="AA33" s="1264" t="e">
        <f t="shared" si="15"/>
        <v>#N/A</v>
      </c>
      <c r="AB33" s="1264" t="e">
        <f t="shared" si="16"/>
        <v>#N/A</v>
      </c>
      <c r="AC33" s="1264" t="e">
        <f t="shared" si="17"/>
        <v>#N/A</v>
      </c>
    </row>
    <row r="34" spans="1:29" ht="1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434"/>
      <c r="Q34" s="1263" t="str">
        <f t="shared" si="11"/>
        <v>建筑结构</v>
      </c>
      <c r="R34" s="667" t="s">
        <v>18</v>
      </c>
      <c r="S34" s="668">
        <f t="shared" si="12"/>
        <v>100</v>
      </c>
      <c r="T34" s="667" t="s">
        <v>18</v>
      </c>
      <c r="U34" s="668">
        <f t="shared" si="13"/>
        <v>100</v>
      </c>
      <c r="V34" s="667" t="s">
        <v>18</v>
      </c>
      <c r="W34" s="668">
        <f t="shared" si="14"/>
        <v>100</v>
      </c>
      <c r="X34" s="1265"/>
      <c r="Y34" s="3351"/>
      <c r="Z34" s="1264" t="str">
        <f t="shared" si="18"/>
        <v>建筑结构</v>
      </c>
      <c r="AA34" s="1264">
        <f t="shared" si="15"/>
        <v>1</v>
      </c>
      <c r="AB34" s="1264">
        <f t="shared" si="16"/>
        <v>1</v>
      </c>
      <c r="AC34" s="1264">
        <f t="shared" si="17"/>
        <v>1</v>
      </c>
    </row>
    <row r="35" spans="1:29" ht="1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434"/>
      <c r="Q35" s="1263" t="str">
        <f t="shared" si="11"/>
        <v>建筑品质</v>
      </c>
      <c r="R35" s="667" t="s">
        <v>18</v>
      </c>
      <c r="S35" s="668">
        <f t="shared" si="12"/>
        <v>100</v>
      </c>
      <c r="T35" s="667" t="s">
        <v>18</v>
      </c>
      <c r="U35" s="668">
        <f t="shared" si="13"/>
        <v>100</v>
      </c>
      <c r="V35" s="667" t="s">
        <v>18</v>
      </c>
      <c r="W35" s="668">
        <f t="shared" si="14"/>
        <v>100</v>
      </c>
      <c r="X35" s="1265"/>
      <c r="Y35" s="3351"/>
      <c r="Z35" s="1264" t="str">
        <f t="shared" si="18"/>
        <v>建筑品质</v>
      </c>
      <c r="AA35" s="1264">
        <f t="shared" si="15"/>
        <v>1</v>
      </c>
      <c r="AB35" s="1264">
        <f t="shared" si="16"/>
        <v>1</v>
      </c>
      <c r="AC35" s="1264">
        <f t="shared" si="17"/>
        <v>1</v>
      </c>
    </row>
    <row r="36" spans="1:29" ht="1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434"/>
      <c r="Q36" s="1263" t="str">
        <f t="shared" si="11"/>
        <v>公共部分装修</v>
      </c>
      <c r="R36" s="667" t="s">
        <v>18</v>
      </c>
      <c r="S36" s="668">
        <f t="shared" si="12"/>
        <v>100</v>
      </c>
      <c r="T36" s="667" t="s">
        <v>18</v>
      </c>
      <c r="U36" s="668">
        <f t="shared" si="13"/>
        <v>100</v>
      </c>
      <c r="V36" s="667" t="s">
        <v>18</v>
      </c>
      <c r="W36" s="668">
        <f t="shared" si="14"/>
        <v>100</v>
      </c>
      <c r="X36" s="1265"/>
      <c r="Y36" s="3351"/>
      <c r="Z36" s="1264" t="str">
        <f t="shared" si="18"/>
        <v>公共部分装修</v>
      </c>
      <c r="AA36" s="1264">
        <f t="shared" si="15"/>
        <v>1</v>
      </c>
      <c r="AB36" s="1264">
        <f t="shared" si="16"/>
        <v>1</v>
      </c>
      <c r="AC36" s="1264">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34"/>
      <c r="Q37" s="530" t="str">
        <f t="shared" si="11"/>
        <v>成新度</v>
      </c>
      <c r="R37" s="664" t="s">
        <v>18</v>
      </c>
      <c r="S37" s="665" t="e">
        <f t="shared" si="12"/>
        <v>#N/A</v>
      </c>
      <c r="T37" s="664" t="s">
        <v>18</v>
      </c>
      <c r="U37" s="665" t="e">
        <f t="shared" si="13"/>
        <v>#N/A</v>
      </c>
      <c r="V37" s="664" t="s">
        <v>18</v>
      </c>
      <c r="W37" s="665" t="e">
        <f t="shared" si="14"/>
        <v>#N/A</v>
      </c>
      <c r="X37" s="666"/>
      <c r="Y37" s="3351"/>
      <c r="Z37" s="50" t="str">
        <f t="shared" si="18"/>
        <v>成新度</v>
      </c>
      <c r="AA37" s="50" t="e">
        <f t="shared" si="15"/>
        <v>#N/A</v>
      </c>
      <c r="AB37" s="50" t="e">
        <f t="shared" si="16"/>
        <v>#N/A</v>
      </c>
      <c r="AC37" s="50" t="e">
        <f t="shared" si="17"/>
        <v>#N/A</v>
      </c>
    </row>
    <row r="38" spans="1:29" ht="1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434" t="s">
        <v>1693</v>
      </c>
      <c r="Q38" s="1263" t="str">
        <f t="shared" si="11"/>
        <v>物业管理</v>
      </c>
      <c r="R38" s="667" t="s">
        <v>18</v>
      </c>
      <c r="S38" s="668">
        <f t="shared" si="12"/>
        <v>100</v>
      </c>
      <c r="T38" s="667" t="s">
        <v>18</v>
      </c>
      <c r="U38" s="668">
        <f t="shared" si="13"/>
        <v>100</v>
      </c>
      <c r="V38" s="667" t="s">
        <v>18</v>
      </c>
      <c r="W38" s="668">
        <f t="shared" si="14"/>
        <v>100</v>
      </c>
      <c r="X38" s="1265"/>
      <c r="Y38" s="3351" t="s">
        <v>1693</v>
      </c>
      <c r="Z38" s="1264" t="str">
        <f t="shared" si="18"/>
        <v>物业管理</v>
      </c>
      <c r="AA38" s="1264">
        <f t="shared" si="15"/>
        <v>1</v>
      </c>
      <c r="AB38" s="1264">
        <f t="shared" si="16"/>
        <v>1</v>
      </c>
      <c r="AC38" s="1264">
        <f t="shared" si="17"/>
        <v>1</v>
      </c>
    </row>
    <row r="39" spans="1:29" ht="1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434"/>
      <c r="Q39" s="1263" t="str">
        <f t="shared" si="11"/>
        <v>市政基础设施</v>
      </c>
      <c r="R39" s="667" t="s">
        <v>18</v>
      </c>
      <c r="S39" s="668">
        <f t="shared" si="12"/>
        <v>100</v>
      </c>
      <c r="T39" s="667" t="s">
        <v>18</v>
      </c>
      <c r="U39" s="668">
        <f t="shared" si="13"/>
        <v>100</v>
      </c>
      <c r="V39" s="667" t="s">
        <v>18</v>
      </c>
      <c r="W39" s="668">
        <f t="shared" si="14"/>
        <v>100</v>
      </c>
      <c r="X39" s="1265"/>
      <c r="Y39" s="3351"/>
      <c r="Z39" s="1264" t="str">
        <f t="shared" si="18"/>
        <v>市政基础设施</v>
      </c>
      <c r="AA39" s="1264">
        <f t="shared" si="15"/>
        <v>1</v>
      </c>
      <c r="AB39" s="1264">
        <f t="shared" si="16"/>
        <v>1</v>
      </c>
      <c r="AC39" s="1264">
        <f t="shared" si="17"/>
        <v>1</v>
      </c>
    </row>
    <row r="40" spans="1:29" ht="1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434"/>
      <c r="Q40" s="1263" t="str">
        <f t="shared" si="11"/>
        <v>房型</v>
      </c>
      <c r="R40" s="667" t="s">
        <v>18</v>
      </c>
      <c r="S40" s="668">
        <f t="shared" si="12"/>
        <v>100</v>
      </c>
      <c r="T40" s="667" t="s">
        <v>18</v>
      </c>
      <c r="U40" s="668">
        <f t="shared" si="13"/>
        <v>100</v>
      </c>
      <c r="V40" s="667" t="s">
        <v>18</v>
      </c>
      <c r="W40" s="668">
        <f t="shared" si="14"/>
        <v>100</v>
      </c>
      <c r="X40" s="1265"/>
      <c r="Y40" s="3351"/>
      <c r="Z40" s="1264" t="str">
        <f t="shared" si="18"/>
        <v>房型</v>
      </c>
      <c r="AA40" s="1264">
        <f t="shared" si="15"/>
        <v>1</v>
      </c>
      <c r="AB40" s="1264">
        <f t="shared" si="16"/>
        <v>1</v>
      </c>
      <c r="AC40" s="1264">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434"/>
      <c r="Q41" s="531" t="str">
        <f t="shared" si="11"/>
        <v>单套/主力户型建筑面积</v>
      </c>
      <c r="R41" s="669" t="s">
        <v>18</v>
      </c>
      <c r="S41" s="670">
        <f t="shared" si="12"/>
        <v>100</v>
      </c>
      <c r="T41" s="669" t="s">
        <v>18</v>
      </c>
      <c r="U41" s="670">
        <f t="shared" si="13"/>
        <v>100</v>
      </c>
      <c r="V41" s="669" t="s">
        <v>18</v>
      </c>
      <c r="W41" s="670">
        <f t="shared" si="14"/>
        <v>100</v>
      </c>
      <c r="X41" s="671"/>
      <c r="Y41" s="3351"/>
      <c r="Z41" s="672" t="str">
        <f t="shared" si="18"/>
        <v>单套/主力户型建筑面积</v>
      </c>
      <c r="AA41" s="1264">
        <f t="shared" si="15"/>
        <v>1</v>
      </c>
      <c r="AB41" s="1264">
        <f t="shared" si="16"/>
        <v>1</v>
      </c>
      <c r="AC41" s="1264">
        <f t="shared" si="17"/>
        <v>1</v>
      </c>
    </row>
    <row r="42" spans="1:29" ht="1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434"/>
      <c r="Q42" s="1263" t="str">
        <f t="shared" si="11"/>
        <v>内部装修</v>
      </c>
      <c r="R42" s="667" t="s">
        <v>18</v>
      </c>
      <c r="S42" s="668">
        <f t="shared" si="12"/>
        <v>100</v>
      </c>
      <c r="T42" s="667" t="s">
        <v>18</v>
      </c>
      <c r="U42" s="668">
        <f t="shared" si="13"/>
        <v>100</v>
      </c>
      <c r="V42" s="667" t="s">
        <v>18</v>
      </c>
      <c r="W42" s="668">
        <f t="shared" si="14"/>
        <v>100</v>
      </c>
      <c r="X42" s="1265"/>
      <c r="Y42" s="3351"/>
      <c r="Z42" s="1264" t="str">
        <f t="shared" si="18"/>
        <v>内部装修</v>
      </c>
      <c r="AA42" s="1264">
        <f t="shared" si="15"/>
        <v>1</v>
      </c>
      <c r="AB42" s="1264">
        <f t="shared" si="16"/>
        <v>1</v>
      </c>
      <c r="AC42" s="1264">
        <f t="shared" si="17"/>
        <v>1</v>
      </c>
    </row>
    <row r="43" spans="1:29" ht="15">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434"/>
      <c r="Q43" s="1263" t="str">
        <f t="shared" si="11"/>
        <v>内部装修维护情况</v>
      </c>
      <c r="R43" s="667" t="s">
        <v>18</v>
      </c>
      <c r="S43" s="668">
        <f t="shared" si="12"/>
        <v>100</v>
      </c>
      <c r="T43" s="667" t="s">
        <v>18</v>
      </c>
      <c r="U43" s="668">
        <f t="shared" si="13"/>
        <v>100</v>
      </c>
      <c r="V43" s="667" t="s">
        <v>18</v>
      </c>
      <c r="W43" s="668">
        <f t="shared" si="14"/>
        <v>100</v>
      </c>
      <c r="X43" s="1265"/>
      <c r="Y43" s="335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5"/>
      <c r="N44" s="2435"/>
      <c r="O44" s="2435"/>
      <c r="P44" s="3434"/>
      <c r="Q44" s="530">
        <f t="shared" si="11"/>
        <v>111</v>
      </c>
      <c r="R44" s="664" t="s">
        <v>18</v>
      </c>
      <c r="S44" s="665">
        <f t="shared" si="12"/>
        <v>100</v>
      </c>
      <c r="T44" s="664" t="s">
        <v>18</v>
      </c>
      <c r="U44" s="665">
        <f t="shared" si="13"/>
        <v>100</v>
      </c>
      <c r="V44" s="664" t="s">
        <v>18</v>
      </c>
      <c r="W44" s="665">
        <f t="shared" si="14"/>
        <v>100</v>
      </c>
      <c r="X44" s="666"/>
      <c r="Y44" s="335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434"/>
      <c r="Q45" s="1263">
        <f t="shared" si="11"/>
        <v>111</v>
      </c>
      <c r="R45" s="667" t="s">
        <v>18</v>
      </c>
      <c r="S45" s="668">
        <f t="shared" si="12"/>
        <v>100</v>
      </c>
      <c r="T45" s="667" t="s">
        <v>18</v>
      </c>
      <c r="U45" s="668">
        <f t="shared" si="13"/>
        <v>100</v>
      </c>
      <c r="V45" s="667" t="s">
        <v>18</v>
      </c>
      <c r="W45" s="668">
        <f t="shared" si="14"/>
        <v>100</v>
      </c>
      <c r="X45" s="1265"/>
      <c r="Y45" s="335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435"/>
      <c r="Q46" s="1263">
        <f t="shared" si="11"/>
        <v>111</v>
      </c>
      <c r="R46" s="667" t="s">
        <v>17</v>
      </c>
      <c r="S46" s="668">
        <f t="shared" si="12"/>
        <v>100</v>
      </c>
      <c r="T46" s="667" t="s">
        <v>17</v>
      </c>
      <c r="U46" s="668">
        <f t="shared" si="13"/>
        <v>100</v>
      </c>
      <c r="V46" s="667" t="s">
        <v>17</v>
      </c>
      <c r="W46" s="668">
        <f t="shared" si="14"/>
        <v>100</v>
      </c>
      <c r="X46" s="1265"/>
      <c r="Y46" s="3352"/>
      <c r="Z46" s="1264">
        <f t="shared" si="18"/>
        <v>111</v>
      </c>
      <c r="AA46" s="1264">
        <f t="shared" si="15"/>
        <v>1</v>
      </c>
      <c r="AB46" s="1264">
        <f t="shared" si="16"/>
        <v>1</v>
      </c>
      <c r="AC46" s="1264">
        <f t="shared" si="17"/>
        <v>1</v>
      </c>
    </row>
    <row r="47" spans="1:29" ht="15">
      <c r="A47" s="416" t="s">
        <v>1705</v>
      </c>
      <c r="B47" s="417"/>
      <c r="C47" s="1081" t="s">
        <v>16</v>
      </c>
      <c r="D47" s="418"/>
      <c r="E47" s="419"/>
      <c r="F47" s="420"/>
      <c r="G47" s="421"/>
      <c r="H47" s="422"/>
      <c r="I47" s="419"/>
      <c r="J47" s="422"/>
      <c r="K47" s="1767"/>
      <c r="L47" s="2490"/>
      <c r="M47" s="2483"/>
      <c r="N47" s="2483"/>
      <c r="O47" s="2483"/>
      <c r="P47" s="3343" t="str">
        <f>A47</f>
        <v>成交单价（元/平方米）</v>
      </c>
      <c r="Q47" s="3343"/>
      <c r="R47" s="3344">
        <f>E47</f>
        <v>0</v>
      </c>
      <c r="S47" s="3344"/>
      <c r="T47" s="3344">
        <f>G47</f>
        <v>0</v>
      </c>
      <c r="U47" s="3344"/>
      <c r="V47" s="3344">
        <f>I47</f>
        <v>0</v>
      </c>
      <c r="W47" s="3344"/>
      <c r="X47" s="385"/>
      <c r="Y47" s="673"/>
      <c r="Z47" s="385"/>
      <c r="AA47" s="385"/>
      <c r="AB47" s="385"/>
      <c r="AC47" s="385"/>
    </row>
    <row r="48" spans="1:29" ht="15.75" thickBot="1">
      <c r="A48" s="423" t="s">
        <v>1706</v>
      </c>
      <c r="B48" s="424"/>
      <c r="C48" s="1082" t="e">
        <f>R49</f>
        <v>#DIV/0!</v>
      </c>
      <c r="D48" s="2141" t="s">
        <v>2135</v>
      </c>
      <c r="E48" s="1083" t="e">
        <f>R48</f>
        <v>#DIV/0!</v>
      </c>
      <c r="F48" s="2142"/>
      <c r="G48" s="1082" t="e">
        <f>T48</f>
        <v>#DIV/0!</v>
      </c>
      <c r="H48" s="2142"/>
      <c r="I48" s="1083" t="e">
        <f>V48</f>
        <v>#DIV/0!</v>
      </c>
      <c r="J48" s="2142"/>
      <c r="K48" s="2143">
        <f>F48+H48+J48</f>
        <v>0</v>
      </c>
      <c r="L48" s="2490"/>
      <c r="M48" s="2483"/>
      <c r="N48" s="2483"/>
      <c r="O48" s="2483"/>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385"/>
      <c r="Y48" s="385"/>
      <c r="Z48" s="385"/>
      <c r="AA48" s="385"/>
      <c r="AB48" s="385"/>
      <c r="AC48" s="385"/>
    </row>
    <row r="49" spans="1:29" ht="15.75" thickBot="1">
      <c r="A49" s="427" t="s">
        <v>1707</v>
      </c>
      <c r="B49" s="428"/>
      <c r="C49" s="1084" t="e">
        <f>R49</f>
        <v>#DIV/0!</v>
      </c>
      <c r="D49" s="351"/>
      <c r="E49" s="351"/>
      <c r="F49" s="351"/>
      <c r="G49" s="351"/>
      <c r="H49" s="351"/>
      <c r="I49" s="351"/>
      <c r="J49" s="351"/>
      <c r="K49" s="1768"/>
      <c r="L49" s="2490"/>
      <c r="M49" s="2483"/>
      <c r="N49" s="2483"/>
      <c r="O49" s="2483"/>
      <c r="P49" s="3345" t="str">
        <f>A49</f>
        <v>估价对象XX用房的比较价值（楼面单价，元/平方米）</v>
      </c>
      <c r="Q49" s="3346"/>
      <c r="R49" s="3347" t="e">
        <f>IF(F1="售价",ROUND(IF(D48="简单平均",AVERAGE(R48:V48),R48*F48+T48*H48+V48*J48),0),ROUND(IF(D48="简单平均",AVERAGE(R48:V48),R48*F48+T48*H48+V48*J48),1))</f>
        <v>#DIV/0!</v>
      </c>
      <c r="S49" s="3347"/>
      <c r="T49" s="3347"/>
      <c r="U49" s="3347"/>
      <c r="V49" s="3347"/>
      <c r="W49" s="334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1.75" thickBot="1">
      <c r="A57" s="658" t="s">
        <v>1711</v>
      </c>
      <c r="B57" s="385"/>
      <c r="C57" s="659"/>
      <c r="D57" s="659"/>
      <c r="E57" s="659"/>
      <c r="F57" s="660"/>
      <c r="G57" s="660"/>
      <c r="H57" s="659"/>
      <c r="I57" s="659"/>
      <c r="J57" s="659"/>
      <c r="K57" s="887"/>
      <c r="L57" s="888"/>
      <c r="M57" s="886"/>
      <c r="N57" s="886"/>
      <c r="O57" s="886"/>
      <c r="P57" s="1771"/>
      <c r="Q57" s="439"/>
    </row>
    <row r="58" spans="1:29" s="442" customFormat="1" ht="15">
      <c r="A58" s="440" t="s">
        <v>1712</v>
      </c>
      <c r="B58" s="441"/>
      <c r="C58" s="1105" t="str">
        <f>YEAR(C7)&amp;"-"&amp;MONTH(C7)</f>
        <v>2024-3</v>
      </c>
      <c r="D58" s="1104">
        <f>EDATE(C58,-1)</f>
        <v>45323</v>
      </c>
      <c r="E58" s="1104">
        <f>EDATE(D58,-1)</f>
        <v>45292</v>
      </c>
      <c r="F58" s="1104">
        <f t="shared" ref="F58:O58" si="19">EDATE(E58,-1)</f>
        <v>45261</v>
      </c>
      <c r="G58" s="1104">
        <f t="shared" si="19"/>
        <v>45231</v>
      </c>
      <c r="H58" s="1104">
        <f t="shared" si="19"/>
        <v>45200</v>
      </c>
      <c r="I58" s="1104">
        <f t="shared" si="19"/>
        <v>45170</v>
      </c>
      <c r="J58" s="1104">
        <f t="shared" si="19"/>
        <v>45139</v>
      </c>
      <c r="K58" s="1104">
        <f t="shared" si="19"/>
        <v>45108</v>
      </c>
      <c r="L58" s="1104">
        <f t="shared" si="19"/>
        <v>45078</v>
      </c>
      <c r="M58" s="1104">
        <f t="shared" si="19"/>
        <v>45047</v>
      </c>
      <c r="N58" s="1104">
        <f t="shared" si="19"/>
        <v>45017</v>
      </c>
      <c r="O58" s="1104">
        <f t="shared" si="19"/>
        <v>44986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1713</v>
      </c>
      <c r="B60" s="450"/>
      <c r="C60" s="451"/>
      <c r="D60" s="452"/>
      <c r="E60" s="452"/>
      <c r="F60" s="452"/>
      <c r="G60" s="452"/>
      <c r="H60" s="452"/>
      <c r="I60" s="452"/>
      <c r="J60" s="452"/>
      <c r="K60" s="452"/>
      <c r="L60" s="452"/>
      <c r="M60" s="453"/>
      <c r="N60" s="452"/>
      <c r="O60" s="453"/>
      <c r="P60" s="1773"/>
      <c r="Q60" s="439"/>
    </row>
    <row r="61" spans="1:29" s="102" customFormat="1" ht="15">
      <c r="A61" s="455" t="s">
        <v>1714</v>
      </c>
      <c r="B61" s="444"/>
      <c r="C61" s="456" t="s">
        <v>1715</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1716</v>
      </c>
      <c r="B63" s="460" t="s">
        <v>1682</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1685</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1257</v>
      </c>
      <c r="C82" s="470" t="s">
        <v>1725</v>
      </c>
      <c r="D82" s="470" t="s">
        <v>1726</v>
      </c>
      <c r="E82" s="470" t="s">
        <v>1727</v>
      </c>
      <c r="F82" s="470" t="s">
        <v>1728</v>
      </c>
      <c r="G82" s="470" t="s">
        <v>1729</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1731</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1732</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1691</v>
      </c>
      <c r="B100" s="460" t="s">
        <v>1733</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1735</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1736</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1737</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1738</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1739</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1740</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1741</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1743</v>
      </c>
    </row>
    <row r="137" spans="1:17" ht="15">
      <c r="B137" s="1782" t="s">
        <v>1744</v>
      </c>
      <c r="C137" s="1783"/>
      <c r="D137" s="1783"/>
      <c r="E137" s="1783"/>
      <c r="F137" s="1783"/>
      <c r="G137" s="1784"/>
      <c r="H137" s="1785"/>
      <c r="I137" s="1786" t="s">
        <v>1745</v>
      </c>
      <c r="J137" s="1783"/>
      <c r="K137" s="1787"/>
    </row>
    <row r="138" spans="1:17" ht="15">
      <c r="B138" s="1788"/>
      <c r="C138" s="129" t="s">
        <v>1746</v>
      </c>
      <c r="D138" s="129" t="s">
        <v>1747</v>
      </c>
      <c r="E138" s="1789" t="s">
        <v>1748</v>
      </c>
      <c r="F138" s="1790" t="s">
        <v>1749</v>
      </c>
      <c r="G138" s="129" t="s">
        <v>1747</v>
      </c>
      <c r="H138" s="130" t="s">
        <v>1748</v>
      </c>
      <c r="I138" s="1791"/>
      <c r="J138" s="129" t="s">
        <v>1750</v>
      </c>
      <c r="K138" s="130" t="s">
        <v>1751</v>
      </c>
    </row>
    <row r="139" spans="1:17" ht="15">
      <c r="B139" s="814">
        <v>6</v>
      </c>
      <c r="C139" s="815">
        <v>96</v>
      </c>
      <c r="D139" s="1792" t="s">
        <v>1752</v>
      </c>
      <c r="E139" s="816">
        <v>100</v>
      </c>
      <c r="F139" s="817">
        <v>102.5</v>
      </c>
      <c r="G139" s="1792" t="s">
        <v>1752</v>
      </c>
      <c r="H139" s="818">
        <v>105</v>
      </c>
      <c r="I139" s="1793" t="s">
        <v>1753</v>
      </c>
      <c r="J139" s="815">
        <v>20</v>
      </c>
      <c r="K139" s="819">
        <f>C145/(J139-2)</f>
        <v>4.0555555555555553E-3</v>
      </c>
    </row>
    <row r="140" spans="1:17" ht="15">
      <c r="B140" s="820">
        <v>5</v>
      </c>
      <c r="C140" s="821">
        <v>100</v>
      </c>
      <c r="D140" s="821"/>
      <c r="E140" s="822"/>
      <c r="F140" s="823">
        <v>102</v>
      </c>
      <c r="G140" s="821"/>
      <c r="H140" s="824"/>
      <c r="I140" s="1794" t="s">
        <v>1754</v>
      </c>
      <c r="J140" s="263">
        <f>ROUNDUP((J139-1)/2,0)</f>
        <v>10</v>
      </c>
      <c r="K140" s="825">
        <v>100</v>
      </c>
    </row>
    <row r="141" spans="1:17" ht="15">
      <c r="B141" s="820">
        <v>4</v>
      </c>
      <c r="C141" s="821">
        <v>102</v>
      </c>
      <c r="D141" s="821"/>
      <c r="E141" s="822"/>
      <c r="F141" s="823">
        <v>101.5</v>
      </c>
      <c r="G141" s="821"/>
      <c r="H141" s="824"/>
      <c r="I141" s="1794" t="s">
        <v>1755</v>
      </c>
      <c r="J141" s="263">
        <v>1</v>
      </c>
      <c r="K141" s="826">
        <f>ROUND(100+(J141-J140)*K139*100,1)</f>
        <v>96.4</v>
      </c>
    </row>
    <row r="142" spans="1:17" ht="15">
      <c r="B142" s="820">
        <v>3</v>
      </c>
      <c r="C142" s="821">
        <v>103</v>
      </c>
      <c r="D142" s="821"/>
      <c r="E142" s="822"/>
      <c r="F142" s="823">
        <v>101</v>
      </c>
      <c r="G142" s="821"/>
      <c r="H142" s="824"/>
      <c r="I142" s="1794" t="s">
        <v>1756</v>
      </c>
      <c r="J142" s="263">
        <f>J139</f>
        <v>20</v>
      </c>
      <c r="K142" s="827">
        <v>95</v>
      </c>
    </row>
    <row r="143" spans="1:17" ht="15">
      <c r="B143" s="820">
        <v>2</v>
      </c>
      <c r="C143" s="821">
        <v>100</v>
      </c>
      <c r="D143" s="821"/>
      <c r="E143" s="822"/>
      <c r="F143" s="823">
        <v>100.5</v>
      </c>
      <c r="G143" s="821"/>
      <c r="H143" s="824"/>
      <c r="I143" s="1794" t="s">
        <v>1757</v>
      </c>
      <c r="J143" s="821">
        <v>15</v>
      </c>
      <c r="K143" s="826">
        <f>ROUND(100+(J143-J140)*K139*100,1)</f>
        <v>102</v>
      </c>
    </row>
    <row r="144" spans="1:17" ht="15">
      <c r="B144" s="820">
        <v>1</v>
      </c>
      <c r="C144" s="821">
        <v>98</v>
      </c>
      <c r="D144" s="1795" t="s">
        <v>1758</v>
      </c>
      <c r="E144" s="822">
        <v>102</v>
      </c>
      <c r="F144" s="828">
        <v>100</v>
      </c>
      <c r="G144" s="1795" t="s">
        <v>1758</v>
      </c>
      <c r="H144" s="824">
        <v>105</v>
      </c>
      <c r="I144" s="1794" t="s">
        <v>1757</v>
      </c>
      <c r="J144" s="821">
        <v>18</v>
      </c>
      <c r="K144" s="826">
        <f>ROUND(100+(J144-J140)*K139*100,1)</f>
        <v>103.2</v>
      </c>
    </row>
    <row r="145" spans="2:11" ht="15.75"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c r="B147" s="1781" t="s">
        <v>1761</v>
      </c>
    </row>
    <row r="148" spans="2:11">
      <c r="B148" s="1781"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受贵公司委托，我公司对北京市昌平区百葛路9号院6号楼房地产抵押价值进行了预评估。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估价对象为北京市昌平区百葛路9号院6号楼房地产，为北京市佳贝林科技有限公司所有。根据《国有土地使用证》[]，估价对象（分摊）出让国有建设用地使用权面积为0平方米，建筑面积为9096.41平方米。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百葛路9号院6号楼房地产,属北京市佳贝林科技有限公司开发建设的办公项目，该项目尚在开发建设中。根据《国有土地使用证》[]，估价对象（分摊）出让国有建设用地使用权面积为0平方米，规划建筑面积为9096.41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昌平区百葛路9号院6号楼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2024年3月4日（评估专业人员实地查勘之日）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1763</v>
      </c>
      <c r="C1" s="1155" t="s">
        <v>1659</v>
      </c>
      <c r="D1" s="1142"/>
      <c r="E1" s="3120"/>
      <c r="F1" s="1735"/>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0</v>
      </c>
      <c r="C3" s="344" t="s">
        <v>1765</v>
      </c>
      <c r="D3" s="343">
        <f>IF(D1="",'数据-汇总表'!E3,SUMIF('数据-汇总表'!$C19:$C33,D1,'数据-汇总表'!$E19:$E33))</f>
        <v>9096.41</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5">
      <c r="A4" s="345" t="s">
        <v>1766</v>
      </c>
      <c r="B4" s="346"/>
      <c r="C4" s="3356" t="s">
        <v>1767</v>
      </c>
      <c r="D4" s="3357"/>
      <c r="E4" s="3358" t="s">
        <v>1768</v>
      </c>
      <c r="F4" s="3359"/>
      <c r="G4" s="3356" t="s">
        <v>1769</v>
      </c>
      <c r="H4" s="3357"/>
      <c r="I4" s="3356" t="s">
        <v>1770</v>
      </c>
      <c r="J4" s="3357"/>
      <c r="K4" s="537" t="s">
        <v>1771</v>
      </c>
      <c r="L4" s="2482"/>
      <c r="M4" s="2483"/>
      <c r="N4" s="2483"/>
      <c r="O4" s="2483"/>
      <c r="P4" s="3360" t="s">
        <v>1772</v>
      </c>
      <c r="Q4" s="3361"/>
      <c r="R4" s="3366" t="s">
        <v>1768</v>
      </c>
      <c r="S4" s="3367"/>
      <c r="T4" s="3366" t="s">
        <v>1769</v>
      </c>
      <c r="U4" s="3367"/>
      <c r="V4" s="3344" t="s">
        <v>1770</v>
      </c>
      <c r="W4" s="3344"/>
      <c r="X4" s="1265"/>
      <c r="Y4" s="3366" t="s">
        <v>1772</v>
      </c>
      <c r="Z4" s="3367"/>
      <c r="AA4" s="3353" t="s">
        <v>1768</v>
      </c>
      <c r="AB4" s="3344" t="s">
        <v>1769</v>
      </c>
      <c r="AC4" s="3353" t="s">
        <v>1770</v>
      </c>
    </row>
    <row r="5" spans="1:29" ht="15">
      <c r="A5" s="348"/>
      <c r="B5" s="349"/>
      <c r="C5" s="3379" t="s">
        <v>1670</v>
      </c>
      <c r="D5" s="3375"/>
      <c r="E5" s="3440" t="s">
        <v>1671</v>
      </c>
      <c r="F5" s="3384"/>
      <c r="G5" s="3379" t="s">
        <v>1672</v>
      </c>
      <c r="H5" s="3375"/>
      <c r="I5" s="3379" t="s">
        <v>1673</v>
      </c>
      <c r="J5" s="3375"/>
      <c r="K5" s="537"/>
      <c r="L5" s="2482"/>
      <c r="M5" s="2483"/>
      <c r="N5" s="2483"/>
      <c r="O5" s="2483"/>
      <c r="P5" s="3362"/>
      <c r="Q5" s="3363"/>
      <c r="R5" s="3368"/>
      <c r="S5" s="3369"/>
      <c r="T5" s="3368"/>
      <c r="U5" s="3369"/>
      <c r="V5" s="3344"/>
      <c r="W5" s="3344"/>
      <c r="X5" s="1265"/>
      <c r="Y5" s="3368"/>
      <c r="Z5" s="3369"/>
      <c r="AA5" s="3354"/>
      <c r="AB5" s="3344"/>
      <c r="AC5" s="3354"/>
    </row>
    <row r="6" spans="1:29" ht="15.75" thickBot="1">
      <c r="A6" s="350"/>
      <c r="B6" s="351"/>
      <c r="C6" s="3380" t="s">
        <v>1674</v>
      </c>
      <c r="D6" s="3373"/>
      <c r="E6" s="3439" t="s">
        <v>1674</v>
      </c>
      <c r="F6" s="3382"/>
      <c r="G6" s="3380" t="s">
        <v>1674</v>
      </c>
      <c r="H6" s="3373"/>
      <c r="I6" s="3380" t="s">
        <v>1674</v>
      </c>
      <c r="J6" s="3373"/>
      <c r="K6" s="537" t="s">
        <v>1675</v>
      </c>
      <c r="L6" s="2482"/>
      <c r="M6" s="2483"/>
      <c r="N6" s="2483"/>
      <c r="O6" s="2483"/>
      <c r="P6" s="3364"/>
      <c r="Q6" s="3365"/>
      <c r="R6" s="3368"/>
      <c r="S6" s="3369"/>
      <c r="T6" s="3370"/>
      <c r="U6" s="3371"/>
      <c r="V6" s="3344"/>
      <c r="W6" s="3344"/>
      <c r="X6" s="1265"/>
      <c r="Y6" s="3370"/>
      <c r="Z6" s="3371"/>
      <c r="AA6" s="3355"/>
      <c r="AB6" s="3344"/>
      <c r="AC6" s="3355"/>
    </row>
    <row r="7" spans="1:29" s="102" customFormat="1" ht="15.75" thickBot="1">
      <c r="A7" s="352" t="s">
        <v>1676</v>
      </c>
      <c r="B7" s="353"/>
      <c r="C7" s="354">
        <f>'数据-取费表'!B2</f>
        <v>45355</v>
      </c>
      <c r="D7" s="355">
        <v>100</v>
      </c>
      <c r="E7" s="356"/>
      <c r="F7" s="357">
        <f>SUMIF(58:58,YEAR(E7)&amp;"-"&amp;MONTH(E7),59:59)</f>
        <v>0</v>
      </c>
      <c r="G7" s="356"/>
      <c r="H7" s="355">
        <f>SUMIF(58:58,YEAR(G7)&amp;"-"&amp;MONTH(G7),59:59)</f>
        <v>0</v>
      </c>
      <c r="I7" s="356"/>
      <c r="J7" s="355">
        <f>SUMIF(58:58,YEAR(I7)&amp;"-"&amp;MONTH(I7),59:59)</f>
        <v>0</v>
      </c>
      <c r="K7" s="38"/>
      <c r="L7" s="2484"/>
      <c r="M7" s="2435"/>
      <c r="N7" s="2435"/>
      <c r="O7" s="2435"/>
      <c r="P7" s="3376" t="s">
        <v>1677</v>
      </c>
      <c r="Q7" s="3378"/>
      <c r="R7" s="664" t="s">
        <v>14</v>
      </c>
      <c r="S7" s="665">
        <f t="shared" ref="S7:S15" si="0">F7</f>
        <v>0</v>
      </c>
      <c r="T7" s="664" t="s">
        <v>14</v>
      </c>
      <c r="U7" s="665">
        <f t="shared" ref="U7:U15" si="1">H7</f>
        <v>0</v>
      </c>
      <c r="V7" s="664" t="s">
        <v>14</v>
      </c>
      <c r="W7" s="665">
        <f t="shared" ref="W7:W15" si="2">J7</f>
        <v>0</v>
      </c>
      <c r="X7" s="666"/>
      <c r="Y7" s="3376" t="s">
        <v>1677</v>
      </c>
      <c r="Z7" s="3377"/>
      <c r="AA7" s="50" t="e">
        <f>D7/F7</f>
        <v>#DIV/0!</v>
      </c>
      <c r="AB7" s="50" t="e">
        <f>D7/H7</f>
        <v>#DIV/0!</v>
      </c>
      <c r="AC7" s="50" t="e">
        <f>D7/J7</f>
        <v>#DIV/0!</v>
      </c>
    </row>
    <row r="8" spans="1:29" s="102" customFormat="1" ht="15.75" thickBot="1">
      <c r="A8" s="352" t="s">
        <v>1678</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376" t="s">
        <v>1680</v>
      </c>
      <c r="Q8" s="3377"/>
      <c r="R8" s="664" t="s">
        <v>14</v>
      </c>
      <c r="S8" s="665">
        <f t="shared" si="0"/>
        <v>100</v>
      </c>
      <c r="T8" s="664" t="s">
        <v>14</v>
      </c>
      <c r="U8" s="665">
        <f t="shared" si="1"/>
        <v>100</v>
      </c>
      <c r="V8" s="664" t="s">
        <v>14</v>
      </c>
      <c r="W8" s="665">
        <f t="shared" si="2"/>
        <v>100</v>
      </c>
      <c r="X8" s="666"/>
      <c r="Y8" s="3376" t="s">
        <v>1680</v>
      </c>
      <c r="Z8" s="3377"/>
      <c r="AA8" s="50">
        <f t="shared" ref="AA8:AA46" si="3">D8/F8</f>
        <v>1</v>
      </c>
      <c r="AB8" s="50">
        <f t="shared" ref="AB8:AB46" si="4">D8/H8</f>
        <v>1</v>
      </c>
      <c r="AC8" s="50">
        <f t="shared" ref="AC8:AC46" si="5">D8/J8</f>
        <v>1</v>
      </c>
    </row>
    <row r="9" spans="1:29" s="102" customFormat="1">
      <c r="A9" s="359" t="s">
        <v>1681</v>
      </c>
      <c r="B9" s="60" t="s">
        <v>1682</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38" t="s">
        <v>1683</v>
      </c>
      <c r="Q9" s="530" t="str">
        <f t="shared" ref="Q9:Q15" si="6">B9</f>
        <v>用途</v>
      </c>
      <c r="R9" s="664" t="s">
        <v>14</v>
      </c>
      <c r="S9" s="665">
        <f t="shared" si="0"/>
        <v>100</v>
      </c>
      <c r="T9" s="664" t="s">
        <v>14</v>
      </c>
      <c r="U9" s="665">
        <f t="shared" si="1"/>
        <v>100</v>
      </c>
      <c r="V9" s="664" t="s">
        <v>14</v>
      </c>
      <c r="W9" s="665">
        <f t="shared" si="2"/>
        <v>100</v>
      </c>
      <c r="X9" s="666"/>
      <c r="Y9" s="3250" t="s">
        <v>1684</v>
      </c>
      <c r="Z9" s="50" t="str">
        <f t="shared" ref="Z9:Z15" si="7">Q9</f>
        <v>用途</v>
      </c>
      <c r="AA9" s="50">
        <f t="shared" si="3"/>
        <v>1</v>
      </c>
      <c r="AB9" s="50">
        <f t="shared" si="4"/>
        <v>1</v>
      </c>
      <c r="AC9" s="50">
        <f t="shared" si="5"/>
        <v>1</v>
      </c>
    </row>
    <row r="10" spans="1:29" s="366" customFormat="1" ht="27">
      <c r="A10" s="363"/>
      <c r="B10" s="364" t="s">
        <v>1685</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38"/>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38"/>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38"/>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38"/>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38"/>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15">
      <c r="A15" s="379" t="s">
        <v>1687</v>
      </c>
      <c r="B15" s="58" t="s">
        <v>1774</v>
      </c>
      <c r="C15" s="1750" t="str">
        <f>估价对象房地状况!C4</f>
        <v>一般</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36" t="s">
        <v>1688</v>
      </c>
      <c r="Q15" s="1263" t="str">
        <f t="shared" si="6"/>
        <v>商业繁华度</v>
      </c>
      <c r="R15" s="667" t="s">
        <v>14</v>
      </c>
      <c r="S15" s="668">
        <f t="shared" si="0"/>
        <v>100</v>
      </c>
      <c r="T15" s="667" t="s">
        <v>14</v>
      </c>
      <c r="U15" s="668">
        <f t="shared" si="1"/>
        <v>100</v>
      </c>
      <c r="V15" s="667" t="s">
        <v>14</v>
      </c>
      <c r="W15" s="668">
        <f t="shared" si="2"/>
        <v>100</v>
      </c>
      <c r="X15" s="1265"/>
      <c r="Y15" s="3348" t="s">
        <v>1688</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437"/>
      <c r="Q16" s="1263"/>
      <c r="R16" s="667"/>
      <c r="S16" s="668"/>
      <c r="T16" s="667"/>
      <c r="U16" s="668"/>
      <c r="V16" s="667"/>
      <c r="W16" s="668"/>
      <c r="X16" s="1265"/>
      <c r="Y16" s="3349"/>
      <c r="Z16" s="1264"/>
      <c r="AA16" s="1264">
        <v>1</v>
      </c>
      <c r="AB16" s="1264">
        <v>1</v>
      </c>
      <c r="AC16" s="1264">
        <v>1</v>
      </c>
    </row>
    <row r="17" spans="1:29" ht="15">
      <c r="A17" s="367"/>
      <c r="B17" s="390" t="s">
        <v>1256</v>
      </c>
      <c r="C17" s="1754"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37"/>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437"/>
      <c r="Q18" s="1263"/>
      <c r="R18" s="667"/>
      <c r="S18" s="668"/>
      <c r="T18" s="667"/>
      <c r="U18" s="668"/>
      <c r="V18" s="667"/>
      <c r="W18" s="668"/>
      <c r="X18" s="1265"/>
      <c r="Y18" s="3349"/>
      <c r="Z18" s="1264"/>
      <c r="AA18" s="1264">
        <v>1</v>
      </c>
      <c r="AB18" s="1264">
        <v>1</v>
      </c>
      <c r="AC18" s="1264">
        <v>1</v>
      </c>
    </row>
    <row r="19" spans="1:29" ht="15">
      <c r="A19" s="367"/>
      <c r="B19" s="390" t="s">
        <v>1775</v>
      </c>
      <c r="C19" s="1754"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37"/>
      <c r="Q19" s="1263" t="str">
        <f>B19</f>
        <v>公共配套设施</v>
      </c>
      <c r="R19" s="667" t="s">
        <v>14</v>
      </c>
      <c r="S19" s="668">
        <f>F19</f>
        <v>100</v>
      </c>
      <c r="T19" s="667" t="s">
        <v>14</v>
      </c>
      <c r="U19" s="668">
        <f>H19</f>
        <v>100</v>
      </c>
      <c r="V19" s="667" t="s">
        <v>14</v>
      </c>
      <c r="W19" s="668">
        <f>J19</f>
        <v>100</v>
      </c>
      <c r="X19" s="1265"/>
      <c r="Y19" s="334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437"/>
      <c r="Q20" s="1263"/>
      <c r="R20" s="667"/>
      <c r="S20" s="668"/>
      <c r="T20" s="667"/>
      <c r="U20" s="668"/>
      <c r="V20" s="667"/>
      <c r="W20" s="668"/>
      <c r="X20" s="1265"/>
      <c r="Y20" s="3349"/>
      <c r="Z20" s="1264"/>
      <c r="AA20" s="1264">
        <v>1</v>
      </c>
      <c r="AB20" s="1264">
        <v>1</v>
      </c>
      <c r="AC20" s="1264">
        <v>1</v>
      </c>
    </row>
    <row r="21" spans="1:29" ht="15">
      <c r="A21" s="367"/>
      <c r="B21" s="586" t="s">
        <v>1776</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37"/>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437"/>
      <c r="Q22" s="1263"/>
      <c r="R22" s="667"/>
      <c r="S22" s="668"/>
      <c r="T22" s="667"/>
      <c r="U22" s="668"/>
      <c r="V22" s="667"/>
      <c r="W22" s="668"/>
      <c r="X22" s="1265"/>
      <c r="Y22" s="3349"/>
      <c r="Z22" s="1264"/>
      <c r="AA22" s="1264">
        <v>1</v>
      </c>
      <c r="AB22" s="1264">
        <v>1</v>
      </c>
      <c r="AC22" s="1264">
        <v>1</v>
      </c>
    </row>
    <row r="23" spans="1:29" ht="15">
      <c r="A23" s="367"/>
      <c r="B23" s="390" t="s">
        <v>1258</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37"/>
      <c r="Q23" s="1263" t="str">
        <f>B23</f>
        <v>自然及人文环境</v>
      </c>
      <c r="R23" s="667" t="s">
        <v>14</v>
      </c>
      <c r="S23" s="668">
        <f>F23</f>
        <v>100</v>
      </c>
      <c r="T23" s="667" t="s">
        <v>14</v>
      </c>
      <c r="U23" s="668">
        <f>H23</f>
        <v>100</v>
      </c>
      <c r="V23" s="667" t="s">
        <v>14</v>
      </c>
      <c r="W23" s="668">
        <f>J23</f>
        <v>100</v>
      </c>
      <c r="X23" s="1265"/>
      <c r="Y23" s="334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437"/>
      <c r="Q24" s="1263"/>
      <c r="R24" s="667"/>
      <c r="S24" s="668"/>
      <c r="T24" s="667"/>
      <c r="U24" s="668"/>
      <c r="V24" s="667"/>
      <c r="W24" s="668"/>
      <c r="X24" s="1265"/>
      <c r="Y24" s="3349"/>
      <c r="Z24" s="1264"/>
      <c r="AA24" s="1264">
        <v>1</v>
      </c>
      <c r="AB24" s="1264">
        <v>1</v>
      </c>
      <c r="AC24" s="1264">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37"/>
      <c r="Q25" s="1263" t="str">
        <f t="shared" ref="Q25:Q46" si="11">B25</f>
        <v>临街状况</v>
      </c>
      <c r="R25" s="667" t="s">
        <v>14</v>
      </c>
      <c r="S25" s="668">
        <f>F25</f>
        <v>100</v>
      </c>
      <c r="T25" s="667" t="s">
        <v>14</v>
      </c>
      <c r="U25" s="668">
        <f>H25</f>
        <v>100</v>
      </c>
      <c r="V25" s="667" t="s">
        <v>14</v>
      </c>
      <c r="W25" s="668">
        <f>J25</f>
        <v>100</v>
      </c>
      <c r="X25" s="1265"/>
      <c r="Y25" s="3349"/>
      <c r="Z25" s="1264" t="str">
        <f>Q25</f>
        <v>临街状况</v>
      </c>
      <c r="AA25" s="1264">
        <f t="shared" si="3"/>
        <v>1</v>
      </c>
      <c r="AB25" s="1264">
        <f t="shared" si="4"/>
        <v>1</v>
      </c>
      <c r="AC25" s="1264">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37"/>
      <c r="Q26" s="1263" t="str">
        <f t="shared" si="11"/>
        <v>平面位置/可视性</v>
      </c>
      <c r="R26" s="667" t="s">
        <v>14</v>
      </c>
      <c r="S26" s="668">
        <f>F26</f>
        <v>100</v>
      </c>
      <c r="T26" s="667" t="s">
        <v>14</v>
      </c>
      <c r="U26" s="668">
        <f>H26</f>
        <v>100</v>
      </c>
      <c r="V26" s="667" t="s">
        <v>14</v>
      </c>
      <c r="W26" s="668">
        <f>J26</f>
        <v>100</v>
      </c>
      <c r="X26" s="1265"/>
      <c r="Y26" s="3349"/>
      <c r="Z26" s="1264" t="str">
        <f>Q26</f>
        <v>平面位置/可视性</v>
      </c>
      <c r="AA26" s="1264">
        <f t="shared" si="3"/>
        <v>1</v>
      </c>
      <c r="AB26" s="1264">
        <f t="shared" si="4"/>
        <v>1</v>
      </c>
      <c r="AC26" s="1264">
        <f t="shared" si="5"/>
        <v>1</v>
      </c>
    </row>
    <row r="27" spans="1:29" s="102" customFormat="1" ht="15">
      <c r="A27" s="370"/>
      <c r="B27" s="390" t="s">
        <v>1779</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5"/>
      <c r="N27" s="2435"/>
      <c r="O27" s="2435"/>
      <c r="P27" s="3437"/>
      <c r="Q27" s="530" t="str">
        <f t="shared" si="11"/>
        <v>人流量</v>
      </c>
      <c r="R27" s="664" t="s">
        <v>14</v>
      </c>
      <c r="S27" s="665">
        <f>F27</f>
        <v>100</v>
      </c>
      <c r="T27" s="664" t="s">
        <v>14</v>
      </c>
      <c r="U27" s="665">
        <f>H27</f>
        <v>100</v>
      </c>
      <c r="V27" s="664" t="s">
        <v>14</v>
      </c>
      <c r="W27" s="665">
        <f>J27</f>
        <v>100</v>
      </c>
      <c r="X27" s="666"/>
      <c r="Y27" s="3349"/>
      <c r="Z27" s="50" t="str">
        <f>Q27</f>
        <v>人流量</v>
      </c>
      <c r="AA27" s="1264">
        <f>D27/F27</f>
        <v>1</v>
      </c>
      <c r="AB27" s="1264">
        <f>D27/H27</f>
        <v>1</v>
      </c>
      <c r="AC27" s="1264">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4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37"/>
      <c r="Q29" s="1263">
        <f t="shared" si="11"/>
        <v>111</v>
      </c>
      <c r="R29" s="667" t="s">
        <v>14</v>
      </c>
      <c r="S29" s="668">
        <f t="shared" si="12"/>
        <v>100</v>
      </c>
      <c r="T29" s="667" t="s">
        <v>14</v>
      </c>
      <c r="U29" s="668">
        <f t="shared" si="13"/>
        <v>100</v>
      </c>
      <c r="V29" s="667" t="s">
        <v>14</v>
      </c>
      <c r="W29" s="668">
        <f t="shared" si="14"/>
        <v>100</v>
      </c>
      <c r="X29" s="1265"/>
      <c r="Y29" s="334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37"/>
      <c r="Q30" s="1263">
        <f t="shared" si="11"/>
        <v>111</v>
      </c>
      <c r="R30" s="667" t="s">
        <v>14</v>
      </c>
      <c r="S30" s="668">
        <f t="shared" si="12"/>
        <v>100</v>
      </c>
      <c r="T30" s="667" t="s">
        <v>14</v>
      </c>
      <c r="U30" s="668">
        <f t="shared" si="13"/>
        <v>100</v>
      </c>
      <c r="V30" s="667" t="s">
        <v>14</v>
      </c>
      <c r="W30" s="668">
        <f t="shared" si="14"/>
        <v>100</v>
      </c>
      <c r="X30" s="1265"/>
      <c r="Y30" s="334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37"/>
      <c r="Q31" s="1263">
        <f t="shared" si="11"/>
        <v>111</v>
      </c>
      <c r="R31" s="667" t="s">
        <v>14</v>
      </c>
      <c r="S31" s="668">
        <f t="shared" si="12"/>
        <v>100</v>
      </c>
      <c r="T31" s="667" t="s">
        <v>14</v>
      </c>
      <c r="U31" s="668">
        <f t="shared" si="13"/>
        <v>100</v>
      </c>
      <c r="V31" s="667" t="s">
        <v>14</v>
      </c>
      <c r="W31" s="668">
        <f t="shared" si="14"/>
        <v>100</v>
      </c>
      <c r="X31" s="1265"/>
      <c r="Y31" s="3349"/>
      <c r="Z31" s="1264">
        <f t="shared" si="15"/>
        <v>111</v>
      </c>
      <c r="AA31" s="1264">
        <f t="shared" si="3"/>
        <v>1</v>
      </c>
      <c r="AB31" s="1264">
        <f t="shared" si="4"/>
        <v>1</v>
      </c>
      <c r="AC31" s="1264">
        <f t="shared" si="5"/>
        <v>1</v>
      </c>
    </row>
    <row r="32" spans="1:29" ht="15">
      <c r="A32" s="379" t="s">
        <v>1691</v>
      </c>
      <c r="B32" s="60" t="s">
        <v>1781</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433" t="s">
        <v>1693</v>
      </c>
      <c r="Q32" s="1263" t="str">
        <f t="shared" si="11"/>
        <v>商业类型</v>
      </c>
      <c r="R32" s="667" t="s">
        <v>14</v>
      </c>
      <c r="S32" s="668">
        <f t="shared" si="12"/>
        <v>100</v>
      </c>
      <c r="T32" s="667" t="s">
        <v>14</v>
      </c>
      <c r="U32" s="668">
        <f t="shared" si="13"/>
        <v>100</v>
      </c>
      <c r="V32" s="667" t="s">
        <v>14</v>
      </c>
      <c r="W32" s="668">
        <f t="shared" si="14"/>
        <v>100</v>
      </c>
      <c r="X32" s="1265"/>
      <c r="Y32" s="3351" t="s">
        <v>1693</v>
      </c>
      <c r="Z32" s="1264" t="str">
        <f t="shared" si="15"/>
        <v>商业类型</v>
      </c>
      <c r="AA32" s="1264">
        <f t="shared" si="3"/>
        <v>1</v>
      </c>
      <c r="AB32" s="1264">
        <f t="shared" si="4"/>
        <v>1</v>
      </c>
      <c r="AC32" s="1264">
        <f t="shared" si="5"/>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34"/>
      <c r="Q33" s="531" t="str">
        <f t="shared" si="11"/>
        <v>项目建筑规模</v>
      </c>
      <c r="R33" s="669" t="s">
        <v>14</v>
      </c>
      <c r="S33" s="670" t="e">
        <f t="shared" si="12"/>
        <v>#N/A</v>
      </c>
      <c r="T33" s="669" t="s">
        <v>14</v>
      </c>
      <c r="U33" s="670" t="e">
        <f t="shared" si="13"/>
        <v>#N/A</v>
      </c>
      <c r="V33" s="669" t="s">
        <v>14</v>
      </c>
      <c r="W33" s="670" t="e">
        <f t="shared" si="14"/>
        <v>#N/A</v>
      </c>
      <c r="X33" s="671"/>
      <c r="Y33" s="3351"/>
      <c r="Z33" s="672" t="str">
        <f t="shared" si="15"/>
        <v>项目建筑规模</v>
      </c>
      <c r="AA33" s="1264" t="e">
        <f t="shared" si="3"/>
        <v>#N/A</v>
      </c>
      <c r="AB33" s="1264" t="e">
        <f t="shared" si="4"/>
        <v>#N/A</v>
      </c>
      <c r="AC33" s="1264" t="e">
        <f t="shared" si="5"/>
        <v>#N/A</v>
      </c>
    </row>
    <row r="34" spans="1:29" ht="15">
      <c r="A34" s="409"/>
      <c r="B34" s="364" t="s">
        <v>1695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34"/>
      <c r="Q34" s="1263" t="str">
        <f t="shared" si="11"/>
        <v>建筑结构</v>
      </c>
      <c r="R34" s="667" t="s">
        <v>14</v>
      </c>
      <c r="S34" s="668">
        <f t="shared" si="12"/>
        <v>100</v>
      </c>
      <c r="T34" s="667" t="s">
        <v>14</v>
      </c>
      <c r="U34" s="668">
        <f t="shared" si="13"/>
        <v>100</v>
      </c>
      <c r="V34" s="667" t="s">
        <v>14</v>
      </c>
      <c r="W34" s="668">
        <f t="shared" si="14"/>
        <v>100</v>
      </c>
      <c r="X34" s="1265"/>
      <c r="Y34" s="3351"/>
      <c r="Z34" s="1264" t="str">
        <f t="shared" si="15"/>
        <v>建筑结构</v>
      </c>
      <c r="AA34" s="1264">
        <f t="shared" si="3"/>
        <v>1</v>
      </c>
      <c r="AB34" s="1264">
        <f t="shared" si="4"/>
        <v>1</v>
      </c>
      <c r="AC34" s="1264">
        <f t="shared" si="5"/>
        <v>1</v>
      </c>
    </row>
    <row r="35" spans="1:29" ht="1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434"/>
      <c r="Q35" s="1263" t="str">
        <f t="shared" si="11"/>
        <v>公共部分装修</v>
      </c>
      <c r="R35" s="667" t="s">
        <v>14</v>
      </c>
      <c r="S35" s="668">
        <f t="shared" si="12"/>
        <v>100</v>
      </c>
      <c r="T35" s="667" t="s">
        <v>14</v>
      </c>
      <c r="U35" s="668">
        <f t="shared" si="13"/>
        <v>100</v>
      </c>
      <c r="V35" s="667" t="s">
        <v>14</v>
      </c>
      <c r="W35" s="668">
        <f t="shared" si="14"/>
        <v>100</v>
      </c>
      <c r="X35" s="1265"/>
      <c r="Y35" s="3351"/>
      <c r="Z35" s="1264" t="str">
        <f t="shared" si="15"/>
        <v>公共部分装修</v>
      </c>
      <c r="AA35" s="1264">
        <f t="shared" si="3"/>
        <v>1</v>
      </c>
      <c r="AB35" s="1264">
        <f t="shared" si="4"/>
        <v>1</v>
      </c>
      <c r="AC35" s="1264">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34"/>
      <c r="Q36" s="1263" t="str">
        <f t="shared" si="11"/>
        <v>成新度</v>
      </c>
      <c r="R36" s="667" t="s">
        <v>14</v>
      </c>
      <c r="S36" s="668" t="e">
        <f t="shared" si="12"/>
        <v>#N/A</v>
      </c>
      <c r="T36" s="667" t="s">
        <v>14</v>
      </c>
      <c r="U36" s="668" t="e">
        <f t="shared" si="13"/>
        <v>#N/A</v>
      </c>
      <c r="V36" s="667" t="s">
        <v>14</v>
      </c>
      <c r="W36" s="668" t="e">
        <f t="shared" si="14"/>
        <v>#N/A</v>
      </c>
      <c r="X36" s="1265"/>
      <c r="Y36" s="3351"/>
      <c r="Z36" s="1264" t="str">
        <f t="shared" si="15"/>
        <v>成新度</v>
      </c>
      <c r="AA36" s="1264" t="e">
        <f t="shared" si="3"/>
        <v>#N/A</v>
      </c>
      <c r="AB36" s="1264" t="e">
        <f t="shared" si="4"/>
        <v>#N/A</v>
      </c>
      <c r="AC36" s="1264" t="e">
        <f t="shared" si="5"/>
        <v>#N/A</v>
      </c>
    </row>
    <row r="37" spans="1:29" s="102" customFormat="1" ht="1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5"/>
      <c r="N37" s="2435"/>
      <c r="O37" s="2435"/>
      <c r="P37" s="3434"/>
      <c r="Q37" s="530" t="str">
        <f t="shared" si="11"/>
        <v>市政基础设施</v>
      </c>
      <c r="R37" s="664" t="s">
        <v>14</v>
      </c>
      <c r="S37" s="665">
        <f t="shared" si="12"/>
        <v>100</v>
      </c>
      <c r="T37" s="664" t="s">
        <v>14</v>
      </c>
      <c r="U37" s="665">
        <f t="shared" si="13"/>
        <v>100</v>
      </c>
      <c r="V37" s="664" t="s">
        <v>14</v>
      </c>
      <c r="W37" s="665">
        <f t="shared" si="14"/>
        <v>100</v>
      </c>
      <c r="X37" s="666"/>
      <c r="Y37" s="3351"/>
      <c r="Z37" s="50" t="str">
        <f t="shared" si="15"/>
        <v>市政基础设施</v>
      </c>
      <c r="AA37" s="50">
        <f t="shared" si="3"/>
        <v>1</v>
      </c>
      <c r="AB37" s="50">
        <f t="shared" si="4"/>
        <v>1</v>
      </c>
      <c r="AC37" s="50">
        <f t="shared" si="5"/>
        <v>1</v>
      </c>
    </row>
    <row r="38" spans="1:29" ht="15">
      <c r="A38" s="409"/>
      <c r="B38" s="364" t="s">
        <v>1785</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434" t="s">
        <v>1693</v>
      </c>
      <c r="Q38" s="1263" t="str">
        <f t="shared" si="11"/>
        <v>业态</v>
      </c>
      <c r="R38" s="667" t="s">
        <v>14</v>
      </c>
      <c r="S38" s="668">
        <f t="shared" si="12"/>
        <v>100</v>
      </c>
      <c r="T38" s="667" t="s">
        <v>14</v>
      </c>
      <c r="U38" s="668">
        <f t="shared" si="13"/>
        <v>100</v>
      </c>
      <c r="V38" s="667" t="s">
        <v>14</v>
      </c>
      <c r="W38" s="668">
        <f t="shared" si="14"/>
        <v>100</v>
      </c>
      <c r="X38" s="1265"/>
      <c r="Y38" s="3351" t="s">
        <v>1693</v>
      </c>
      <c r="Z38" s="1264" t="str">
        <f t="shared" si="15"/>
        <v>业态</v>
      </c>
      <c r="AA38" s="1264">
        <f t="shared" si="3"/>
        <v>1</v>
      </c>
      <c r="AB38" s="1264">
        <f t="shared" si="4"/>
        <v>1</v>
      </c>
      <c r="AC38" s="1264">
        <f t="shared" si="5"/>
        <v>1</v>
      </c>
    </row>
    <row r="39" spans="1:29" ht="15">
      <c r="A39" s="409"/>
      <c r="B39" s="364" t="s">
        <v>1786</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434"/>
      <c r="Q39" s="1263" t="str">
        <f t="shared" si="11"/>
        <v>层高</v>
      </c>
      <c r="R39" s="667" t="s">
        <v>14</v>
      </c>
      <c r="S39" s="668">
        <f t="shared" si="12"/>
        <v>100</v>
      </c>
      <c r="T39" s="667" t="s">
        <v>14</v>
      </c>
      <c r="U39" s="668">
        <f t="shared" si="13"/>
        <v>100</v>
      </c>
      <c r="V39" s="667" t="s">
        <v>14</v>
      </c>
      <c r="W39" s="668">
        <f t="shared" si="14"/>
        <v>100</v>
      </c>
      <c r="X39" s="1265"/>
      <c r="Y39" s="3351"/>
      <c r="Z39" s="1264" t="str">
        <f t="shared" si="15"/>
        <v>层高</v>
      </c>
      <c r="AA39" s="1264">
        <f t="shared" si="3"/>
        <v>1</v>
      </c>
      <c r="AB39" s="1264">
        <f t="shared" si="4"/>
        <v>1</v>
      </c>
      <c r="AC39" s="1264">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34"/>
      <c r="Q40" s="1263" t="str">
        <f t="shared" si="11"/>
        <v>单套建筑面积</v>
      </c>
      <c r="R40" s="667" t="s">
        <v>14</v>
      </c>
      <c r="S40" s="668">
        <f t="shared" si="12"/>
        <v>100</v>
      </c>
      <c r="T40" s="667" t="s">
        <v>14</v>
      </c>
      <c r="U40" s="668">
        <f t="shared" si="13"/>
        <v>100</v>
      </c>
      <c r="V40" s="667" t="s">
        <v>14</v>
      </c>
      <c r="W40" s="668">
        <f t="shared" si="14"/>
        <v>100</v>
      </c>
      <c r="X40" s="1265"/>
      <c r="Y40" s="3351"/>
      <c r="Z40" s="1264" t="str">
        <f t="shared" si="15"/>
        <v>单套建筑面积</v>
      </c>
      <c r="AA40" s="1264">
        <f t="shared" si="3"/>
        <v>1</v>
      </c>
      <c r="AB40" s="1264">
        <f t="shared" si="4"/>
        <v>1</v>
      </c>
      <c r="AC40" s="1264">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34"/>
      <c r="Q41" s="531" t="str">
        <f t="shared" si="11"/>
        <v>进深比</v>
      </c>
      <c r="R41" s="669" t="s">
        <v>14</v>
      </c>
      <c r="S41" s="670">
        <f t="shared" si="12"/>
        <v>100</v>
      </c>
      <c r="T41" s="669" t="s">
        <v>14</v>
      </c>
      <c r="U41" s="670">
        <f t="shared" si="13"/>
        <v>100</v>
      </c>
      <c r="V41" s="669" t="s">
        <v>14</v>
      </c>
      <c r="W41" s="670">
        <f t="shared" si="14"/>
        <v>100</v>
      </c>
      <c r="X41" s="671"/>
      <c r="Y41" s="3351"/>
      <c r="Z41" s="672" t="str">
        <f t="shared" si="15"/>
        <v>进深比</v>
      </c>
      <c r="AA41" s="1264">
        <f t="shared" si="3"/>
        <v>1</v>
      </c>
      <c r="AB41" s="1264">
        <f t="shared" si="4"/>
        <v>1</v>
      </c>
      <c r="AC41" s="1264">
        <f t="shared" si="5"/>
        <v>1</v>
      </c>
    </row>
    <row r="42" spans="1:29" ht="15">
      <c r="A42" s="409"/>
      <c r="B42" s="364" t="s">
        <v>1789</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434"/>
      <c r="Q42" s="1263" t="str">
        <f t="shared" si="11"/>
        <v>内部装修</v>
      </c>
      <c r="R42" s="667" t="s">
        <v>14</v>
      </c>
      <c r="S42" s="668">
        <f t="shared" si="12"/>
        <v>100</v>
      </c>
      <c r="T42" s="667" t="s">
        <v>14</v>
      </c>
      <c r="U42" s="668">
        <f t="shared" si="13"/>
        <v>100</v>
      </c>
      <c r="V42" s="667" t="s">
        <v>14</v>
      </c>
      <c r="W42" s="668">
        <f t="shared" si="14"/>
        <v>100</v>
      </c>
      <c r="X42" s="1265"/>
      <c r="Y42" s="3351"/>
      <c r="Z42" s="1264" t="str">
        <f t="shared" si="15"/>
        <v>内部装修</v>
      </c>
      <c r="AA42" s="1264">
        <f t="shared" si="3"/>
        <v>1</v>
      </c>
      <c r="AB42" s="1264">
        <f t="shared" si="4"/>
        <v>1</v>
      </c>
      <c r="AC42" s="1264">
        <f t="shared" si="5"/>
        <v>1</v>
      </c>
    </row>
    <row r="43" spans="1:29" ht="15">
      <c r="A43" s="409"/>
      <c r="B43" s="364" t="s">
        <v>1704</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434"/>
      <c r="Q43" s="1263" t="str">
        <f t="shared" si="11"/>
        <v>内部装修维护情况</v>
      </c>
      <c r="R43" s="667" t="s">
        <v>14</v>
      </c>
      <c r="S43" s="668">
        <f t="shared" si="12"/>
        <v>100</v>
      </c>
      <c r="T43" s="667" t="s">
        <v>14</v>
      </c>
      <c r="U43" s="668">
        <f t="shared" si="13"/>
        <v>100</v>
      </c>
      <c r="V43" s="667" t="s">
        <v>14</v>
      </c>
      <c r="W43" s="668">
        <f t="shared" si="14"/>
        <v>100</v>
      </c>
      <c r="X43" s="1265"/>
      <c r="Y43" s="335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34"/>
      <c r="Q44" s="530">
        <f t="shared" si="11"/>
        <v>111</v>
      </c>
      <c r="R44" s="664" t="s">
        <v>14</v>
      </c>
      <c r="S44" s="665">
        <f t="shared" si="12"/>
        <v>100</v>
      </c>
      <c r="T44" s="664" t="s">
        <v>14</v>
      </c>
      <c r="U44" s="665">
        <f t="shared" si="13"/>
        <v>100</v>
      </c>
      <c r="V44" s="664" t="s">
        <v>14</v>
      </c>
      <c r="W44" s="665">
        <f t="shared" si="14"/>
        <v>100</v>
      </c>
      <c r="X44" s="666"/>
      <c r="Y44" s="335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34"/>
      <c r="Q45" s="1263">
        <f t="shared" si="11"/>
        <v>111</v>
      </c>
      <c r="R45" s="667" t="s">
        <v>14</v>
      </c>
      <c r="S45" s="668">
        <f t="shared" si="12"/>
        <v>100</v>
      </c>
      <c r="T45" s="667" t="s">
        <v>14</v>
      </c>
      <c r="U45" s="668">
        <f t="shared" si="13"/>
        <v>100</v>
      </c>
      <c r="V45" s="667" t="s">
        <v>14</v>
      </c>
      <c r="W45" s="668">
        <f t="shared" si="14"/>
        <v>100</v>
      </c>
      <c r="X45" s="1265"/>
      <c r="Y45" s="335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35"/>
      <c r="Q46" s="1263">
        <f t="shared" si="11"/>
        <v>111</v>
      </c>
      <c r="R46" s="667" t="s">
        <v>14</v>
      </c>
      <c r="S46" s="668">
        <f t="shared" si="12"/>
        <v>100</v>
      </c>
      <c r="T46" s="667" t="s">
        <v>14</v>
      </c>
      <c r="U46" s="668">
        <f t="shared" si="13"/>
        <v>100</v>
      </c>
      <c r="V46" s="667" t="s">
        <v>14</v>
      </c>
      <c r="W46" s="668">
        <f t="shared" si="14"/>
        <v>100</v>
      </c>
      <c r="X46" s="1265"/>
      <c r="Y46" s="3352"/>
      <c r="Z46" s="1264">
        <f t="shared" si="15"/>
        <v>111</v>
      </c>
      <c r="AA46" s="1264">
        <f t="shared" si="3"/>
        <v>1</v>
      </c>
      <c r="AB46" s="1264">
        <f t="shared" si="4"/>
        <v>1</v>
      </c>
      <c r="AC46" s="1264">
        <f t="shared" si="5"/>
        <v>1</v>
      </c>
    </row>
    <row r="47" spans="1:29" ht="15">
      <c r="A47" s="416" t="s">
        <v>1705</v>
      </c>
      <c r="B47" s="417"/>
      <c r="C47" s="1081" t="s">
        <v>0</v>
      </c>
      <c r="D47" s="418"/>
      <c r="E47" s="419"/>
      <c r="F47" s="420"/>
      <c r="G47" s="421"/>
      <c r="H47" s="422"/>
      <c r="I47" s="419"/>
      <c r="J47" s="422"/>
      <c r="K47" s="674"/>
      <c r="L47" s="2490"/>
      <c r="M47" s="2483"/>
      <c r="N47" s="2483"/>
      <c r="O47" s="2483"/>
      <c r="P47" s="3343" t="str">
        <f>A47</f>
        <v>成交单价（元/平方米）</v>
      </c>
      <c r="Q47" s="3343"/>
      <c r="R47" s="3344">
        <f>E47</f>
        <v>0</v>
      </c>
      <c r="S47" s="3344"/>
      <c r="T47" s="3344">
        <f>G47</f>
        <v>0</v>
      </c>
      <c r="U47" s="3344"/>
      <c r="V47" s="3344">
        <f>I47</f>
        <v>0</v>
      </c>
      <c r="W47" s="3344"/>
      <c r="X47" s="385"/>
      <c r="Y47" s="673"/>
      <c r="Z47" s="385"/>
      <c r="AA47" s="385"/>
      <c r="AB47" s="385"/>
      <c r="AC47" s="385"/>
    </row>
    <row r="48" spans="1:29" ht="15.75" thickBot="1">
      <c r="A48" s="423" t="s">
        <v>1790</v>
      </c>
      <c r="B48" s="424"/>
      <c r="C48" s="1082" t="e">
        <f>R49</f>
        <v>#DIV/0!</v>
      </c>
      <c r="D48" s="2141" t="s">
        <v>2135</v>
      </c>
      <c r="E48" s="1083" t="e">
        <f>R48</f>
        <v>#DIV/0!</v>
      </c>
      <c r="F48" s="2142"/>
      <c r="G48" s="1082" t="e">
        <f>T48</f>
        <v>#DIV/0!</v>
      </c>
      <c r="H48" s="2142"/>
      <c r="I48" s="1083" t="e">
        <f>V48</f>
        <v>#DIV/0!</v>
      </c>
      <c r="J48" s="2142"/>
      <c r="K48" s="2144">
        <f>F48+H48+J48</f>
        <v>0</v>
      </c>
      <c r="L48" s="2490"/>
      <c r="M48" s="2483"/>
      <c r="N48" s="2483"/>
      <c r="O48" s="2483"/>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345" t="str">
        <f>A49</f>
        <v>估价对象XX用房的比较价值（楼面单价，元/平方米）</v>
      </c>
      <c r="Q49" s="3346"/>
      <c r="R49" s="3347" t="e">
        <f>IF(F1="售价",ROUND(IF(D48="简单平均",AVERAGE(R48:V48),R48*F48+T48*H48+V48*J48),0),ROUND(IF(D48="简单平均",AVERAGE(R48:V48),R48*F48+T48*H48+V48*J48),1))</f>
        <v>#DIV/0!</v>
      </c>
      <c r="S49" s="3347"/>
      <c r="T49" s="3347"/>
      <c r="U49" s="3347"/>
      <c r="V49" s="3347"/>
      <c r="W49" s="334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1676</v>
      </c>
      <c r="B58" s="441"/>
      <c r="C58" s="1103" t="str">
        <f>YEAR(C7)&amp;"-"&amp;MONTH(C7)</f>
        <v>2024-3</v>
      </c>
      <c r="D58" s="1104">
        <f>EDATE(C58,-1)</f>
        <v>45323</v>
      </c>
      <c r="E58" s="1104">
        <f t="shared" ref="E58:N58" si="16">EDATE(D58,-1)</f>
        <v>45292</v>
      </c>
      <c r="F58" s="1104">
        <f t="shared" si="16"/>
        <v>45261</v>
      </c>
      <c r="G58" s="1104">
        <f t="shared" si="16"/>
        <v>45231</v>
      </c>
      <c r="H58" s="1104">
        <f t="shared" si="16"/>
        <v>45200</v>
      </c>
      <c r="I58" s="1104">
        <f t="shared" si="16"/>
        <v>45170</v>
      </c>
      <c r="J58" s="1104">
        <f t="shared" si="16"/>
        <v>45139</v>
      </c>
      <c r="K58" s="1104">
        <f t="shared" si="16"/>
        <v>45108</v>
      </c>
      <c r="L58" s="1104">
        <f t="shared" si="16"/>
        <v>45078</v>
      </c>
      <c r="M58" s="1104">
        <f t="shared" si="16"/>
        <v>45047</v>
      </c>
      <c r="N58" s="1104">
        <f t="shared" si="16"/>
        <v>45017</v>
      </c>
      <c r="O58" s="1104">
        <f>EDATE(N58,-1)</f>
        <v>44986</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1713</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1678</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1716</v>
      </c>
      <c r="B63" s="460" t="s">
        <v>1682</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1685</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1687</v>
      </c>
      <c r="B76" s="460" t="s">
        <v>1717</v>
      </c>
      <c r="C76" s="504" t="s">
        <v>1718</v>
      </c>
      <c r="D76" s="504" t="s">
        <v>1719</v>
      </c>
      <c r="E76" s="504" t="s">
        <v>1720</v>
      </c>
      <c r="F76" s="504" t="s">
        <v>1721</v>
      </c>
      <c r="G76" s="504" t="s">
        <v>1722</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1723</v>
      </c>
      <c r="C78" s="509" t="s">
        <v>1718</v>
      </c>
      <c r="D78" s="509" t="s">
        <v>1719</v>
      </c>
      <c r="E78" s="509" t="s">
        <v>1720</v>
      </c>
      <c r="F78" s="509" t="s">
        <v>1721</v>
      </c>
      <c r="G78" s="509" t="s">
        <v>1722</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1724</v>
      </c>
      <c r="C80" s="509" t="s">
        <v>1718</v>
      </c>
      <c r="D80" s="509" t="s">
        <v>1719</v>
      </c>
      <c r="E80" s="509" t="s">
        <v>1720</v>
      </c>
      <c r="F80" s="509" t="s">
        <v>1721</v>
      </c>
      <c r="G80" s="509" t="s">
        <v>1722</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1730</v>
      </c>
      <c r="C84" s="509" t="s">
        <v>1718</v>
      </c>
      <c r="D84" s="509" t="s">
        <v>1719</v>
      </c>
      <c r="E84" s="509" t="s">
        <v>1720</v>
      </c>
      <c r="F84" s="509" t="s">
        <v>1721</v>
      </c>
      <c r="G84" s="509" t="s">
        <v>1722</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80"/>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1691</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1734</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1735</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1718</v>
      </c>
      <c r="D124" s="509" t="s">
        <v>1719</v>
      </c>
      <c r="E124" s="509" t="s">
        <v>1720</v>
      </c>
      <c r="F124" s="509" t="s">
        <v>1721</v>
      </c>
      <c r="G124" s="509" t="s">
        <v>1722</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1807</v>
      </c>
      <c r="C1" s="1141" t="s">
        <v>1659</v>
      </c>
      <c r="D1" s="1142"/>
      <c r="E1" s="3127"/>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1461</v>
      </c>
      <c r="B3" s="536">
        <f>IF(C2="——",C50,ROUND(B2*10000/D3,0))</f>
        <v>0</v>
      </c>
      <c r="C3" s="344" t="s">
        <v>1765</v>
      </c>
      <c r="D3" s="343">
        <f>IF(D1="",'数据-汇总表'!E3,SUMIF('数据-汇总表'!$C19:$C33,D1,'数据-汇总表'!$E19:$E33))</f>
        <v>9096.41</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356" t="s">
        <v>1767</v>
      </c>
      <c r="D4" s="3357"/>
      <c r="E4" s="3358" t="s">
        <v>1768</v>
      </c>
      <c r="F4" s="3359"/>
      <c r="G4" s="3356" t="s">
        <v>1769</v>
      </c>
      <c r="H4" s="3357"/>
      <c r="I4" s="3356" t="s">
        <v>1770</v>
      </c>
      <c r="J4" s="3357"/>
      <c r="K4" s="537" t="s">
        <v>1771</v>
      </c>
      <c r="L4" s="2482"/>
      <c r="M4" s="2483"/>
      <c r="N4" s="2483"/>
      <c r="O4" s="2483"/>
      <c r="P4" s="3447" t="s">
        <v>1772</v>
      </c>
      <c r="Q4" s="3448"/>
      <c r="R4" s="3451" t="s">
        <v>1768</v>
      </c>
      <c r="S4" s="3452"/>
      <c r="T4" s="3451" t="s">
        <v>1769</v>
      </c>
      <c r="U4" s="3452"/>
      <c r="V4" s="3453" t="s">
        <v>1770</v>
      </c>
      <c r="W4" s="3453"/>
      <c r="X4" s="1809"/>
      <c r="Y4" s="3451" t="s">
        <v>1772</v>
      </c>
      <c r="Z4" s="3452"/>
      <c r="AA4" s="3455" t="s">
        <v>1768</v>
      </c>
      <c r="AB4" s="3455" t="s">
        <v>1769</v>
      </c>
      <c r="AC4" s="3444" t="s">
        <v>1770</v>
      </c>
    </row>
    <row r="5" spans="1:29" ht="15">
      <c r="A5" s="348"/>
      <c r="B5" s="349"/>
      <c r="C5" s="3379" t="s">
        <v>1670</v>
      </c>
      <c r="D5" s="3375"/>
      <c r="E5" s="3440" t="s">
        <v>1671</v>
      </c>
      <c r="F5" s="3384"/>
      <c r="G5" s="3379" t="s">
        <v>1672</v>
      </c>
      <c r="H5" s="3375"/>
      <c r="I5" s="3379" t="s">
        <v>1673</v>
      </c>
      <c r="J5" s="3375"/>
      <c r="K5" s="537"/>
      <c r="L5" s="2482"/>
      <c r="M5" s="2483"/>
      <c r="N5" s="2483"/>
      <c r="O5" s="2483"/>
      <c r="P5" s="3449"/>
      <c r="Q5" s="3363"/>
      <c r="R5" s="3368"/>
      <c r="S5" s="3369"/>
      <c r="T5" s="3368"/>
      <c r="U5" s="3369"/>
      <c r="V5" s="3344"/>
      <c r="W5" s="3344"/>
      <c r="X5" s="1265"/>
      <c r="Y5" s="3368"/>
      <c r="Z5" s="3369"/>
      <c r="AA5" s="3354"/>
      <c r="AB5" s="3354"/>
      <c r="AC5" s="3445"/>
    </row>
    <row r="6" spans="1:29" ht="15.75" thickBot="1">
      <c r="A6" s="350"/>
      <c r="B6" s="351"/>
      <c r="C6" s="3380" t="s">
        <v>1674</v>
      </c>
      <c r="D6" s="3373"/>
      <c r="E6" s="3439" t="s">
        <v>1674</v>
      </c>
      <c r="F6" s="3382"/>
      <c r="G6" s="3380" t="s">
        <v>1674</v>
      </c>
      <c r="H6" s="3373"/>
      <c r="I6" s="3380" t="s">
        <v>1674</v>
      </c>
      <c r="J6" s="3373"/>
      <c r="K6" s="537" t="s">
        <v>1675</v>
      </c>
      <c r="L6" s="2482"/>
      <c r="M6" s="2483"/>
      <c r="N6" s="2483"/>
      <c r="O6" s="2483"/>
      <c r="P6" s="3450"/>
      <c r="Q6" s="3365"/>
      <c r="R6" s="3368"/>
      <c r="S6" s="3369"/>
      <c r="T6" s="3370"/>
      <c r="U6" s="3371"/>
      <c r="V6" s="3344"/>
      <c r="W6" s="3344"/>
      <c r="X6" s="1265"/>
      <c r="Y6" s="3370"/>
      <c r="Z6" s="3371"/>
      <c r="AA6" s="3355"/>
      <c r="AB6" s="3355"/>
      <c r="AC6" s="3446"/>
    </row>
    <row r="7" spans="1:29" s="102" customFormat="1" ht="15.75" thickBot="1">
      <c r="A7" s="352" t="s">
        <v>1676</v>
      </c>
      <c r="B7" s="353"/>
      <c r="C7" s="354">
        <f>'数据-取费表'!B2</f>
        <v>45355</v>
      </c>
      <c r="D7" s="355">
        <v>100</v>
      </c>
      <c r="E7" s="356"/>
      <c r="F7" s="357">
        <f>SUMIF(59:59,YEAR(E7)&amp;"-"&amp;MONTH(E7),60:60)</f>
        <v>0</v>
      </c>
      <c r="G7" s="356"/>
      <c r="H7" s="355">
        <f>SUMIF(59:59,YEAR(G7)&amp;"-"&amp;MONTH(G7),60:60)</f>
        <v>0</v>
      </c>
      <c r="I7" s="356"/>
      <c r="J7" s="355">
        <f>SUMIF(59:59,YEAR(I7)&amp;"-"&amp;MONTH(I7),60:60)</f>
        <v>0</v>
      </c>
      <c r="K7" s="38"/>
      <c r="L7" s="2484"/>
      <c r="M7" s="2435"/>
      <c r="N7" s="2435"/>
      <c r="O7" s="2435"/>
      <c r="P7" s="3454" t="s">
        <v>1677</v>
      </c>
      <c r="Q7" s="3378"/>
      <c r="R7" s="664" t="s">
        <v>14</v>
      </c>
      <c r="S7" s="665">
        <f t="shared" ref="S7:S15" si="0">F7</f>
        <v>0</v>
      </c>
      <c r="T7" s="664" t="s">
        <v>14</v>
      </c>
      <c r="U7" s="665">
        <f t="shared" ref="U7:U15" si="1">H7</f>
        <v>0</v>
      </c>
      <c r="V7" s="664" t="s">
        <v>14</v>
      </c>
      <c r="W7" s="665">
        <f t="shared" ref="W7:W15" si="2">J7</f>
        <v>0</v>
      </c>
      <c r="X7" s="666"/>
      <c r="Y7" s="3376" t="s">
        <v>1677</v>
      </c>
      <c r="Z7" s="3377"/>
      <c r="AA7" s="50" t="e">
        <f>D7/F7</f>
        <v>#DIV/0!</v>
      </c>
      <c r="AB7" s="50" t="e">
        <f>D7/H7</f>
        <v>#DIV/0!</v>
      </c>
      <c r="AC7" s="802" t="e">
        <f>D7/J7</f>
        <v>#DIV/0!</v>
      </c>
    </row>
    <row r="8" spans="1:29" s="102" customFormat="1" ht="15.75" thickBot="1">
      <c r="A8" s="352" t="s">
        <v>1678</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454" t="s">
        <v>1680</v>
      </c>
      <c r="Q8" s="3377"/>
      <c r="R8" s="664" t="s">
        <v>14</v>
      </c>
      <c r="S8" s="665">
        <f t="shared" si="0"/>
        <v>100</v>
      </c>
      <c r="T8" s="664" t="s">
        <v>14</v>
      </c>
      <c r="U8" s="665">
        <f t="shared" si="1"/>
        <v>100</v>
      </c>
      <c r="V8" s="664" t="s">
        <v>14</v>
      </c>
      <c r="W8" s="665">
        <f t="shared" si="2"/>
        <v>100</v>
      </c>
      <c r="X8" s="666"/>
      <c r="Y8" s="3376" t="s">
        <v>1680</v>
      </c>
      <c r="Z8" s="3377"/>
      <c r="AA8" s="50">
        <f t="shared" ref="AA8:AA47" si="3">D8/F8</f>
        <v>1</v>
      </c>
      <c r="AB8" s="50">
        <f t="shared" ref="AB8:AB47" si="4">D8/H8</f>
        <v>1</v>
      </c>
      <c r="AC8" s="802">
        <f t="shared" ref="AC8:AC47" si="5">D8/J8</f>
        <v>1</v>
      </c>
    </row>
    <row r="9" spans="1:29" s="102" customFormat="1">
      <c r="A9" s="359" t="s">
        <v>1681</v>
      </c>
      <c r="B9" s="60" t="s">
        <v>1682</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38" t="s">
        <v>1683</v>
      </c>
      <c r="Q9" s="530" t="str">
        <f t="shared" ref="Q9:Q15" si="6">B9</f>
        <v>用途</v>
      </c>
      <c r="R9" s="664" t="s">
        <v>14</v>
      </c>
      <c r="S9" s="665">
        <f t="shared" si="0"/>
        <v>100</v>
      </c>
      <c r="T9" s="664" t="s">
        <v>14</v>
      </c>
      <c r="U9" s="665">
        <f t="shared" si="1"/>
        <v>100</v>
      </c>
      <c r="V9" s="664" t="s">
        <v>14</v>
      </c>
      <c r="W9" s="665">
        <f t="shared" si="2"/>
        <v>100</v>
      </c>
      <c r="X9" s="666"/>
      <c r="Y9" s="3250" t="s">
        <v>1684</v>
      </c>
      <c r="Z9" s="50" t="str">
        <f t="shared" ref="Z9:Z15" si="7">Q9</f>
        <v>用途</v>
      </c>
      <c r="AA9" s="50">
        <f t="shared" si="3"/>
        <v>1</v>
      </c>
      <c r="AB9" s="50">
        <f t="shared" si="4"/>
        <v>1</v>
      </c>
      <c r="AC9" s="802">
        <f t="shared" si="5"/>
        <v>1</v>
      </c>
    </row>
    <row r="10" spans="1:29" s="366" customFormat="1" ht="27">
      <c r="A10" s="363"/>
      <c r="B10" s="364" t="s">
        <v>1685</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38"/>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802">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38"/>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5"/>
      <c r="N12" s="2435"/>
      <c r="O12" s="2435"/>
      <c r="P12" s="3438"/>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438"/>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438"/>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802">
        <f t="shared" si="5"/>
        <v>1</v>
      </c>
    </row>
    <row r="15" spans="1:29" ht="15">
      <c r="A15" s="379" t="s">
        <v>1687</v>
      </c>
      <c r="B15" s="554" t="s">
        <v>1808</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36" t="s">
        <v>1688</v>
      </c>
      <c r="Q15" s="1263" t="str">
        <f t="shared" si="6"/>
        <v>办公集聚程度</v>
      </c>
      <c r="R15" s="667" t="s">
        <v>14</v>
      </c>
      <c r="S15" s="668">
        <f t="shared" si="0"/>
        <v>100</v>
      </c>
      <c r="T15" s="667" t="s">
        <v>14</v>
      </c>
      <c r="U15" s="668">
        <f t="shared" si="1"/>
        <v>100</v>
      </c>
      <c r="V15" s="667" t="s">
        <v>14</v>
      </c>
      <c r="W15" s="668">
        <f t="shared" si="2"/>
        <v>100</v>
      </c>
      <c r="X15" s="1265"/>
      <c r="Y15" s="3348" t="s">
        <v>1688</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8"/>
      <c r="M16" s="2483"/>
      <c r="N16" s="2483"/>
      <c r="O16" s="2483"/>
      <c r="P16" s="3437"/>
      <c r="Q16" s="1263"/>
      <c r="R16" s="667"/>
      <c r="S16" s="668"/>
      <c r="T16" s="667"/>
      <c r="U16" s="668"/>
      <c r="V16" s="667"/>
      <c r="W16" s="668"/>
      <c r="X16" s="1265"/>
      <c r="Y16" s="3349"/>
      <c r="Z16" s="1264"/>
      <c r="AA16" s="1264">
        <v>1</v>
      </c>
      <c r="AB16" s="1264">
        <v>1</v>
      </c>
      <c r="AC16" s="1812">
        <v>1</v>
      </c>
    </row>
    <row r="17" spans="1:29" ht="15">
      <c r="A17" s="367"/>
      <c r="B17" s="556" t="s">
        <v>1256</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37"/>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8"/>
      <c r="M18" s="2483"/>
      <c r="N18" s="2483"/>
      <c r="O18" s="2483"/>
      <c r="P18" s="3437"/>
      <c r="Q18" s="1263"/>
      <c r="R18" s="667"/>
      <c r="S18" s="668"/>
      <c r="T18" s="667"/>
      <c r="U18" s="668"/>
      <c r="V18" s="667"/>
      <c r="W18" s="668"/>
      <c r="X18" s="1265"/>
      <c r="Y18" s="3349"/>
      <c r="Z18" s="1264"/>
      <c r="AA18" s="1264">
        <v>1</v>
      </c>
      <c r="AB18" s="1264">
        <v>1</v>
      </c>
      <c r="AC18" s="1812">
        <v>1</v>
      </c>
    </row>
    <row r="19" spans="1:29" ht="15">
      <c r="A19" s="367"/>
      <c r="B19" s="556" t="s">
        <v>1809</v>
      </c>
      <c r="C19" s="1813"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37"/>
      <c r="Q19" s="1263" t="str">
        <f>B19</f>
        <v>公共配套设施</v>
      </c>
      <c r="R19" s="667" t="s">
        <v>14</v>
      </c>
      <c r="S19" s="668">
        <f>F19</f>
        <v>100</v>
      </c>
      <c r="T19" s="667" t="s">
        <v>14</v>
      </c>
      <c r="U19" s="668">
        <f>H19</f>
        <v>100</v>
      </c>
      <c r="V19" s="667" t="s">
        <v>14</v>
      </c>
      <c r="W19" s="668">
        <f>J19</f>
        <v>100</v>
      </c>
      <c r="X19" s="1265"/>
      <c r="Y19" s="334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8"/>
      <c r="M20" s="2483"/>
      <c r="N20" s="2483"/>
      <c r="O20" s="2483"/>
      <c r="P20" s="3437"/>
      <c r="Q20" s="1263"/>
      <c r="R20" s="667"/>
      <c r="S20" s="668"/>
      <c r="T20" s="667"/>
      <c r="U20" s="668"/>
      <c r="V20" s="667"/>
      <c r="W20" s="668"/>
      <c r="X20" s="1265"/>
      <c r="Y20" s="3349"/>
      <c r="Z20" s="1264"/>
      <c r="AA20" s="1264">
        <v>1</v>
      </c>
      <c r="AB20" s="1264">
        <v>1</v>
      </c>
      <c r="AC20" s="1812">
        <v>1</v>
      </c>
    </row>
    <row r="21" spans="1:29" ht="15">
      <c r="A21" s="367"/>
      <c r="B21" s="557" t="s">
        <v>1810</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37"/>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8"/>
      <c r="M22" s="2483"/>
      <c r="N22" s="2483"/>
      <c r="O22" s="2483"/>
      <c r="P22" s="3437"/>
      <c r="Q22" s="1263"/>
      <c r="R22" s="667"/>
      <c r="S22" s="668"/>
      <c r="T22" s="667"/>
      <c r="U22" s="668"/>
      <c r="V22" s="667"/>
      <c r="W22" s="668"/>
      <c r="X22" s="1265"/>
      <c r="Y22" s="3349"/>
      <c r="Z22" s="1264"/>
      <c r="AA22" s="1264">
        <v>1</v>
      </c>
      <c r="AB22" s="1264">
        <v>1</v>
      </c>
      <c r="AC22" s="1812">
        <v>1</v>
      </c>
    </row>
    <row r="23" spans="1:29" ht="15">
      <c r="A23" s="367"/>
      <c r="B23" s="556" t="s">
        <v>1811</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37"/>
      <c r="Q23" s="1263" t="str">
        <f>B23</f>
        <v>环境质量</v>
      </c>
      <c r="R23" s="667" t="s">
        <v>14</v>
      </c>
      <c r="S23" s="668">
        <f>F23</f>
        <v>100</v>
      </c>
      <c r="T23" s="667" t="s">
        <v>14</v>
      </c>
      <c r="U23" s="668">
        <f>H23</f>
        <v>100</v>
      </c>
      <c r="V23" s="667" t="s">
        <v>14</v>
      </c>
      <c r="W23" s="668">
        <f>J23</f>
        <v>100</v>
      </c>
      <c r="X23" s="1265"/>
      <c r="Y23" s="334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8"/>
      <c r="M24" s="2483"/>
      <c r="N24" s="2483"/>
      <c r="O24" s="2483"/>
      <c r="P24" s="3437"/>
      <c r="Q24" s="1263"/>
      <c r="R24" s="667"/>
      <c r="S24" s="668"/>
      <c r="T24" s="667"/>
      <c r="U24" s="668"/>
      <c r="V24" s="667"/>
      <c r="W24" s="668"/>
      <c r="X24" s="1265"/>
      <c r="Y24" s="3349"/>
      <c r="Z24" s="1264"/>
      <c r="AA24" s="1264">
        <v>1</v>
      </c>
      <c r="AB24" s="1264">
        <v>1</v>
      </c>
      <c r="AC24" s="1812">
        <v>1</v>
      </c>
    </row>
    <row r="25" spans="1:29" ht="27">
      <c r="A25" s="348"/>
      <c r="B25" s="556" t="s">
        <v>1812</v>
      </c>
      <c r="C25" s="1762"/>
      <c r="D25" s="374">
        <v>100</v>
      </c>
      <c r="E25" s="373"/>
      <c r="F25" s="374">
        <f>SUMIF(87:87,E26,88:88)-SUMIF(87:87,C26,88:88)+100</f>
        <v>100</v>
      </c>
      <c r="G25" s="1762"/>
      <c r="H25" s="374">
        <f>SUMIF(87:87,G26,88:88)-SUMIF(87:87,C26,88:88)+100</f>
        <v>100</v>
      </c>
      <c r="I25" s="373"/>
      <c r="J25" s="374">
        <f>SUMIF(87:87,I26,88:88)-SUMIF(87:87,C26,88:88)+100</f>
        <v>100</v>
      </c>
      <c r="K25" s="540"/>
      <c r="L25" s="2488"/>
      <c r="M25" s="2483"/>
      <c r="N25" s="2483"/>
      <c r="O25" s="2483"/>
      <c r="P25" s="3437"/>
      <c r="Q25" s="1263" t="str">
        <f>B25</f>
        <v>毗邻道路的类型与等级</v>
      </c>
      <c r="R25" s="667" t="s">
        <v>14</v>
      </c>
      <c r="S25" s="668">
        <f>F25</f>
        <v>100</v>
      </c>
      <c r="T25" s="667" t="s">
        <v>14</v>
      </c>
      <c r="U25" s="668">
        <f>H25</f>
        <v>100</v>
      </c>
      <c r="V25" s="667" t="s">
        <v>14</v>
      </c>
      <c r="W25" s="668">
        <f>J25</f>
        <v>100</v>
      </c>
      <c r="X25" s="1265"/>
      <c r="Y25" s="334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437"/>
      <c r="Q26" s="1263"/>
      <c r="R26" s="667"/>
      <c r="S26" s="668"/>
      <c r="T26" s="667"/>
      <c r="U26" s="668"/>
      <c r="V26" s="667"/>
      <c r="W26" s="668"/>
      <c r="X26" s="1265"/>
      <c r="Y26" s="3349"/>
      <c r="Z26" s="1264"/>
      <c r="AA26" s="1264">
        <v>1</v>
      </c>
      <c r="AB26" s="1264">
        <v>1</v>
      </c>
      <c r="AC26" s="1812">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37"/>
      <c r="Q27" s="1263" t="str">
        <f t="shared" ref="Q27:Q47" si="11">B27</f>
        <v>楼层</v>
      </c>
      <c r="R27" s="667" t="s">
        <v>14</v>
      </c>
      <c r="S27" s="668">
        <f>F27</f>
        <v>100</v>
      </c>
      <c r="T27" s="667" t="s">
        <v>14</v>
      </c>
      <c r="U27" s="668">
        <f>H27</f>
        <v>100</v>
      </c>
      <c r="V27" s="667" t="s">
        <v>14</v>
      </c>
      <c r="W27" s="668">
        <f>J27</f>
        <v>100</v>
      </c>
      <c r="X27" s="1265"/>
      <c r="Y27" s="3349"/>
      <c r="Z27" s="1264" t="str">
        <f>Q27</f>
        <v>楼层</v>
      </c>
      <c r="AA27" s="1264">
        <f t="shared" si="3"/>
        <v>1</v>
      </c>
      <c r="AB27" s="1264">
        <f t="shared" si="4"/>
        <v>1</v>
      </c>
      <c r="AC27" s="1812">
        <f t="shared" si="5"/>
        <v>1</v>
      </c>
    </row>
    <row r="28" spans="1:29" s="102" customFormat="1" ht="15">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5"/>
      <c r="N28" s="2435"/>
      <c r="O28" s="2435"/>
      <c r="P28" s="3437"/>
      <c r="Q28" s="530" t="str">
        <f t="shared" si="11"/>
        <v>朝向</v>
      </c>
      <c r="R28" s="664" t="s">
        <v>14</v>
      </c>
      <c r="S28" s="665">
        <f>F28</f>
        <v>100</v>
      </c>
      <c r="T28" s="664" t="s">
        <v>14</v>
      </c>
      <c r="U28" s="665">
        <f>H28</f>
        <v>100</v>
      </c>
      <c r="V28" s="664" t="s">
        <v>14</v>
      </c>
      <c r="W28" s="665">
        <f>J28</f>
        <v>100</v>
      </c>
      <c r="X28" s="666"/>
      <c r="Y28" s="334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437"/>
      <c r="Q29" s="1263">
        <f t="shared" si="11"/>
        <v>111</v>
      </c>
      <c r="R29" s="667" t="s">
        <v>14</v>
      </c>
      <c r="S29" s="668">
        <f t="shared" ref="S29:S47" si="12">F29</f>
        <v>100</v>
      </c>
      <c r="T29" s="667" t="s">
        <v>14</v>
      </c>
      <c r="U29" s="668">
        <f t="shared" ref="U29:U47" si="13">H29</f>
        <v>100</v>
      </c>
      <c r="V29" s="667" t="s">
        <v>14</v>
      </c>
      <c r="W29" s="668">
        <f t="shared" ref="W29:W47" si="14">J29</f>
        <v>100</v>
      </c>
      <c r="X29" s="1265"/>
      <c r="Y29" s="334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437"/>
      <c r="Q30" s="1263">
        <f t="shared" si="11"/>
        <v>111</v>
      </c>
      <c r="R30" s="667" t="s">
        <v>14</v>
      </c>
      <c r="S30" s="668">
        <f t="shared" si="12"/>
        <v>100</v>
      </c>
      <c r="T30" s="667" t="s">
        <v>14</v>
      </c>
      <c r="U30" s="668">
        <f t="shared" si="13"/>
        <v>100</v>
      </c>
      <c r="V30" s="667" t="s">
        <v>14</v>
      </c>
      <c r="W30" s="668">
        <f t="shared" si="14"/>
        <v>100</v>
      </c>
      <c r="X30" s="1265"/>
      <c r="Y30" s="334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437"/>
      <c r="Q31" s="1263">
        <f t="shared" si="11"/>
        <v>111</v>
      </c>
      <c r="R31" s="667" t="s">
        <v>14</v>
      </c>
      <c r="S31" s="668">
        <f t="shared" si="12"/>
        <v>100</v>
      </c>
      <c r="T31" s="667" t="s">
        <v>14</v>
      </c>
      <c r="U31" s="668">
        <f t="shared" si="13"/>
        <v>100</v>
      </c>
      <c r="V31" s="667" t="s">
        <v>14</v>
      </c>
      <c r="W31" s="668">
        <f t="shared" si="14"/>
        <v>100</v>
      </c>
      <c r="X31" s="1265"/>
      <c r="Y31" s="334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437"/>
      <c r="Q32" s="1263">
        <f t="shared" si="11"/>
        <v>111</v>
      </c>
      <c r="R32" s="667" t="s">
        <v>14</v>
      </c>
      <c r="S32" s="668">
        <f t="shared" si="12"/>
        <v>100</v>
      </c>
      <c r="T32" s="667" t="s">
        <v>14</v>
      </c>
      <c r="U32" s="668">
        <f t="shared" si="13"/>
        <v>100</v>
      </c>
      <c r="V32" s="667" t="s">
        <v>14</v>
      </c>
      <c r="W32" s="668">
        <f t="shared" si="14"/>
        <v>100</v>
      </c>
      <c r="X32" s="1265"/>
      <c r="Y32" s="3349"/>
      <c r="Z32" s="1264">
        <f t="shared" si="15"/>
        <v>111</v>
      </c>
      <c r="AA32" s="1264">
        <f t="shared" si="3"/>
        <v>1</v>
      </c>
      <c r="AB32" s="1264">
        <f t="shared" si="4"/>
        <v>1</v>
      </c>
      <c r="AC32" s="1812">
        <f t="shared" si="5"/>
        <v>1</v>
      </c>
    </row>
    <row r="33" spans="1:29" ht="15">
      <c r="A33" s="379" t="s">
        <v>1691</v>
      </c>
      <c r="B33" s="60" t="s">
        <v>1814</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8"/>
      <c r="M33" s="2483"/>
      <c r="N33" s="2483"/>
      <c r="O33" s="2483"/>
      <c r="P33" s="3433" t="s">
        <v>1693</v>
      </c>
      <c r="Q33" s="1263" t="str">
        <f t="shared" si="11"/>
        <v>建筑类型</v>
      </c>
      <c r="R33" s="667" t="s">
        <v>14</v>
      </c>
      <c r="S33" s="668">
        <f t="shared" si="12"/>
        <v>100</v>
      </c>
      <c r="T33" s="667" t="s">
        <v>14</v>
      </c>
      <c r="U33" s="668">
        <f t="shared" si="13"/>
        <v>100</v>
      </c>
      <c r="V33" s="667" t="s">
        <v>14</v>
      </c>
      <c r="W33" s="668">
        <f t="shared" si="14"/>
        <v>100</v>
      </c>
      <c r="X33" s="1265"/>
      <c r="Y33" s="3351" t="s">
        <v>1693</v>
      </c>
      <c r="Z33" s="1264" t="str">
        <f t="shared" si="15"/>
        <v>建筑类型</v>
      </c>
      <c r="AA33" s="1264">
        <f t="shared" si="3"/>
        <v>1</v>
      </c>
      <c r="AB33" s="1264">
        <f t="shared" si="4"/>
        <v>1</v>
      </c>
      <c r="AC33" s="1812">
        <f t="shared" si="5"/>
        <v>1</v>
      </c>
    </row>
    <row r="34" spans="1:29" s="408" customFormat="1" ht="15">
      <c r="A34" s="406"/>
      <c r="B34" s="364" t="s">
        <v>1694</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34"/>
      <c r="Q34" s="531" t="str">
        <f t="shared" si="11"/>
        <v>项目建筑规模</v>
      </c>
      <c r="R34" s="669" t="s">
        <v>14</v>
      </c>
      <c r="S34" s="670" t="e">
        <f t="shared" si="12"/>
        <v>#N/A</v>
      </c>
      <c r="T34" s="669" t="s">
        <v>14</v>
      </c>
      <c r="U34" s="670" t="e">
        <f t="shared" si="13"/>
        <v>#N/A</v>
      </c>
      <c r="V34" s="669" t="s">
        <v>14</v>
      </c>
      <c r="W34" s="670" t="e">
        <f t="shared" si="14"/>
        <v>#N/A</v>
      </c>
      <c r="X34" s="671"/>
      <c r="Y34" s="3351"/>
      <c r="Z34" s="672" t="str">
        <f t="shared" si="15"/>
        <v>项目建筑规模</v>
      </c>
      <c r="AA34" s="1264" t="e">
        <f t="shared" si="3"/>
        <v>#N/A</v>
      </c>
      <c r="AB34" s="1264" t="e">
        <f t="shared" si="4"/>
        <v>#N/A</v>
      </c>
      <c r="AC34" s="1812" t="e">
        <f t="shared" si="5"/>
        <v>#N/A</v>
      </c>
    </row>
    <row r="35" spans="1:29" ht="1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34"/>
      <c r="Q35" s="1263" t="str">
        <f t="shared" si="11"/>
        <v>建筑结构</v>
      </c>
      <c r="R35" s="667" t="s">
        <v>14</v>
      </c>
      <c r="S35" s="668">
        <f t="shared" si="12"/>
        <v>100</v>
      </c>
      <c r="T35" s="667" t="s">
        <v>14</v>
      </c>
      <c r="U35" s="668">
        <f t="shared" si="13"/>
        <v>100</v>
      </c>
      <c r="V35" s="667" t="s">
        <v>14</v>
      </c>
      <c r="W35" s="668">
        <f t="shared" si="14"/>
        <v>100</v>
      </c>
      <c r="X35" s="1265"/>
      <c r="Y35" s="3351"/>
      <c r="Z35" s="1264" t="str">
        <f t="shared" si="15"/>
        <v>建筑结构</v>
      </c>
      <c r="AA35" s="1264">
        <f t="shared" si="3"/>
        <v>1</v>
      </c>
      <c r="AB35" s="1264">
        <f t="shared" si="4"/>
        <v>1</v>
      </c>
      <c r="AC35" s="1812">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34"/>
      <c r="Q36" s="1263" t="str">
        <f t="shared" si="11"/>
        <v>公共部分装修</v>
      </c>
      <c r="R36" s="667" t="s">
        <v>14</v>
      </c>
      <c r="S36" s="668">
        <f t="shared" si="12"/>
        <v>100</v>
      </c>
      <c r="T36" s="667" t="s">
        <v>14</v>
      </c>
      <c r="U36" s="668">
        <f t="shared" si="13"/>
        <v>100</v>
      </c>
      <c r="V36" s="667" t="s">
        <v>14</v>
      </c>
      <c r="W36" s="668">
        <f t="shared" si="14"/>
        <v>100</v>
      </c>
      <c r="X36" s="1265"/>
      <c r="Y36" s="3351"/>
      <c r="Z36" s="1264" t="str">
        <f t="shared" si="15"/>
        <v>公共部分装修</v>
      </c>
      <c r="AA36" s="1264">
        <f t="shared" si="3"/>
        <v>1</v>
      </c>
      <c r="AB36" s="1264">
        <f t="shared" si="4"/>
        <v>1</v>
      </c>
      <c r="AC36" s="1812">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34"/>
      <c r="Q37" s="1263" t="str">
        <f t="shared" si="11"/>
        <v>成新度</v>
      </c>
      <c r="R37" s="667" t="s">
        <v>14</v>
      </c>
      <c r="S37" s="668" t="e">
        <f t="shared" si="12"/>
        <v>#N/A</v>
      </c>
      <c r="T37" s="667" t="s">
        <v>14</v>
      </c>
      <c r="U37" s="668" t="e">
        <f t="shared" si="13"/>
        <v>#N/A</v>
      </c>
      <c r="V37" s="667" t="s">
        <v>14</v>
      </c>
      <c r="W37" s="668" t="e">
        <f t="shared" si="14"/>
        <v>#N/A</v>
      </c>
      <c r="X37" s="1265"/>
      <c r="Y37" s="3351"/>
      <c r="Z37" s="1264" t="str">
        <f t="shared" si="15"/>
        <v>成新度</v>
      </c>
      <c r="AA37" s="1264" t="e">
        <f t="shared" si="3"/>
        <v>#N/A</v>
      </c>
      <c r="AB37" s="1264" t="e">
        <f t="shared" si="4"/>
        <v>#N/A</v>
      </c>
      <c r="AC37" s="1812"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34"/>
      <c r="Q38" s="530" t="str">
        <f t="shared" si="11"/>
        <v>写字楼等级</v>
      </c>
      <c r="R38" s="664" t="s">
        <v>14</v>
      </c>
      <c r="S38" s="665">
        <f t="shared" si="12"/>
        <v>100</v>
      </c>
      <c r="T38" s="664" t="s">
        <v>14</v>
      </c>
      <c r="U38" s="665">
        <f t="shared" si="13"/>
        <v>100</v>
      </c>
      <c r="V38" s="664" t="s">
        <v>14</v>
      </c>
      <c r="W38" s="665">
        <f t="shared" si="14"/>
        <v>100</v>
      </c>
      <c r="X38" s="666"/>
      <c r="Y38" s="3351"/>
      <c r="Z38" s="50" t="str">
        <f t="shared" si="15"/>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34" t="s">
        <v>1693</v>
      </c>
      <c r="Q39" s="1263" t="str">
        <f t="shared" si="11"/>
        <v>物业管理</v>
      </c>
      <c r="R39" s="667" t="s">
        <v>14</v>
      </c>
      <c r="S39" s="668">
        <f t="shared" si="12"/>
        <v>100</v>
      </c>
      <c r="T39" s="667" t="s">
        <v>14</v>
      </c>
      <c r="U39" s="668">
        <f t="shared" si="13"/>
        <v>100</v>
      </c>
      <c r="V39" s="667" t="s">
        <v>14</v>
      </c>
      <c r="W39" s="668">
        <f t="shared" si="14"/>
        <v>100</v>
      </c>
      <c r="X39" s="1265"/>
      <c r="Y39" s="3351" t="s">
        <v>1693</v>
      </c>
      <c r="Z39" s="1264" t="str">
        <f t="shared" si="15"/>
        <v>物业管理</v>
      </c>
      <c r="AA39" s="1264">
        <f t="shared" si="3"/>
        <v>1</v>
      </c>
      <c r="AB39" s="1264">
        <f t="shared" si="4"/>
        <v>1</v>
      </c>
      <c r="AC39" s="1812">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34"/>
      <c r="Q40" s="1263" t="str">
        <f t="shared" si="11"/>
        <v>市政基础设施</v>
      </c>
      <c r="R40" s="667" t="s">
        <v>14</v>
      </c>
      <c r="S40" s="668">
        <f t="shared" si="12"/>
        <v>100</v>
      </c>
      <c r="T40" s="667" t="s">
        <v>14</v>
      </c>
      <c r="U40" s="668">
        <f t="shared" si="13"/>
        <v>100</v>
      </c>
      <c r="V40" s="667" t="s">
        <v>14</v>
      </c>
      <c r="W40" s="668">
        <f t="shared" si="14"/>
        <v>100</v>
      </c>
      <c r="X40" s="1265"/>
      <c r="Y40" s="3351"/>
      <c r="Z40" s="1264" t="str">
        <f t="shared" si="15"/>
        <v>市政基础设施</v>
      </c>
      <c r="AA40" s="1264">
        <f t="shared" si="3"/>
        <v>1</v>
      </c>
      <c r="AB40" s="1264">
        <f t="shared" si="4"/>
        <v>1</v>
      </c>
      <c r="AC40" s="1812">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34"/>
      <c r="Q41" s="1263" t="str">
        <f t="shared" si="11"/>
        <v>层高</v>
      </c>
      <c r="R41" s="667" t="s">
        <v>14</v>
      </c>
      <c r="S41" s="668">
        <f t="shared" si="12"/>
        <v>100</v>
      </c>
      <c r="T41" s="667" t="s">
        <v>14</v>
      </c>
      <c r="U41" s="668">
        <f t="shared" si="13"/>
        <v>100</v>
      </c>
      <c r="V41" s="667" t="s">
        <v>14</v>
      </c>
      <c r="W41" s="668">
        <f t="shared" si="14"/>
        <v>100</v>
      </c>
      <c r="X41" s="1265"/>
      <c r="Y41" s="3351"/>
      <c r="Z41" s="1264" t="str">
        <f t="shared" si="15"/>
        <v>层高</v>
      </c>
      <c r="AA41" s="1264">
        <f t="shared" si="3"/>
        <v>1</v>
      </c>
      <c r="AB41" s="1264">
        <f t="shared" si="4"/>
        <v>1</v>
      </c>
      <c r="AC41" s="1812">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34"/>
      <c r="Q42" s="531" t="str">
        <f t="shared" si="11"/>
        <v>单套建筑面积</v>
      </c>
      <c r="R42" s="669" t="s">
        <v>14</v>
      </c>
      <c r="S42" s="670">
        <f t="shared" si="12"/>
        <v>100</v>
      </c>
      <c r="T42" s="669" t="s">
        <v>14</v>
      </c>
      <c r="U42" s="670">
        <f t="shared" si="13"/>
        <v>100</v>
      </c>
      <c r="V42" s="669" t="s">
        <v>14</v>
      </c>
      <c r="W42" s="670">
        <f t="shared" si="14"/>
        <v>100</v>
      </c>
      <c r="X42" s="671"/>
      <c r="Y42" s="3351"/>
      <c r="Z42" s="672" t="str">
        <f t="shared" si="15"/>
        <v>单套建筑面积</v>
      </c>
      <c r="AA42" s="1264">
        <f t="shared" si="3"/>
        <v>1</v>
      </c>
      <c r="AB42" s="1264">
        <f t="shared" si="4"/>
        <v>1</v>
      </c>
      <c r="AC42" s="1812">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34"/>
      <c r="Q43" s="1263" t="str">
        <f t="shared" si="11"/>
        <v>内部装修</v>
      </c>
      <c r="R43" s="667" t="s">
        <v>14</v>
      </c>
      <c r="S43" s="668">
        <f t="shared" si="12"/>
        <v>100</v>
      </c>
      <c r="T43" s="667" t="s">
        <v>14</v>
      </c>
      <c r="U43" s="668">
        <f t="shared" si="13"/>
        <v>100</v>
      </c>
      <c r="V43" s="667" t="s">
        <v>14</v>
      </c>
      <c r="W43" s="668">
        <f t="shared" si="14"/>
        <v>100</v>
      </c>
      <c r="X43" s="1265"/>
      <c r="Y43" s="3351"/>
      <c r="Z43" s="1264" t="str">
        <f t="shared" si="15"/>
        <v>内部装修</v>
      </c>
      <c r="AA43" s="1264">
        <f t="shared" si="3"/>
        <v>1</v>
      </c>
      <c r="AB43" s="1264">
        <f t="shared" si="4"/>
        <v>1</v>
      </c>
      <c r="AC43" s="1812">
        <f t="shared" si="5"/>
        <v>1</v>
      </c>
    </row>
    <row r="44" spans="1:29" ht="15">
      <c r="A44" s="409"/>
      <c r="B44" s="364" t="s">
        <v>1704</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8"/>
      <c r="M44" s="2483"/>
      <c r="N44" s="2483"/>
      <c r="O44" s="2483"/>
      <c r="P44" s="3434"/>
      <c r="Q44" s="1263" t="str">
        <f t="shared" si="11"/>
        <v>内部装修维护情况</v>
      </c>
      <c r="R44" s="667" t="s">
        <v>14</v>
      </c>
      <c r="S44" s="668">
        <f t="shared" si="12"/>
        <v>100</v>
      </c>
      <c r="T44" s="667" t="s">
        <v>14</v>
      </c>
      <c r="U44" s="668">
        <f t="shared" si="13"/>
        <v>100</v>
      </c>
      <c r="V44" s="667" t="s">
        <v>14</v>
      </c>
      <c r="W44" s="668">
        <f t="shared" si="14"/>
        <v>100</v>
      </c>
      <c r="X44" s="1265"/>
      <c r="Y44" s="335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34"/>
      <c r="Q45" s="530">
        <f t="shared" si="11"/>
        <v>111</v>
      </c>
      <c r="R45" s="664" t="s">
        <v>14</v>
      </c>
      <c r="S45" s="665">
        <f t="shared" si="12"/>
        <v>100</v>
      </c>
      <c r="T45" s="664" t="s">
        <v>14</v>
      </c>
      <c r="U45" s="665">
        <f t="shared" si="13"/>
        <v>100</v>
      </c>
      <c r="V45" s="664" t="s">
        <v>14</v>
      </c>
      <c r="W45" s="665">
        <f t="shared" si="14"/>
        <v>100</v>
      </c>
      <c r="X45" s="666"/>
      <c r="Y45" s="335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34"/>
      <c r="Q46" s="1263">
        <f t="shared" si="11"/>
        <v>111</v>
      </c>
      <c r="R46" s="667" t="s">
        <v>14</v>
      </c>
      <c r="S46" s="668">
        <f t="shared" si="12"/>
        <v>100</v>
      </c>
      <c r="T46" s="667" t="s">
        <v>14</v>
      </c>
      <c r="U46" s="668">
        <f t="shared" si="13"/>
        <v>100</v>
      </c>
      <c r="V46" s="667" t="s">
        <v>14</v>
      </c>
      <c r="W46" s="668">
        <f t="shared" si="14"/>
        <v>100</v>
      </c>
      <c r="X46" s="1265"/>
      <c r="Y46" s="335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35"/>
      <c r="Q47" s="1263">
        <f t="shared" si="11"/>
        <v>111</v>
      </c>
      <c r="R47" s="667" t="s">
        <v>14</v>
      </c>
      <c r="S47" s="668">
        <f t="shared" si="12"/>
        <v>100</v>
      </c>
      <c r="T47" s="667" t="s">
        <v>14</v>
      </c>
      <c r="U47" s="668">
        <f t="shared" si="13"/>
        <v>100</v>
      </c>
      <c r="V47" s="667" t="s">
        <v>14</v>
      </c>
      <c r="W47" s="668">
        <f t="shared" si="14"/>
        <v>100</v>
      </c>
      <c r="X47" s="1265"/>
      <c r="Y47" s="3352"/>
      <c r="Z47" s="1264">
        <f t="shared" si="15"/>
        <v>111</v>
      </c>
      <c r="AA47" s="1264">
        <f t="shared" si="3"/>
        <v>1</v>
      </c>
      <c r="AB47" s="1264">
        <f t="shared" si="4"/>
        <v>1</v>
      </c>
      <c r="AC47" s="1812">
        <f t="shared" si="5"/>
        <v>1</v>
      </c>
    </row>
    <row r="48" spans="1:29" ht="15">
      <c r="A48" s="416" t="s">
        <v>1705</v>
      </c>
      <c r="B48" s="417"/>
      <c r="C48" s="1081" t="s">
        <v>0</v>
      </c>
      <c r="D48" s="418"/>
      <c r="E48" s="419"/>
      <c r="F48" s="420"/>
      <c r="G48" s="421"/>
      <c r="H48" s="422"/>
      <c r="I48" s="419"/>
      <c r="J48" s="422"/>
      <c r="K48" s="674"/>
      <c r="L48" s="2490"/>
      <c r="M48" s="2483"/>
      <c r="N48" s="2483"/>
      <c r="O48" s="2483"/>
      <c r="P48" s="3438" t="str">
        <f>A48</f>
        <v>成交单价（元/平方米）</v>
      </c>
      <c r="Q48" s="3343"/>
      <c r="R48" s="3344">
        <f>E48</f>
        <v>0</v>
      </c>
      <c r="S48" s="3344"/>
      <c r="T48" s="3344">
        <f>G48</f>
        <v>0</v>
      </c>
      <c r="U48" s="3344"/>
      <c r="V48" s="3344">
        <f>I48</f>
        <v>0</v>
      </c>
      <c r="W48" s="3344"/>
      <c r="X48" s="385"/>
      <c r="Y48" s="673"/>
      <c r="Z48" s="385"/>
      <c r="AA48" s="385"/>
      <c r="AB48" s="385"/>
      <c r="AC48" s="555"/>
    </row>
    <row r="49" spans="1:29" ht="15.75" thickBot="1">
      <c r="A49" s="423" t="s">
        <v>1790</v>
      </c>
      <c r="B49" s="424"/>
      <c r="C49" s="1082" t="e">
        <f>R50</f>
        <v>#DIV/0!</v>
      </c>
      <c r="D49" s="2141" t="s">
        <v>2135</v>
      </c>
      <c r="E49" s="1083" t="e">
        <f>R49</f>
        <v>#DIV/0!</v>
      </c>
      <c r="F49" s="2142"/>
      <c r="G49" s="1082" t="e">
        <f>T49</f>
        <v>#DIV/0!</v>
      </c>
      <c r="H49" s="2142"/>
      <c r="I49" s="1083" t="e">
        <f>V49</f>
        <v>#DIV/0!</v>
      </c>
      <c r="J49" s="2142"/>
      <c r="K49" s="2144">
        <f>F49+H49+J49</f>
        <v>0</v>
      </c>
      <c r="L49" s="2490"/>
      <c r="M49" s="2483"/>
      <c r="N49" s="2483"/>
      <c r="O49" s="2483"/>
      <c r="P49" s="3438" t="str">
        <f>A49</f>
        <v>比较价值（元/平方米）</v>
      </c>
      <c r="Q49" s="3343"/>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1676</v>
      </c>
      <c r="B59" s="441"/>
      <c r="C59" s="1103" t="str">
        <f>YEAR(C7)&amp;"-"&amp;MONTH(C7)</f>
        <v>2024-3</v>
      </c>
      <c r="D59" s="1104">
        <f>EDATE(C59,-1)</f>
        <v>45323</v>
      </c>
      <c r="E59" s="1104">
        <f>EDATE(D59,-1)</f>
        <v>45292</v>
      </c>
      <c r="F59" s="1104">
        <f t="shared" ref="F59:O59" si="16">EDATE(E59,-1)</f>
        <v>45261</v>
      </c>
      <c r="G59" s="1104">
        <f t="shared" si="16"/>
        <v>45231</v>
      </c>
      <c r="H59" s="1104">
        <f t="shared" si="16"/>
        <v>45200</v>
      </c>
      <c r="I59" s="1104">
        <f t="shared" si="16"/>
        <v>45170</v>
      </c>
      <c r="J59" s="1104">
        <f t="shared" si="16"/>
        <v>45139</v>
      </c>
      <c r="K59" s="1104">
        <f t="shared" si="16"/>
        <v>45108</v>
      </c>
      <c r="L59" s="1104">
        <f t="shared" si="16"/>
        <v>45078</v>
      </c>
      <c r="M59" s="1104">
        <f t="shared" si="16"/>
        <v>45047</v>
      </c>
      <c r="N59" s="1104">
        <f t="shared" si="16"/>
        <v>45017</v>
      </c>
      <c r="O59" s="1104">
        <f t="shared" si="16"/>
        <v>44986</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1713</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1678</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1716</v>
      </c>
      <c r="B64" s="460" t="s">
        <v>1682</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1685</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1687</v>
      </c>
      <c r="B77" s="460" t="s">
        <v>1818</v>
      </c>
      <c r="C77" s="504" t="s">
        <v>1718</v>
      </c>
      <c r="D77" s="504" t="s">
        <v>1719</v>
      </c>
      <c r="E77" s="504" t="s">
        <v>1720</v>
      </c>
      <c r="F77" s="504" t="s">
        <v>1721</v>
      </c>
      <c r="G77" s="504" t="s">
        <v>1722</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1723</v>
      </c>
      <c r="C79" s="509" t="s">
        <v>1718</v>
      </c>
      <c r="D79" s="509" t="s">
        <v>1719</v>
      </c>
      <c r="E79" s="509" t="s">
        <v>1720</v>
      </c>
      <c r="F79" s="509" t="s">
        <v>1721</v>
      </c>
      <c r="G79" s="509" t="s">
        <v>1722</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1724</v>
      </c>
      <c r="C81" s="509" t="s">
        <v>1718</v>
      </c>
      <c r="D81" s="509" t="s">
        <v>1719</v>
      </c>
      <c r="E81" s="509" t="s">
        <v>1720</v>
      </c>
      <c r="F81" s="509" t="s">
        <v>1721</v>
      </c>
      <c r="G81" s="509" t="s">
        <v>1722</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1718</v>
      </c>
      <c r="D85" s="509" t="s">
        <v>1719</v>
      </c>
      <c r="E85" s="509" t="s">
        <v>1720</v>
      </c>
      <c r="F85" s="509" t="s">
        <v>1721</v>
      </c>
      <c r="G85" s="509" t="s">
        <v>1722</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80"/>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1691</v>
      </c>
      <c r="B101" s="460" t="s">
        <v>1733</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1734</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1735</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1718</v>
      </c>
      <c r="D125" s="509" t="s">
        <v>1719</v>
      </c>
      <c r="E125" s="509" t="s">
        <v>1720</v>
      </c>
      <c r="F125" s="509" t="s">
        <v>1721</v>
      </c>
      <c r="G125" s="509" t="s">
        <v>1722</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3322</v>
      </c>
      <c r="C1" s="1141" t="s">
        <v>1659</v>
      </c>
      <c r="D1" s="1142"/>
      <c r="E1" s="3127"/>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356" t="s">
        <v>1767</v>
      </c>
      <c r="D4" s="3357"/>
      <c r="E4" s="3358" t="s">
        <v>1768</v>
      </c>
      <c r="F4" s="3359"/>
      <c r="G4" s="3356" t="s">
        <v>1769</v>
      </c>
      <c r="H4" s="3357"/>
      <c r="I4" s="3356" t="s">
        <v>1770</v>
      </c>
      <c r="J4" s="3357"/>
      <c r="K4" s="537" t="s">
        <v>1771</v>
      </c>
      <c r="L4" s="2482"/>
      <c r="M4" s="2483"/>
      <c r="N4" s="2483"/>
      <c r="O4" s="2483"/>
      <c r="P4" s="3360" t="s">
        <v>1772</v>
      </c>
      <c r="Q4" s="3361"/>
      <c r="R4" s="3366" t="s">
        <v>1768</v>
      </c>
      <c r="S4" s="3367"/>
      <c r="T4" s="3366" t="s">
        <v>1769</v>
      </c>
      <c r="U4" s="3367"/>
      <c r="V4" s="3344" t="s">
        <v>1770</v>
      </c>
      <c r="W4" s="3344"/>
      <c r="X4" s="1265"/>
      <c r="Y4" s="3366" t="s">
        <v>1772</v>
      </c>
      <c r="Z4" s="3367"/>
      <c r="AA4" s="3353" t="s">
        <v>1768</v>
      </c>
      <c r="AB4" s="3354" t="s">
        <v>1769</v>
      </c>
      <c r="AC4" s="3353" t="s">
        <v>1770</v>
      </c>
    </row>
    <row r="5" spans="1:29" ht="15">
      <c r="A5" s="348"/>
      <c r="B5" s="349"/>
      <c r="C5" s="3379" t="s">
        <v>1670</v>
      </c>
      <c r="D5" s="3375"/>
      <c r="E5" s="3440" t="s">
        <v>1671</v>
      </c>
      <c r="F5" s="3384"/>
      <c r="G5" s="3379" t="s">
        <v>1672</v>
      </c>
      <c r="H5" s="3375"/>
      <c r="I5" s="3379" t="s">
        <v>1673</v>
      </c>
      <c r="J5" s="3375"/>
      <c r="K5" s="537"/>
      <c r="L5" s="2482"/>
      <c r="M5" s="2483"/>
      <c r="N5" s="2483"/>
      <c r="O5" s="2483"/>
      <c r="P5" s="3362"/>
      <c r="Q5" s="3363"/>
      <c r="R5" s="3368"/>
      <c r="S5" s="3369"/>
      <c r="T5" s="3368"/>
      <c r="U5" s="3369"/>
      <c r="V5" s="3344"/>
      <c r="W5" s="3344"/>
      <c r="X5" s="1265"/>
      <c r="Y5" s="3368"/>
      <c r="Z5" s="3369"/>
      <c r="AA5" s="3354"/>
      <c r="AB5" s="3354"/>
      <c r="AC5" s="3354"/>
    </row>
    <row r="6" spans="1:29" ht="15.75" thickBot="1">
      <c r="A6" s="350"/>
      <c r="B6" s="351"/>
      <c r="C6" s="3380" t="s">
        <v>1674</v>
      </c>
      <c r="D6" s="3373"/>
      <c r="E6" s="3439" t="s">
        <v>1674</v>
      </c>
      <c r="F6" s="3382"/>
      <c r="G6" s="3380" t="s">
        <v>1674</v>
      </c>
      <c r="H6" s="3373"/>
      <c r="I6" s="3380" t="s">
        <v>1674</v>
      </c>
      <c r="J6" s="3373"/>
      <c r="K6" s="537" t="s">
        <v>1675</v>
      </c>
      <c r="L6" s="2482"/>
      <c r="M6" s="2483"/>
      <c r="N6" s="2483"/>
      <c r="O6" s="2483"/>
      <c r="P6" s="3364"/>
      <c r="Q6" s="3365"/>
      <c r="R6" s="3368"/>
      <c r="S6" s="3369"/>
      <c r="T6" s="3370"/>
      <c r="U6" s="3371"/>
      <c r="V6" s="3344"/>
      <c r="W6" s="3344"/>
      <c r="X6" s="1265"/>
      <c r="Y6" s="3370"/>
      <c r="Z6" s="3371"/>
      <c r="AA6" s="3355"/>
      <c r="AB6" s="3355"/>
      <c r="AC6" s="3355"/>
    </row>
    <row r="7" spans="1:29" s="102" customFormat="1" ht="15.75" thickBot="1">
      <c r="A7" s="352" t="s">
        <v>1676</v>
      </c>
      <c r="B7" s="353"/>
      <c r="C7" s="354">
        <f>'数据-取费表'!B2</f>
        <v>45355</v>
      </c>
      <c r="D7" s="355">
        <v>100</v>
      </c>
      <c r="E7" s="356"/>
      <c r="F7" s="357">
        <f>SUMIF(48:48,YEAR(E7)&amp;"-"&amp;MONTH(E7),49:49)</f>
        <v>0</v>
      </c>
      <c r="G7" s="356"/>
      <c r="H7" s="355">
        <f>SUMIF(48:48,YEAR(G7)&amp;"-"&amp;MONTH(G7),49:49)</f>
        <v>0</v>
      </c>
      <c r="I7" s="356"/>
      <c r="J7" s="355">
        <f>SUMIF(48:48,YEAR(I7)&amp;"-"&amp;MONTH(I7),49:49)</f>
        <v>0</v>
      </c>
      <c r="K7" s="38"/>
      <c r="L7" s="2484"/>
      <c r="M7" s="2435"/>
      <c r="N7" s="2435"/>
      <c r="O7" s="2435"/>
      <c r="P7" s="3376" t="s">
        <v>1677</v>
      </c>
      <c r="Q7" s="3378"/>
      <c r="R7" s="664" t="s">
        <v>14</v>
      </c>
      <c r="S7" s="665">
        <f t="shared" ref="S7:S14" si="0">F7</f>
        <v>0</v>
      </c>
      <c r="T7" s="664" t="s">
        <v>14</v>
      </c>
      <c r="U7" s="665">
        <f t="shared" ref="U7:U14" si="1">H7</f>
        <v>0</v>
      </c>
      <c r="V7" s="664" t="s">
        <v>14</v>
      </c>
      <c r="W7" s="665">
        <f t="shared" ref="W7:W14" si="2">J7</f>
        <v>0</v>
      </c>
      <c r="X7" s="666"/>
      <c r="Y7" s="3376" t="s">
        <v>1677</v>
      </c>
      <c r="Z7" s="3377"/>
      <c r="AA7" s="50" t="e">
        <f>D7/F7</f>
        <v>#DIV/0!</v>
      </c>
      <c r="AB7" s="50" t="e">
        <f>D7/H7</f>
        <v>#DIV/0!</v>
      </c>
      <c r="AC7" s="50" t="e">
        <f>D7/J7</f>
        <v>#DIV/0!</v>
      </c>
    </row>
    <row r="8" spans="1:29" s="102" customFormat="1" ht="15.7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376" t="s">
        <v>1680</v>
      </c>
      <c r="Q8" s="3377"/>
      <c r="R8" s="664" t="s">
        <v>14</v>
      </c>
      <c r="S8" s="665">
        <f t="shared" si="0"/>
        <v>100</v>
      </c>
      <c r="T8" s="664" t="s">
        <v>14</v>
      </c>
      <c r="U8" s="665">
        <f t="shared" si="1"/>
        <v>100</v>
      </c>
      <c r="V8" s="664" t="s">
        <v>14</v>
      </c>
      <c r="W8" s="665">
        <f t="shared" si="2"/>
        <v>100</v>
      </c>
      <c r="X8" s="666"/>
      <c r="Y8" s="3376" t="s">
        <v>1680</v>
      </c>
      <c r="Z8" s="3377"/>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43" t="s">
        <v>1683</v>
      </c>
      <c r="Q9" s="530" t="str">
        <f t="shared" ref="Q9:Q14" si="6">B9</f>
        <v>用途</v>
      </c>
      <c r="R9" s="664" t="s">
        <v>14</v>
      </c>
      <c r="S9" s="665">
        <f t="shared" si="0"/>
        <v>100</v>
      </c>
      <c r="T9" s="664" t="s">
        <v>14</v>
      </c>
      <c r="U9" s="665">
        <f t="shared" si="1"/>
        <v>100</v>
      </c>
      <c r="V9" s="664" t="s">
        <v>14</v>
      </c>
      <c r="W9" s="665">
        <f t="shared" si="2"/>
        <v>100</v>
      </c>
      <c r="X9" s="666"/>
      <c r="Y9" s="3250" t="s">
        <v>1684</v>
      </c>
      <c r="Z9" s="50" t="str">
        <f t="shared" ref="Z9:Z14" si="7">Q9</f>
        <v>用途</v>
      </c>
      <c r="AA9" s="50">
        <f t="shared" si="3"/>
        <v>1</v>
      </c>
      <c r="AB9" s="50">
        <f t="shared" si="4"/>
        <v>1</v>
      </c>
      <c r="AC9" s="50">
        <f t="shared" si="5"/>
        <v>1</v>
      </c>
    </row>
    <row r="10" spans="1:29" s="366" customFormat="1" ht="27">
      <c r="A10" s="565"/>
      <c r="B10" s="566" t="s">
        <v>1685</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43"/>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43"/>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43"/>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43"/>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
      <c r="A14" s="345" t="s">
        <v>1687</v>
      </c>
      <c r="B14" s="554" t="s">
        <v>1830</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48" t="s">
        <v>1688</v>
      </c>
      <c r="Q14" s="1263" t="str">
        <f t="shared" si="6"/>
        <v>交通便捷度</v>
      </c>
      <c r="R14" s="667" t="s">
        <v>14</v>
      </c>
      <c r="S14" s="668">
        <f t="shared" si="0"/>
        <v>100</v>
      </c>
      <c r="T14" s="667" t="s">
        <v>14</v>
      </c>
      <c r="U14" s="668">
        <f t="shared" si="1"/>
        <v>100</v>
      </c>
      <c r="V14" s="667" t="s">
        <v>14</v>
      </c>
      <c r="W14" s="668">
        <f t="shared" si="2"/>
        <v>100</v>
      </c>
      <c r="X14" s="1265"/>
      <c r="Y14" s="3348" t="s">
        <v>1688</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349"/>
      <c r="Q15" s="1263"/>
      <c r="R15" s="667"/>
      <c r="S15" s="668"/>
      <c r="T15" s="667"/>
      <c r="U15" s="668"/>
      <c r="V15" s="667"/>
      <c r="W15" s="668"/>
      <c r="X15" s="1265"/>
      <c r="Y15" s="3349"/>
      <c r="Z15" s="1264"/>
      <c r="AA15" s="1264">
        <v>1</v>
      </c>
      <c r="AB15" s="1264">
        <v>1</v>
      </c>
      <c r="AC15" s="1264">
        <v>1</v>
      </c>
    </row>
    <row r="16" spans="1:29" ht="15">
      <c r="A16" s="348"/>
      <c r="B16" s="556" t="s">
        <v>1809</v>
      </c>
      <c r="C16" s="1754" t="str">
        <f>IF(B1="工业",估价对象房地状况!G5,估价对象房地状况!C7)</f>
        <v>一般</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49"/>
      <c r="Q16" s="1263" t="str">
        <f>B16</f>
        <v>公共配套设施</v>
      </c>
      <c r="R16" s="667" t="s">
        <v>14</v>
      </c>
      <c r="S16" s="668">
        <f>F16</f>
        <v>100</v>
      </c>
      <c r="T16" s="667" t="s">
        <v>14</v>
      </c>
      <c r="U16" s="668">
        <f>H16</f>
        <v>100</v>
      </c>
      <c r="V16" s="667" t="s">
        <v>14</v>
      </c>
      <c r="W16" s="668">
        <f>J16</f>
        <v>100</v>
      </c>
      <c r="X16" s="1265"/>
      <c r="Y16" s="334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349"/>
      <c r="Q17" s="1263"/>
      <c r="R17" s="667"/>
      <c r="S17" s="668"/>
      <c r="T17" s="667"/>
      <c r="U17" s="668"/>
      <c r="V17" s="667"/>
      <c r="W17" s="668"/>
      <c r="X17" s="1265"/>
      <c r="Y17" s="3349"/>
      <c r="Z17" s="1264"/>
      <c r="AA17" s="1264">
        <v>1</v>
      </c>
      <c r="AB17" s="1264">
        <v>1</v>
      </c>
      <c r="AC17" s="1264">
        <v>1</v>
      </c>
    </row>
    <row r="18" spans="1:29" ht="15">
      <c r="A18" s="348"/>
      <c r="B18" s="557" t="s">
        <v>1810</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49"/>
      <c r="Q18" s="1263" t="str">
        <f>B18</f>
        <v>基础设施水平</v>
      </c>
      <c r="R18" s="667" t="s">
        <v>14</v>
      </c>
      <c r="S18" s="668">
        <f>F18</f>
        <v>100</v>
      </c>
      <c r="T18" s="667" t="s">
        <v>14</v>
      </c>
      <c r="U18" s="668">
        <f>H18</f>
        <v>100</v>
      </c>
      <c r="V18" s="667" t="s">
        <v>14</v>
      </c>
      <c r="W18" s="668">
        <f>J18</f>
        <v>100</v>
      </c>
      <c r="X18" s="1265"/>
      <c r="Y18" s="334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349"/>
      <c r="Q19" s="1263"/>
      <c r="R19" s="667"/>
      <c r="S19" s="668"/>
      <c r="T19" s="667"/>
      <c r="U19" s="668"/>
      <c r="V19" s="667"/>
      <c r="W19" s="668"/>
      <c r="X19" s="1265"/>
      <c r="Y19" s="3349"/>
      <c r="Z19" s="1264"/>
      <c r="AA19" s="1264">
        <v>1</v>
      </c>
      <c r="AB19" s="1264">
        <v>1</v>
      </c>
      <c r="AC19" s="1264">
        <v>1</v>
      </c>
    </row>
    <row r="20" spans="1:29" ht="15">
      <c r="A20" s="348"/>
      <c r="B20" s="556" t="s">
        <v>1831</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49"/>
      <c r="Q20" s="1263" t="str">
        <f>B20</f>
        <v>自然及人文环境</v>
      </c>
      <c r="R20" s="667" t="s">
        <v>14</v>
      </c>
      <c r="S20" s="668">
        <f>F20</f>
        <v>100</v>
      </c>
      <c r="T20" s="667" t="s">
        <v>14</v>
      </c>
      <c r="U20" s="668">
        <f>H20</f>
        <v>100</v>
      </c>
      <c r="V20" s="667" t="s">
        <v>14</v>
      </c>
      <c r="W20" s="668">
        <f>J20</f>
        <v>100</v>
      </c>
      <c r="X20" s="1265"/>
      <c r="Y20" s="334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349"/>
      <c r="Q21" s="1263"/>
      <c r="R21" s="667"/>
      <c r="S21" s="668"/>
      <c r="T21" s="667"/>
      <c r="U21" s="668"/>
      <c r="V21" s="667"/>
      <c r="W21" s="668"/>
      <c r="X21" s="1265"/>
      <c r="Y21" s="3349"/>
      <c r="Z21" s="1264"/>
      <c r="AA21" s="1264">
        <v>1</v>
      </c>
      <c r="AB21" s="1264">
        <v>1</v>
      </c>
      <c r="AC21" s="1264">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49"/>
      <c r="Q22" s="1263" t="str">
        <f>B22</f>
        <v>楼层</v>
      </c>
      <c r="R22" s="667" t="s">
        <v>14</v>
      </c>
      <c r="S22" s="668">
        <f>F22</f>
        <v>100</v>
      </c>
      <c r="T22" s="667" t="s">
        <v>14</v>
      </c>
      <c r="U22" s="668">
        <f>H22</f>
        <v>100</v>
      </c>
      <c r="V22" s="667" t="s">
        <v>14</v>
      </c>
      <c r="W22" s="668">
        <f>J22</f>
        <v>100</v>
      </c>
      <c r="X22" s="1265"/>
      <c r="Y22" s="334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49"/>
      <c r="Q23" s="1263">
        <f>B23</f>
        <v>111</v>
      </c>
      <c r="R23" s="667" t="s">
        <v>14</v>
      </c>
      <c r="S23" s="668">
        <f>F23</f>
        <v>100</v>
      </c>
      <c r="T23" s="667" t="s">
        <v>14</v>
      </c>
      <c r="U23" s="668">
        <f>H23</f>
        <v>100</v>
      </c>
      <c r="V23" s="667" t="s">
        <v>14</v>
      </c>
      <c r="W23" s="668">
        <f>J23</f>
        <v>100</v>
      </c>
      <c r="X23" s="1265"/>
      <c r="Y23" s="334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49"/>
      <c r="Q24" s="1263">
        <f t="shared" ref="Q24:Q36" si="11">B24</f>
        <v>111</v>
      </c>
      <c r="R24" s="667" t="s">
        <v>14</v>
      </c>
      <c r="S24" s="668">
        <f>F24</f>
        <v>100</v>
      </c>
      <c r="T24" s="667" t="s">
        <v>14</v>
      </c>
      <c r="U24" s="668">
        <f>H24</f>
        <v>100</v>
      </c>
      <c r="V24" s="667" t="s">
        <v>14</v>
      </c>
      <c r="W24" s="668">
        <f>J24</f>
        <v>100</v>
      </c>
      <c r="X24" s="1265"/>
      <c r="Y24" s="334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349"/>
      <c r="Q25" s="530">
        <f t="shared" si="11"/>
        <v>111</v>
      </c>
      <c r="R25" s="664" t="s">
        <v>14</v>
      </c>
      <c r="S25" s="665">
        <f>F25</f>
        <v>100</v>
      </c>
      <c r="T25" s="664" t="s">
        <v>14</v>
      </c>
      <c r="U25" s="665">
        <f>H25</f>
        <v>100</v>
      </c>
      <c r="V25" s="664" t="s">
        <v>14</v>
      </c>
      <c r="W25" s="665">
        <f>J25</f>
        <v>100</v>
      </c>
      <c r="X25" s="666"/>
      <c r="Y25" s="3349"/>
      <c r="Z25" s="50">
        <f>Q25</f>
        <v>111</v>
      </c>
      <c r="AA25" s="1264">
        <f>D25/F25</f>
        <v>1</v>
      </c>
      <c r="AB25" s="1264">
        <f>D25/H25</f>
        <v>1</v>
      </c>
      <c r="AC25" s="1264">
        <f>D25/J25</f>
        <v>1</v>
      </c>
    </row>
    <row r="26" spans="1:29" ht="28.5">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350"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1" t="s">
        <v>1693</v>
      </c>
      <c r="Z26" s="1264" t="str">
        <f t="shared" ref="Z26:Z36" si="15">Q26</f>
        <v>配套类型</v>
      </c>
      <c r="AA26" s="1264" t="e">
        <f t="shared" si="3"/>
        <v>#DIV/0!</v>
      </c>
      <c r="AB26" s="1264" t="e">
        <f t="shared" si="4"/>
        <v>#DIV/0!</v>
      </c>
      <c r="AC26" s="1264"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51"/>
      <c r="Q27" s="531" t="str">
        <f t="shared" si="11"/>
        <v>项目停车位配比</v>
      </c>
      <c r="R27" s="669" t="s">
        <v>14</v>
      </c>
      <c r="S27" s="670">
        <f t="shared" si="12"/>
        <v>100</v>
      </c>
      <c r="T27" s="669" t="s">
        <v>14</v>
      </c>
      <c r="U27" s="670">
        <f t="shared" si="13"/>
        <v>100</v>
      </c>
      <c r="V27" s="669" t="s">
        <v>14</v>
      </c>
      <c r="W27" s="670">
        <f t="shared" si="14"/>
        <v>100</v>
      </c>
      <c r="X27" s="671"/>
      <c r="Y27" s="3351"/>
      <c r="Z27" s="672" t="str">
        <f t="shared" si="15"/>
        <v>项目停车位配比</v>
      </c>
      <c r="AA27" s="1264">
        <f t="shared" si="3"/>
        <v>1</v>
      </c>
      <c r="AB27" s="1264">
        <f t="shared" si="4"/>
        <v>1</v>
      </c>
      <c r="AC27" s="1264">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51"/>
      <c r="Q28" s="1263" t="str">
        <f t="shared" si="11"/>
        <v>公共部分装修</v>
      </c>
      <c r="R28" s="667" t="s">
        <v>14</v>
      </c>
      <c r="S28" s="668">
        <f t="shared" si="12"/>
        <v>100</v>
      </c>
      <c r="T28" s="667" t="s">
        <v>14</v>
      </c>
      <c r="U28" s="668">
        <f t="shared" si="13"/>
        <v>100</v>
      </c>
      <c r="V28" s="667" t="s">
        <v>14</v>
      </c>
      <c r="W28" s="668">
        <f t="shared" si="14"/>
        <v>100</v>
      </c>
      <c r="X28" s="1265"/>
      <c r="Y28" s="3351"/>
      <c r="Z28" s="1264" t="str">
        <f t="shared" si="15"/>
        <v>公共部分装修</v>
      </c>
      <c r="AA28" s="1264">
        <f t="shared" si="3"/>
        <v>1</v>
      </c>
      <c r="AB28" s="1264">
        <f t="shared" si="4"/>
        <v>1</v>
      </c>
      <c r="AC28" s="1264">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51"/>
      <c r="Q29" s="1263" t="str">
        <f t="shared" si="11"/>
        <v>成新率</v>
      </c>
      <c r="R29" s="667" t="s">
        <v>14</v>
      </c>
      <c r="S29" s="668" t="e">
        <f t="shared" si="12"/>
        <v>#N/A</v>
      </c>
      <c r="T29" s="667" t="s">
        <v>14</v>
      </c>
      <c r="U29" s="668" t="e">
        <f t="shared" si="13"/>
        <v>#N/A</v>
      </c>
      <c r="V29" s="667" t="s">
        <v>14</v>
      </c>
      <c r="W29" s="668" t="e">
        <f t="shared" si="14"/>
        <v>#N/A</v>
      </c>
      <c r="X29" s="1265"/>
      <c r="Y29" s="3351"/>
      <c r="Z29" s="1264" t="str">
        <f t="shared" si="15"/>
        <v>成新率</v>
      </c>
      <c r="AA29" s="1264" t="e">
        <f t="shared" si="3"/>
        <v>#N/A</v>
      </c>
      <c r="AB29" s="1264" t="e">
        <f t="shared" si="4"/>
        <v>#N/A</v>
      </c>
      <c r="AC29" s="1264"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51"/>
      <c r="Q30" s="1263" t="str">
        <f t="shared" si="11"/>
        <v>物业等级</v>
      </c>
      <c r="R30" s="667" t="s">
        <v>14</v>
      </c>
      <c r="S30" s="668">
        <f t="shared" si="12"/>
        <v>100</v>
      </c>
      <c r="T30" s="667" t="s">
        <v>14</v>
      </c>
      <c r="U30" s="668">
        <f t="shared" si="13"/>
        <v>100</v>
      </c>
      <c r="V30" s="667" t="s">
        <v>14</v>
      </c>
      <c r="W30" s="668">
        <f t="shared" si="14"/>
        <v>100</v>
      </c>
      <c r="X30" s="1265"/>
      <c r="Y30" s="3351"/>
      <c r="Z30" s="1264" t="str">
        <f t="shared" si="15"/>
        <v>物业等级</v>
      </c>
      <c r="AA30" s="1264">
        <f t="shared" si="3"/>
        <v>1</v>
      </c>
      <c r="AB30" s="1264">
        <f t="shared" si="4"/>
        <v>1</v>
      </c>
      <c r="AC30" s="1264">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351"/>
      <c r="Q31" s="530" t="str">
        <f t="shared" si="11"/>
        <v>停车位面积</v>
      </c>
      <c r="R31" s="664" t="s">
        <v>14</v>
      </c>
      <c r="S31" s="665" t="e">
        <f t="shared" si="12"/>
        <v>#N/A</v>
      </c>
      <c r="T31" s="664" t="s">
        <v>14</v>
      </c>
      <c r="U31" s="665" t="e">
        <f t="shared" si="13"/>
        <v>#N/A</v>
      </c>
      <c r="V31" s="664" t="s">
        <v>14</v>
      </c>
      <c r="W31" s="665" t="e">
        <f t="shared" si="14"/>
        <v>#N/A</v>
      </c>
      <c r="X31" s="666"/>
      <c r="Y31" s="3351"/>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51" t="s">
        <v>1693</v>
      </c>
      <c r="Q32" s="1263" t="str">
        <f t="shared" si="11"/>
        <v>车位类型</v>
      </c>
      <c r="R32" s="667" t="s">
        <v>14</v>
      </c>
      <c r="S32" s="668">
        <f t="shared" si="12"/>
        <v>100</v>
      </c>
      <c r="T32" s="667" t="s">
        <v>14</v>
      </c>
      <c r="U32" s="668">
        <f t="shared" si="13"/>
        <v>100</v>
      </c>
      <c r="V32" s="667" t="s">
        <v>14</v>
      </c>
      <c r="W32" s="668">
        <f t="shared" si="14"/>
        <v>100</v>
      </c>
      <c r="X32" s="1265"/>
      <c r="Y32" s="3351" t="s">
        <v>1693</v>
      </c>
      <c r="Z32" s="1264" t="str">
        <f t="shared" si="15"/>
        <v>车位类型</v>
      </c>
      <c r="AA32" s="1264">
        <f t="shared" si="3"/>
        <v>1</v>
      </c>
      <c r="AB32" s="1264">
        <f t="shared" si="4"/>
        <v>1</v>
      </c>
      <c r="AC32" s="1264">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51"/>
      <c r="Q33" s="1263" t="str">
        <f t="shared" si="11"/>
        <v>是否直接入户</v>
      </c>
      <c r="R33" s="667" t="s">
        <v>14</v>
      </c>
      <c r="S33" s="668">
        <f t="shared" si="12"/>
        <v>100</v>
      </c>
      <c r="T33" s="667" t="s">
        <v>14</v>
      </c>
      <c r="U33" s="668">
        <f t="shared" si="13"/>
        <v>100</v>
      </c>
      <c r="V33" s="667" t="s">
        <v>14</v>
      </c>
      <c r="W33" s="668">
        <f t="shared" si="14"/>
        <v>100</v>
      </c>
      <c r="X33" s="1265"/>
      <c r="Y33" s="335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51"/>
      <c r="Q34" s="1263">
        <f t="shared" si="11"/>
        <v>111</v>
      </c>
      <c r="R34" s="667" t="s">
        <v>14</v>
      </c>
      <c r="S34" s="668">
        <f t="shared" si="12"/>
        <v>100</v>
      </c>
      <c r="T34" s="667" t="s">
        <v>14</v>
      </c>
      <c r="U34" s="668">
        <f t="shared" si="13"/>
        <v>100</v>
      </c>
      <c r="V34" s="667" t="s">
        <v>14</v>
      </c>
      <c r="W34" s="668">
        <f t="shared" si="14"/>
        <v>100</v>
      </c>
      <c r="X34" s="1265"/>
      <c r="Y34" s="335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51"/>
      <c r="Q35" s="531">
        <f t="shared" si="11"/>
        <v>111</v>
      </c>
      <c r="R35" s="669" t="s">
        <v>14</v>
      </c>
      <c r="S35" s="670">
        <f t="shared" si="12"/>
        <v>100</v>
      </c>
      <c r="T35" s="669" t="s">
        <v>14</v>
      </c>
      <c r="U35" s="670">
        <f t="shared" si="13"/>
        <v>100</v>
      </c>
      <c r="V35" s="669" t="s">
        <v>14</v>
      </c>
      <c r="W35" s="670">
        <f t="shared" si="14"/>
        <v>100</v>
      </c>
      <c r="X35" s="671"/>
      <c r="Y35" s="335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51"/>
      <c r="Q36" s="1263">
        <f t="shared" si="11"/>
        <v>111</v>
      </c>
      <c r="R36" s="667" t="s">
        <v>14</v>
      </c>
      <c r="S36" s="668">
        <f t="shared" si="12"/>
        <v>100</v>
      </c>
      <c r="T36" s="667" t="s">
        <v>14</v>
      </c>
      <c r="U36" s="668">
        <f t="shared" si="13"/>
        <v>100</v>
      </c>
      <c r="V36" s="667" t="s">
        <v>14</v>
      </c>
      <c r="W36" s="668">
        <f t="shared" si="14"/>
        <v>100</v>
      </c>
      <c r="X36" s="1265"/>
      <c r="Y36" s="3351"/>
      <c r="Z36" s="1264">
        <f t="shared" si="15"/>
        <v>111</v>
      </c>
      <c r="AA36" s="1264">
        <f t="shared" si="3"/>
        <v>1</v>
      </c>
      <c r="AB36" s="1264">
        <f t="shared" si="4"/>
        <v>1</v>
      </c>
      <c r="AC36" s="1264">
        <f t="shared" si="5"/>
        <v>1</v>
      </c>
    </row>
    <row r="37" spans="1:29" ht="15">
      <c r="A37" s="416" t="s">
        <v>1841</v>
      </c>
      <c r="B37" s="1821" t="s">
        <v>3343</v>
      </c>
      <c r="C37" s="1081" t="s">
        <v>0</v>
      </c>
      <c r="D37" s="418"/>
      <c r="E37" s="419"/>
      <c r="F37" s="420"/>
      <c r="G37" s="421"/>
      <c r="H37" s="422"/>
      <c r="I37" s="419"/>
      <c r="J37" s="422"/>
      <c r="K37" s="545"/>
      <c r="L37" s="2490"/>
      <c r="M37" s="2483"/>
      <c r="N37" s="2483"/>
      <c r="O37" s="2483"/>
      <c r="P37" s="3343" t="str">
        <f>A37</f>
        <v>成交单价</v>
      </c>
      <c r="Q37" s="3343"/>
      <c r="R37" s="3344">
        <f>E37</f>
        <v>0</v>
      </c>
      <c r="S37" s="3344"/>
      <c r="T37" s="3344">
        <f>G37</f>
        <v>0</v>
      </c>
      <c r="U37" s="3344"/>
      <c r="V37" s="3344">
        <f>I37</f>
        <v>0</v>
      </c>
      <c r="W37" s="3344"/>
      <c r="X37" s="385"/>
      <c r="Y37" s="673"/>
      <c r="Z37" s="385"/>
      <c r="AA37" s="385"/>
      <c r="AB37" s="385"/>
      <c r="AC37" s="385"/>
    </row>
    <row r="38" spans="1:29" ht="15.75" thickBot="1">
      <c r="A38" s="423" t="s">
        <v>1842</v>
      </c>
      <c r="B38" s="424" t="str">
        <f>B37</f>
        <v>元/平方米</v>
      </c>
      <c r="C38" s="1082" t="e">
        <f>R39</f>
        <v>#DIV/0!</v>
      </c>
      <c r="D38" s="2141" t="s">
        <v>2135</v>
      </c>
      <c r="E38" s="1083" t="e">
        <f>R38</f>
        <v>#DIV/0!</v>
      </c>
      <c r="F38" s="2142"/>
      <c r="G38" s="1082" t="e">
        <f>T38</f>
        <v>#DIV/0!</v>
      </c>
      <c r="H38" s="2142"/>
      <c r="I38" s="1083" t="e">
        <f>V38</f>
        <v>#DIV/0!</v>
      </c>
      <c r="J38" s="2142"/>
      <c r="K38" s="2144">
        <f>F38+H38+J38</f>
        <v>0</v>
      </c>
      <c r="L38" s="2490"/>
      <c r="M38" s="2483"/>
      <c r="N38" s="2483"/>
      <c r="O38" s="2483"/>
      <c r="P38" s="3343" t="str">
        <f>A38</f>
        <v>比较价值（元/平方米）</v>
      </c>
      <c r="Q38" s="3343"/>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345" t="str">
        <f>A39</f>
        <v>估价对象XX用房的比较价值（楼面单价，元/平方米）</v>
      </c>
      <c r="Q39" s="3346"/>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3" t="str">
        <f>YEAR(C7)&amp;"-"&amp;MONTH(C7)</f>
        <v>2024-3</v>
      </c>
      <c r="D48" s="1104">
        <f>EDATE(C48,-1)</f>
        <v>45323</v>
      </c>
      <c r="E48" s="1104">
        <f t="shared" ref="E48:O48" si="16">EDATE(D48,-1)</f>
        <v>45292</v>
      </c>
      <c r="F48" s="1104">
        <f t="shared" si="16"/>
        <v>45261</v>
      </c>
      <c r="G48" s="1104">
        <f t="shared" si="16"/>
        <v>45231</v>
      </c>
      <c r="H48" s="1104">
        <f t="shared" si="16"/>
        <v>45200</v>
      </c>
      <c r="I48" s="1104">
        <f t="shared" si="16"/>
        <v>45170</v>
      </c>
      <c r="J48" s="1104">
        <f t="shared" si="16"/>
        <v>45139</v>
      </c>
      <c r="K48" s="1104">
        <f t="shared" si="16"/>
        <v>45108</v>
      </c>
      <c r="L48" s="1104">
        <f t="shared" si="16"/>
        <v>45078</v>
      </c>
      <c r="M48" s="1104">
        <f t="shared" si="16"/>
        <v>45047</v>
      </c>
      <c r="N48" s="1104">
        <f t="shared" si="16"/>
        <v>45017</v>
      </c>
      <c r="O48" s="1104">
        <f t="shared" si="16"/>
        <v>44986</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1713</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1678</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1716</v>
      </c>
      <c r="B53" s="460" t="s">
        <v>1682</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1685</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1724</v>
      </c>
      <c r="C65" s="509" t="s">
        <v>1718</v>
      </c>
      <c r="D65" s="509" t="s">
        <v>1719</v>
      </c>
      <c r="E65" s="509" t="s">
        <v>1720</v>
      </c>
      <c r="F65" s="509" t="s">
        <v>1721</v>
      </c>
      <c r="G65" s="509" t="s">
        <v>1722</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1730</v>
      </c>
      <c r="C69" s="509" t="s">
        <v>1718</v>
      </c>
      <c r="D69" s="509" t="s">
        <v>1719</v>
      </c>
      <c r="E69" s="509" t="s">
        <v>1720</v>
      </c>
      <c r="F69" s="509" t="s">
        <v>1721</v>
      </c>
      <c r="G69" s="509" t="s">
        <v>1722</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1691</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3323</v>
      </c>
      <c r="C1" s="1141" t="s">
        <v>1659</v>
      </c>
      <c r="D1" s="1142"/>
      <c r="E1" s="3127"/>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356" t="s">
        <v>1767</v>
      </c>
      <c r="D4" s="3357"/>
      <c r="E4" s="3358" t="s">
        <v>1768</v>
      </c>
      <c r="F4" s="3359"/>
      <c r="G4" s="3356" t="s">
        <v>1769</v>
      </c>
      <c r="H4" s="3357"/>
      <c r="I4" s="3356" t="s">
        <v>1770</v>
      </c>
      <c r="J4" s="3357"/>
      <c r="K4" s="537" t="s">
        <v>1771</v>
      </c>
      <c r="L4" s="2482"/>
      <c r="M4" s="2483"/>
      <c r="N4" s="2483"/>
      <c r="O4" s="2483"/>
      <c r="P4" s="3360" t="s">
        <v>1772</v>
      </c>
      <c r="Q4" s="3361"/>
      <c r="R4" s="3366" t="s">
        <v>1768</v>
      </c>
      <c r="S4" s="3367"/>
      <c r="T4" s="3366" t="s">
        <v>1769</v>
      </c>
      <c r="U4" s="3367"/>
      <c r="V4" s="3344" t="s">
        <v>1770</v>
      </c>
      <c r="W4" s="3344"/>
      <c r="X4" s="1265"/>
      <c r="Y4" s="3366" t="s">
        <v>1772</v>
      </c>
      <c r="Z4" s="3367"/>
      <c r="AA4" s="3353" t="s">
        <v>1768</v>
      </c>
      <c r="AB4" s="3354" t="s">
        <v>1769</v>
      </c>
      <c r="AC4" s="3353" t="s">
        <v>1770</v>
      </c>
    </row>
    <row r="5" spans="1:29" ht="15">
      <c r="A5" s="348"/>
      <c r="B5" s="349"/>
      <c r="C5" s="3379" t="s">
        <v>1670</v>
      </c>
      <c r="D5" s="3375"/>
      <c r="E5" s="3440" t="s">
        <v>1671</v>
      </c>
      <c r="F5" s="3384"/>
      <c r="G5" s="3379" t="s">
        <v>1672</v>
      </c>
      <c r="H5" s="3375"/>
      <c r="I5" s="3379" t="s">
        <v>1673</v>
      </c>
      <c r="J5" s="3375"/>
      <c r="K5" s="537"/>
      <c r="L5" s="2482"/>
      <c r="M5" s="2483"/>
      <c r="N5" s="2483"/>
      <c r="O5" s="2483"/>
      <c r="P5" s="3362"/>
      <c r="Q5" s="3363"/>
      <c r="R5" s="3368"/>
      <c r="S5" s="3369"/>
      <c r="T5" s="3368"/>
      <c r="U5" s="3369"/>
      <c r="V5" s="3344"/>
      <c r="W5" s="3344"/>
      <c r="X5" s="1265"/>
      <c r="Y5" s="3368"/>
      <c r="Z5" s="3369"/>
      <c r="AA5" s="3354"/>
      <c r="AB5" s="3354"/>
      <c r="AC5" s="3354"/>
    </row>
    <row r="6" spans="1:29" ht="15.75" thickBot="1">
      <c r="A6" s="350"/>
      <c r="B6" s="351"/>
      <c r="C6" s="3380" t="s">
        <v>1674</v>
      </c>
      <c r="D6" s="3373"/>
      <c r="E6" s="3439" t="s">
        <v>1674</v>
      </c>
      <c r="F6" s="3382"/>
      <c r="G6" s="3380" t="s">
        <v>1674</v>
      </c>
      <c r="H6" s="3373"/>
      <c r="I6" s="3380" t="s">
        <v>1674</v>
      </c>
      <c r="J6" s="3373"/>
      <c r="K6" s="537" t="s">
        <v>1675</v>
      </c>
      <c r="L6" s="2482"/>
      <c r="M6" s="2483"/>
      <c r="N6" s="2483"/>
      <c r="O6" s="2483"/>
      <c r="P6" s="3364"/>
      <c r="Q6" s="3365"/>
      <c r="R6" s="3368"/>
      <c r="S6" s="3369"/>
      <c r="T6" s="3370"/>
      <c r="U6" s="3371"/>
      <c r="V6" s="3344"/>
      <c r="W6" s="3344"/>
      <c r="X6" s="1265"/>
      <c r="Y6" s="3370"/>
      <c r="Z6" s="3371"/>
      <c r="AA6" s="3355"/>
      <c r="AB6" s="3355"/>
      <c r="AC6" s="3355"/>
    </row>
    <row r="7" spans="1:29" s="102" customFormat="1" ht="15.75" thickBot="1">
      <c r="A7" s="352" t="s">
        <v>1676</v>
      </c>
      <c r="B7" s="353"/>
      <c r="C7" s="354">
        <f>'数据-取费表'!B2</f>
        <v>45355</v>
      </c>
      <c r="D7" s="355">
        <v>100</v>
      </c>
      <c r="E7" s="356"/>
      <c r="F7" s="357">
        <f>SUMIF(46:46,YEAR(E7)&amp;"-"&amp;MONTH(E7),47:47)</f>
        <v>0</v>
      </c>
      <c r="G7" s="1822"/>
      <c r="H7" s="355">
        <f>SUMIF(46:46,YEAR(G7)&amp;"-"&amp;MONTH(G7),47:47)</f>
        <v>0</v>
      </c>
      <c r="I7" s="356"/>
      <c r="J7" s="355">
        <f>SUMIF(46:46,YEAR(I7)&amp;"-"&amp;MONTH(I7),47:47)</f>
        <v>0</v>
      </c>
      <c r="K7" s="38"/>
      <c r="L7" s="2484"/>
      <c r="M7" s="2435"/>
      <c r="N7" s="2435"/>
      <c r="O7" s="2435"/>
      <c r="P7" s="3376" t="s">
        <v>1677</v>
      </c>
      <c r="Q7" s="3378"/>
      <c r="R7" s="664" t="s">
        <v>14</v>
      </c>
      <c r="S7" s="665">
        <f t="shared" ref="S7:S14" si="0">F7</f>
        <v>0</v>
      </c>
      <c r="T7" s="664" t="s">
        <v>14</v>
      </c>
      <c r="U7" s="665">
        <f t="shared" ref="U7:U14" si="1">H7</f>
        <v>0</v>
      </c>
      <c r="V7" s="664" t="s">
        <v>14</v>
      </c>
      <c r="W7" s="665">
        <f t="shared" ref="W7:W14" si="2">J7</f>
        <v>0</v>
      </c>
      <c r="X7" s="666"/>
      <c r="Y7" s="3376" t="s">
        <v>1677</v>
      </c>
      <c r="Z7" s="3377"/>
      <c r="AA7" s="50" t="e">
        <f>D7/F7</f>
        <v>#DIV/0!</v>
      </c>
      <c r="AB7" s="50" t="e">
        <f>D7/H7</f>
        <v>#DIV/0!</v>
      </c>
      <c r="AC7" s="50" t="e">
        <f>D7/J7</f>
        <v>#DIV/0!</v>
      </c>
    </row>
    <row r="8" spans="1:29" s="102" customFormat="1" ht="15.7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376" t="s">
        <v>1680</v>
      </c>
      <c r="Q8" s="3377"/>
      <c r="R8" s="664" t="s">
        <v>14</v>
      </c>
      <c r="S8" s="665">
        <f t="shared" si="0"/>
        <v>100</v>
      </c>
      <c r="T8" s="664" t="s">
        <v>14</v>
      </c>
      <c r="U8" s="665">
        <f t="shared" si="1"/>
        <v>100</v>
      </c>
      <c r="V8" s="664" t="s">
        <v>14</v>
      </c>
      <c r="W8" s="665">
        <f t="shared" si="2"/>
        <v>100</v>
      </c>
      <c r="X8" s="666"/>
      <c r="Y8" s="3376" t="s">
        <v>1680</v>
      </c>
      <c r="Z8" s="3377"/>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43" t="s">
        <v>1683</v>
      </c>
      <c r="Q9" s="530" t="str">
        <f t="shared" ref="Q9:Q14" si="6">B9</f>
        <v>用途</v>
      </c>
      <c r="R9" s="664" t="s">
        <v>14</v>
      </c>
      <c r="S9" s="665">
        <f t="shared" si="0"/>
        <v>100</v>
      </c>
      <c r="T9" s="664" t="s">
        <v>14</v>
      </c>
      <c r="U9" s="665">
        <f t="shared" si="1"/>
        <v>100</v>
      </c>
      <c r="V9" s="664" t="s">
        <v>14</v>
      </c>
      <c r="W9" s="665">
        <f t="shared" si="2"/>
        <v>100</v>
      </c>
      <c r="X9" s="666"/>
      <c r="Y9" s="3250" t="s">
        <v>1684</v>
      </c>
      <c r="Z9" s="50" t="str">
        <f t="shared" ref="Z9:Z14" si="7">Q9</f>
        <v>用途</v>
      </c>
      <c r="AA9" s="50">
        <f t="shared" si="3"/>
        <v>1</v>
      </c>
      <c r="AB9" s="50">
        <f t="shared" si="4"/>
        <v>1</v>
      </c>
      <c r="AC9" s="50">
        <f t="shared" si="5"/>
        <v>1</v>
      </c>
    </row>
    <row r="10" spans="1:29" s="366" customFormat="1" ht="27">
      <c r="A10" s="363"/>
      <c r="B10" s="364" t="s">
        <v>1685</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43"/>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43"/>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43"/>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343"/>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
      <c r="A14" s="379" t="s">
        <v>1687</v>
      </c>
      <c r="B14" s="58" t="s">
        <v>1830</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48" t="s">
        <v>1688</v>
      </c>
      <c r="Q14" s="1263" t="str">
        <f t="shared" si="6"/>
        <v>交通便捷度</v>
      </c>
      <c r="R14" s="667" t="s">
        <v>14</v>
      </c>
      <c r="S14" s="668">
        <f t="shared" si="0"/>
        <v>100</v>
      </c>
      <c r="T14" s="667" t="s">
        <v>14</v>
      </c>
      <c r="U14" s="668">
        <f t="shared" si="1"/>
        <v>100</v>
      </c>
      <c r="V14" s="667" t="s">
        <v>14</v>
      </c>
      <c r="W14" s="668">
        <f t="shared" si="2"/>
        <v>100</v>
      </c>
      <c r="X14" s="1265"/>
      <c r="Y14" s="3348" t="s">
        <v>1688</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349"/>
      <c r="Q15" s="1263"/>
      <c r="R15" s="667"/>
      <c r="S15" s="668"/>
      <c r="T15" s="667"/>
      <c r="U15" s="668"/>
      <c r="V15" s="667"/>
      <c r="W15" s="668"/>
      <c r="X15" s="1265"/>
      <c r="Y15" s="3349"/>
      <c r="Z15" s="1264"/>
      <c r="AA15" s="1264">
        <v>1</v>
      </c>
      <c r="AB15" s="1264">
        <v>1</v>
      </c>
      <c r="AC15" s="1264">
        <v>1</v>
      </c>
    </row>
    <row r="16" spans="1:29" ht="15">
      <c r="A16" s="367"/>
      <c r="B16" s="390" t="s">
        <v>1809</v>
      </c>
      <c r="C16" s="1754"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49"/>
      <c r="Q16" s="1263" t="str">
        <f>B16</f>
        <v>公共配套设施</v>
      </c>
      <c r="R16" s="667" t="s">
        <v>14</v>
      </c>
      <c r="S16" s="668">
        <f>F16</f>
        <v>100</v>
      </c>
      <c r="T16" s="667" t="s">
        <v>14</v>
      </c>
      <c r="U16" s="668">
        <f>H16</f>
        <v>100</v>
      </c>
      <c r="V16" s="667" t="s">
        <v>14</v>
      </c>
      <c r="W16" s="668">
        <f>J16</f>
        <v>100</v>
      </c>
      <c r="X16" s="1265"/>
      <c r="Y16" s="334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349"/>
      <c r="Q17" s="1263"/>
      <c r="R17" s="667"/>
      <c r="S17" s="668"/>
      <c r="T17" s="667"/>
      <c r="U17" s="668"/>
      <c r="V17" s="667"/>
      <c r="W17" s="668"/>
      <c r="X17" s="1265"/>
      <c r="Y17" s="3349"/>
      <c r="Z17" s="1264"/>
      <c r="AA17" s="1264">
        <v>1</v>
      </c>
      <c r="AB17" s="1264">
        <v>1</v>
      </c>
      <c r="AC17" s="1264">
        <v>1</v>
      </c>
    </row>
    <row r="18" spans="1:29" ht="15">
      <c r="A18" s="367"/>
      <c r="B18" s="586" t="s">
        <v>1810</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49"/>
      <c r="Q18" s="1263" t="str">
        <f>B18</f>
        <v>基础设施水平</v>
      </c>
      <c r="R18" s="667" t="s">
        <v>14</v>
      </c>
      <c r="S18" s="668">
        <f>F18</f>
        <v>100</v>
      </c>
      <c r="T18" s="667" t="s">
        <v>14</v>
      </c>
      <c r="U18" s="668">
        <f>H18</f>
        <v>100</v>
      </c>
      <c r="V18" s="667" t="s">
        <v>14</v>
      </c>
      <c r="W18" s="668">
        <f>J18</f>
        <v>100</v>
      </c>
      <c r="X18" s="1265"/>
      <c r="Y18" s="334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349"/>
      <c r="Q19" s="1263"/>
      <c r="R19" s="667"/>
      <c r="S19" s="668"/>
      <c r="T19" s="667"/>
      <c r="U19" s="668"/>
      <c r="V19" s="667"/>
      <c r="W19" s="668"/>
      <c r="X19" s="1265"/>
      <c r="Y19" s="3349"/>
      <c r="Z19" s="1264"/>
      <c r="AA19" s="1264">
        <v>1</v>
      </c>
      <c r="AB19" s="1264">
        <v>1</v>
      </c>
      <c r="AC19" s="1264">
        <v>1</v>
      </c>
    </row>
    <row r="20" spans="1:29" ht="15">
      <c r="A20" s="367"/>
      <c r="B20" s="390" t="s">
        <v>1831</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49"/>
      <c r="Q20" s="1263" t="str">
        <f>B20</f>
        <v>自然及人文环境</v>
      </c>
      <c r="R20" s="667" t="s">
        <v>14</v>
      </c>
      <c r="S20" s="668">
        <f>F20</f>
        <v>100</v>
      </c>
      <c r="T20" s="667" t="s">
        <v>14</v>
      </c>
      <c r="U20" s="668">
        <f>H20</f>
        <v>100</v>
      </c>
      <c r="V20" s="667" t="s">
        <v>14</v>
      </c>
      <c r="W20" s="668">
        <f>J20</f>
        <v>100</v>
      </c>
      <c r="X20" s="1265"/>
      <c r="Y20" s="334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349"/>
      <c r="Q21" s="1263"/>
      <c r="R21" s="667"/>
      <c r="S21" s="668"/>
      <c r="T21" s="667"/>
      <c r="U21" s="668"/>
      <c r="V21" s="667"/>
      <c r="W21" s="668"/>
      <c r="X21" s="1265"/>
      <c r="Y21" s="3349"/>
      <c r="Z21" s="1264"/>
      <c r="AA21" s="1264">
        <v>1</v>
      </c>
      <c r="AB21" s="1264">
        <v>1</v>
      </c>
      <c r="AC21" s="1264">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49"/>
      <c r="Q22" s="1263" t="str">
        <f>B22</f>
        <v>楼层</v>
      </c>
      <c r="R22" s="667" t="s">
        <v>14</v>
      </c>
      <c r="S22" s="668">
        <f>F22</f>
        <v>100</v>
      </c>
      <c r="T22" s="667" t="s">
        <v>14</v>
      </c>
      <c r="U22" s="668">
        <f>H22</f>
        <v>100</v>
      </c>
      <c r="V22" s="667" t="s">
        <v>14</v>
      </c>
      <c r="W22" s="668">
        <f>J22</f>
        <v>100</v>
      </c>
      <c r="X22" s="1265"/>
      <c r="Y22" s="334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49"/>
      <c r="Q23" s="1263">
        <f>B23</f>
        <v>111</v>
      </c>
      <c r="R23" s="667" t="s">
        <v>14</v>
      </c>
      <c r="S23" s="668">
        <f>F23</f>
        <v>100</v>
      </c>
      <c r="T23" s="667" t="s">
        <v>14</v>
      </c>
      <c r="U23" s="668">
        <f>H23</f>
        <v>100</v>
      </c>
      <c r="V23" s="667" t="s">
        <v>14</v>
      </c>
      <c r="W23" s="668">
        <f>J23</f>
        <v>100</v>
      </c>
      <c r="X23" s="1265"/>
      <c r="Y23" s="334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49"/>
      <c r="Q24" s="1263">
        <f t="shared" ref="Q24:Q34" si="11">B24</f>
        <v>111</v>
      </c>
      <c r="R24" s="667" t="s">
        <v>14</v>
      </c>
      <c r="S24" s="668">
        <f>F24</f>
        <v>100</v>
      </c>
      <c r="T24" s="667" t="s">
        <v>14</v>
      </c>
      <c r="U24" s="668">
        <f>H24</f>
        <v>100</v>
      </c>
      <c r="V24" s="667" t="s">
        <v>14</v>
      </c>
      <c r="W24" s="668">
        <f>J24</f>
        <v>100</v>
      </c>
      <c r="X24" s="1265"/>
      <c r="Y24" s="334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5"/>
      <c r="N25" s="2435"/>
      <c r="O25" s="2536"/>
      <c r="P25" s="3349"/>
      <c r="Q25" s="530">
        <f t="shared" si="11"/>
        <v>111</v>
      </c>
      <c r="R25" s="664" t="s">
        <v>14</v>
      </c>
      <c r="S25" s="665">
        <f>F25</f>
        <v>100</v>
      </c>
      <c r="T25" s="664" t="s">
        <v>14</v>
      </c>
      <c r="U25" s="665">
        <f>H25</f>
        <v>100</v>
      </c>
      <c r="V25" s="664" t="s">
        <v>14</v>
      </c>
      <c r="W25" s="665">
        <f>J25</f>
        <v>100</v>
      </c>
      <c r="X25" s="666"/>
      <c r="Y25" s="3349"/>
      <c r="Z25" s="50">
        <f>Q25</f>
        <v>111</v>
      </c>
      <c r="AA25" s="1264">
        <f>D25/F25</f>
        <v>1</v>
      </c>
      <c r="AB25" s="1264">
        <f>D25/H25</f>
        <v>1</v>
      </c>
      <c r="AC25" s="1264">
        <f>D25/J25</f>
        <v>1</v>
      </c>
    </row>
    <row r="26" spans="1:29" ht="28.5">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350"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1" t="s">
        <v>1693</v>
      </c>
      <c r="Z26" s="1264" t="str">
        <f t="shared" ref="Z26:Z34" si="15">Q26</f>
        <v>公共部分装修</v>
      </c>
      <c r="AA26" s="1264">
        <f t="shared" si="3"/>
        <v>1</v>
      </c>
      <c r="AB26" s="1264">
        <f t="shared" si="4"/>
        <v>1</v>
      </c>
      <c r="AC26" s="1264">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51"/>
      <c r="Q27" s="531" t="str">
        <f t="shared" si="11"/>
        <v>成新率</v>
      </c>
      <c r="R27" s="669" t="s">
        <v>14</v>
      </c>
      <c r="S27" s="670" t="e">
        <f t="shared" si="12"/>
        <v>#N/A</v>
      </c>
      <c r="T27" s="669" t="s">
        <v>14</v>
      </c>
      <c r="U27" s="670" t="e">
        <f t="shared" si="13"/>
        <v>#N/A</v>
      </c>
      <c r="V27" s="669" t="s">
        <v>14</v>
      </c>
      <c r="W27" s="670" t="e">
        <f t="shared" si="14"/>
        <v>#N/A</v>
      </c>
      <c r="X27" s="671"/>
      <c r="Y27" s="3351"/>
      <c r="Z27" s="672" t="str">
        <f t="shared" si="15"/>
        <v>成新率</v>
      </c>
      <c r="AA27" s="1264" t="e">
        <f t="shared" si="3"/>
        <v>#N/A</v>
      </c>
      <c r="AB27" s="1264" t="e">
        <f t="shared" si="4"/>
        <v>#N/A</v>
      </c>
      <c r="AC27" s="1264"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51"/>
      <c r="Q28" s="1263" t="str">
        <f t="shared" si="11"/>
        <v>物业等级</v>
      </c>
      <c r="R28" s="667" t="s">
        <v>14</v>
      </c>
      <c r="S28" s="668">
        <f t="shared" si="12"/>
        <v>100</v>
      </c>
      <c r="T28" s="667" t="s">
        <v>14</v>
      </c>
      <c r="U28" s="668">
        <f t="shared" si="13"/>
        <v>100</v>
      </c>
      <c r="V28" s="667" t="s">
        <v>14</v>
      </c>
      <c r="W28" s="668">
        <f t="shared" si="14"/>
        <v>100</v>
      </c>
      <c r="X28" s="1265"/>
      <c r="Y28" s="3351"/>
      <c r="Z28" s="1264" t="str">
        <f t="shared" si="15"/>
        <v>物业等级</v>
      </c>
      <c r="AA28" s="1264">
        <f t="shared" si="3"/>
        <v>1</v>
      </c>
      <c r="AB28" s="1264">
        <f t="shared" si="4"/>
        <v>1</v>
      </c>
      <c r="AC28" s="1264">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51"/>
      <c r="Q29" s="1263" t="str">
        <f t="shared" si="11"/>
        <v>有无电梯</v>
      </c>
      <c r="R29" s="667" t="s">
        <v>14</v>
      </c>
      <c r="S29" s="668">
        <f t="shared" si="12"/>
        <v>100</v>
      </c>
      <c r="T29" s="667" t="s">
        <v>14</v>
      </c>
      <c r="U29" s="668">
        <f t="shared" si="13"/>
        <v>100</v>
      </c>
      <c r="V29" s="667" t="s">
        <v>14</v>
      </c>
      <c r="W29" s="668">
        <f t="shared" si="14"/>
        <v>100</v>
      </c>
      <c r="X29" s="1265"/>
      <c r="Y29" s="3351"/>
      <c r="Z29" s="1264" t="str">
        <f t="shared" si="15"/>
        <v>有无电梯</v>
      </c>
      <c r="AA29" s="1264">
        <f t="shared" si="3"/>
        <v>1</v>
      </c>
      <c r="AB29" s="1264">
        <f t="shared" si="4"/>
        <v>1</v>
      </c>
      <c r="AC29" s="1264">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51"/>
      <c r="Q30" s="1263" t="str">
        <f t="shared" si="11"/>
        <v>建筑面积</v>
      </c>
      <c r="R30" s="667" t="s">
        <v>14</v>
      </c>
      <c r="S30" s="668" t="e">
        <f t="shared" si="12"/>
        <v>#N/A</v>
      </c>
      <c r="T30" s="667" t="s">
        <v>14</v>
      </c>
      <c r="U30" s="668" t="e">
        <f t="shared" si="13"/>
        <v>#N/A</v>
      </c>
      <c r="V30" s="667" t="s">
        <v>14</v>
      </c>
      <c r="W30" s="668" t="e">
        <f t="shared" si="14"/>
        <v>#N/A</v>
      </c>
      <c r="X30" s="1265"/>
      <c r="Y30" s="3351"/>
      <c r="Z30" s="1264" t="str">
        <f t="shared" si="15"/>
        <v>建筑面积</v>
      </c>
      <c r="AA30" s="1264" t="e">
        <f t="shared" si="3"/>
        <v>#N/A</v>
      </c>
      <c r="AB30" s="1264" t="e">
        <f t="shared" si="4"/>
        <v>#N/A</v>
      </c>
      <c r="AC30" s="1264"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351"/>
      <c r="Q31" s="530" t="str">
        <f t="shared" si="11"/>
        <v>是否封闭</v>
      </c>
      <c r="R31" s="664" t="s">
        <v>14</v>
      </c>
      <c r="S31" s="665">
        <f t="shared" si="12"/>
        <v>100</v>
      </c>
      <c r="T31" s="664" t="s">
        <v>14</v>
      </c>
      <c r="U31" s="665">
        <f t="shared" si="13"/>
        <v>100</v>
      </c>
      <c r="V31" s="664" t="s">
        <v>14</v>
      </c>
      <c r="W31" s="665">
        <f t="shared" si="14"/>
        <v>100</v>
      </c>
      <c r="X31" s="666"/>
      <c r="Y31" s="335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51" t="s">
        <v>1693</v>
      </c>
      <c r="Q32" s="1263">
        <f t="shared" si="11"/>
        <v>111</v>
      </c>
      <c r="R32" s="667" t="s">
        <v>14</v>
      </c>
      <c r="S32" s="668">
        <f t="shared" si="12"/>
        <v>100</v>
      </c>
      <c r="T32" s="667" t="s">
        <v>14</v>
      </c>
      <c r="U32" s="668">
        <f t="shared" si="13"/>
        <v>100</v>
      </c>
      <c r="V32" s="667" t="s">
        <v>14</v>
      </c>
      <c r="W32" s="668">
        <f t="shared" si="14"/>
        <v>100</v>
      </c>
      <c r="X32" s="1265"/>
      <c r="Y32" s="3351" t="s">
        <v>1693</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51"/>
      <c r="Q33" s="1263">
        <f t="shared" si="11"/>
        <v>111</v>
      </c>
      <c r="R33" s="667" t="s">
        <v>14</v>
      </c>
      <c r="S33" s="668">
        <f t="shared" si="12"/>
        <v>100</v>
      </c>
      <c r="T33" s="667" t="s">
        <v>14</v>
      </c>
      <c r="U33" s="668">
        <f t="shared" si="13"/>
        <v>100</v>
      </c>
      <c r="V33" s="667" t="s">
        <v>14</v>
      </c>
      <c r="W33" s="668">
        <f t="shared" si="14"/>
        <v>100</v>
      </c>
      <c r="X33" s="1265"/>
      <c r="Y33" s="335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351"/>
      <c r="Q34" s="1263">
        <f t="shared" si="11"/>
        <v>111</v>
      </c>
      <c r="R34" s="667" t="s">
        <v>14</v>
      </c>
      <c r="S34" s="668">
        <f t="shared" si="12"/>
        <v>100</v>
      </c>
      <c r="T34" s="667" t="s">
        <v>14</v>
      </c>
      <c r="U34" s="668">
        <f t="shared" si="13"/>
        <v>100</v>
      </c>
      <c r="V34" s="667" t="s">
        <v>14</v>
      </c>
      <c r="W34" s="668">
        <f t="shared" si="14"/>
        <v>100</v>
      </c>
      <c r="X34" s="1265"/>
      <c r="Y34" s="3351"/>
      <c r="Z34" s="1264">
        <f t="shared" si="15"/>
        <v>111</v>
      </c>
      <c r="AA34" s="1264">
        <f t="shared" si="3"/>
        <v>1</v>
      </c>
      <c r="AB34" s="1264">
        <f t="shared" si="4"/>
        <v>1</v>
      </c>
      <c r="AC34" s="1264">
        <f t="shared" si="5"/>
        <v>1</v>
      </c>
    </row>
    <row r="35" spans="1:30" ht="15">
      <c r="A35" s="416" t="s">
        <v>1705</v>
      </c>
      <c r="B35" s="417"/>
      <c r="C35" s="1081" t="s">
        <v>0</v>
      </c>
      <c r="D35" s="418"/>
      <c r="E35" s="419"/>
      <c r="F35" s="420"/>
      <c r="G35" s="421"/>
      <c r="H35" s="422"/>
      <c r="I35" s="419"/>
      <c r="J35" s="422"/>
      <c r="K35" s="674"/>
      <c r="L35" s="2490"/>
      <c r="M35" s="2483"/>
      <c r="N35" s="2483"/>
      <c r="O35" s="2483"/>
      <c r="P35" s="3343" t="str">
        <f>A35</f>
        <v>成交单价（元/平方米）</v>
      </c>
      <c r="Q35" s="3343"/>
      <c r="R35" s="3344">
        <f>E35</f>
        <v>0</v>
      </c>
      <c r="S35" s="3344"/>
      <c r="T35" s="3344">
        <f>G35</f>
        <v>0</v>
      </c>
      <c r="U35" s="3344"/>
      <c r="V35" s="3344">
        <f>I35</f>
        <v>0</v>
      </c>
      <c r="W35" s="3344"/>
      <c r="X35" s="385"/>
      <c r="Y35" s="673"/>
      <c r="Z35" s="385"/>
      <c r="AA35" s="385"/>
      <c r="AB35" s="385"/>
      <c r="AC35" s="385"/>
    </row>
    <row r="36" spans="1:30" ht="15.75" thickBot="1">
      <c r="A36" s="423" t="s">
        <v>1790</v>
      </c>
      <c r="B36" s="424"/>
      <c r="C36" s="1082" t="e">
        <f>R37</f>
        <v>#DIV/0!</v>
      </c>
      <c r="D36" s="2141" t="s">
        <v>2135</v>
      </c>
      <c r="E36" s="1083" t="e">
        <f>R36</f>
        <v>#DIV/0!</v>
      </c>
      <c r="F36" s="2142"/>
      <c r="G36" s="1082" t="e">
        <f>T36</f>
        <v>#DIV/0!</v>
      </c>
      <c r="H36" s="2142"/>
      <c r="I36" s="1083" t="e">
        <f>V36</f>
        <v>#DIV/0!</v>
      </c>
      <c r="J36" s="2142"/>
      <c r="K36" s="2144">
        <f>F36+H36+J36</f>
        <v>0</v>
      </c>
      <c r="L36" s="2490"/>
      <c r="M36" s="2483"/>
      <c r="N36" s="2483"/>
      <c r="O36" s="2483"/>
      <c r="P36" s="3343" t="str">
        <f>A36</f>
        <v>比较价值（元/平方米）</v>
      </c>
      <c r="Q36" s="3343"/>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345" t="str">
        <f>A37</f>
        <v>估价对象XX用房的比较价值（楼面单价，元/平方米）</v>
      </c>
      <c r="Q37" s="3346"/>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1676</v>
      </c>
      <c r="B46" s="441"/>
      <c r="C46" s="1103" t="str">
        <f>YEAR(C7)&amp;"-"&amp;MONTH(C7)</f>
        <v>2024-3</v>
      </c>
      <c r="D46" s="1104">
        <f>EDATE(C46,-1)</f>
        <v>45323</v>
      </c>
      <c r="E46" s="1104">
        <f t="shared" ref="E46:O46" si="16">EDATE(D46,-1)</f>
        <v>45292</v>
      </c>
      <c r="F46" s="1104">
        <f t="shared" si="16"/>
        <v>45261</v>
      </c>
      <c r="G46" s="1104">
        <f t="shared" si="16"/>
        <v>45231</v>
      </c>
      <c r="H46" s="1104">
        <f t="shared" si="16"/>
        <v>45200</v>
      </c>
      <c r="I46" s="1104">
        <f t="shared" si="16"/>
        <v>45170</v>
      </c>
      <c r="J46" s="1104">
        <f t="shared" si="16"/>
        <v>45139</v>
      </c>
      <c r="K46" s="1104">
        <f t="shared" si="16"/>
        <v>45108</v>
      </c>
      <c r="L46" s="1104">
        <f t="shared" si="16"/>
        <v>45078</v>
      </c>
      <c r="M46" s="1104">
        <f t="shared" si="16"/>
        <v>45047</v>
      </c>
      <c r="N46" s="1104">
        <f t="shared" si="16"/>
        <v>45017</v>
      </c>
      <c r="O46" s="1104">
        <f t="shared" si="16"/>
        <v>44986</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1713</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1678</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1716</v>
      </c>
      <c r="B51" s="460" t="s">
        <v>1682</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1685</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1718</v>
      </c>
      <c r="D63" s="509" t="s">
        <v>1719</v>
      </c>
      <c r="E63" s="509" t="s">
        <v>1720</v>
      </c>
      <c r="F63" s="509" t="s">
        <v>1721</v>
      </c>
      <c r="G63" s="509" t="s">
        <v>1722</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1730</v>
      </c>
      <c r="C67" s="509" t="s">
        <v>1718</v>
      </c>
      <c r="D67" s="509" t="s">
        <v>1719</v>
      </c>
      <c r="E67" s="509" t="s">
        <v>1720</v>
      </c>
      <c r="F67" s="509" t="s">
        <v>1721</v>
      </c>
      <c r="G67" s="509" t="s">
        <v>1722</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1691</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356" t="s">
        <v>1767</v>
      </c>
      <c r="D4" s="3357"/>
      <c r="E4" s="3358" t="s">
        <v>1768</v>
      </c>
      <c r="F4" s="3359"/>
      <c r="G4" s="3356" t="s">
        <v>1769</v>
      </c>
      <c r="H4" s="3357"/>
      <c r="I4" s="3356" t="s">
        <v>1770</v>
      </c>
      <c r="J4" s="3357"/>
      <c r="K4" s="537" t="s">
        <v>1771</v>
      </c>
      <c r="L4" s="2482"/>
      <c r="M4" s="2483"/>
      <c r="N4" s="2483"/>
      <c r="O4" s="2483"/>
      <c r="P4" s="3360" t="s">
        <v>1772</v>
      </c>
      <c r="Q4" s="3361"/>
      <c r="R4" s="3366" t="s">
        <v>1768</v>
      </c>
      <c r="S4" s="3367"/>
      <c r="T4" s="3366" t="s">
        <v>1769</v>
      </c>
      <c r="U4" s="3367"/>
      <c r="V4" s="3344" t="s">
        <v>1770</v>
      </c>
      <c r="W4" s="3344"/>
      <c r="X4" s="1265"/>
      <c r="Y4" s="3366" t="s">
        <v>1772</v>
      </c>
      <c r="Z4" s="3367"/>
      <c r="AA4" s="3353" t="s">
        <v>1768</v>
      </c>
      <c r="AB4" s="3354" t="s">
        <v>1769</v>
      </c>
      <c r="AC4" s="3353" t="s">
        <v>1770</v>
      </c>
    </row>
    <row r="5" spans="1:29" ht="15">
      <c r="A5" s="348"/>
      <c r="B5" s="349"/>
      <c r="C5" s="3379" t="s">
        <v>1670</v>
      </c>
      <c r="D5" s="3375"/>
      <c r="E5" s="3440" t="s">
        <v>1671</v>
      </c>
      <c r="F5" s="3384"/>
      <c r="G5" s="3379" t="s">
        <v>1672</v>
      </c>
      <c r="H5" s="3375"/>
      <c r="I5" s="3379" t="s">
        <v>1673</v>
      </c>
      <c r="J5" s="3375"/>
      <c r="K5" s="537"/>
      <c r="L5" s="2482"/>
      <c r="M5" s="2483"/>
      <c r="N5" s="2483"/>
      <c r="O5" s="2483"/>
      <c r="P5" s="3362"/>
      <c r="Q5" s="3363"/>
      <c r="R5" s="3368"/>
      <c r="S5" s="3369"/>
      <c r="T5" s="3368"/>
      <c r="U5" s="3369"/>
      <c r="V5" s="3344"/>
      <c r="W5" s="3344"/>
      <c r="X5" s="1265"/>
      <c r="Y5" s="3368"/>
      <c r="Z5" s="3369"/>
      <c r="AA5" s="3354"/>
      <c r="AB5" s="3354"/>
      <c r="AC5" s="3354"/>
    </row>
    <row r="6" spans="1:29" ht="15.75" thickBot="1">
      <c r="A6" s="350"/>
      <c r="B6" s="351"/>
      <c r="C6" s="3380" t="s">
        <v>1674</v>
      </c>
      <c r="D6" s="3373"/>
      <c r="E6" s="3439" t="s">
        <v>1674</v>
      </c>
      <c r="F6" s="3382"/>
      <c r="G6" s="3380" t="s">
        <v>1674</v>
      </c>
      <c r="H6" s="3373"/>
      <c r="I6" s="3380" t="s">
        <v>1674</v>
      </c>
      <c r="J6" s="3373"/>
      <c r="K6" s="537" t="s">
        <v>1675</v>
      </c>
      <c r="L6" s="2482"/>
      <c r="M6" s="2483"/>
      <c r="N6" s="2483"/>
      <c r="O6" s="2483"/>
      <c r="P6" s="3364"/>
      <c r="Q6" s="3365"/>
      <c r="R6" s="3368"/>
      <c r="S6" s="3369"/>
      <c r="T6" s="3370"/>
      <c r="U6" s="3371"/>
      <c r="V6" s="3344"/>
      <c r="W6" s="3344"/>
      <c r="X6" s="1265"/>
      <c r="Y6" s="3370"/>
      <c r="Z6" s="3371"/>
      <c r="AA6" s="3355"/>
      <c r="AB6" s="3355"/>
      <c r="AC6" s="3355"/>
    </row>
    <row r="7" spans="1:29" s="102" customFormat="1" ht="15.75" thickBot="1">
      <c r="A7" s="352" t="s">
        <v>1676</v>
      </c>
      <c r="B7" s="353"/>
      <c r="C7" s="354">
        <f>'数据-取费表'!B2</f>
        <v>45355</v>
      </c>
      <c r="D7" s="355">
        <v>100</v>
      </c>
      <c r="E7" s="356"/>
      <c r="F7" s="357">
        <f>SUMIF(69:69,YEAR(E7)&amp;"-"&amp;INT((MONTH(E7)+2)/3),70:70)</f>
        <v>0</v>
      </c>
      <c r="G7" s="1822"/>
      <c r="H7" s="355">
        <f>SUMIF(69:69,YEAR(G7)&amp;"-"&amp;INT((MONTH(G7)+2)/3),70:70)</f>
        <v>0</v>
      </c>
      <c r="I7" s="1822"/>
      <c r="J7" s="355">
        <f>SUMIF(69:69,YEAR(I7)&amp;"-"&amp;INT((MONTH(I7)+2)/3),70:70)</f>
        <v>0</v>
      </c>
      <c r="K7" s="38"/>
      <c r="L7" s="2484"/>
      <c r="M7" s="2435"/>
      <c r="N7" s="2435"/>
      <c r="O7" s="2435"/>
      <c r="P7" s="3376" t="s">
        <v>1677</v>
      </c>
      <c r="Q7" s="3378"/>
      <c r="R7" s="664" t="s">
        <v>14</v>
      </c>
      <c r="S7" s="665">
        <f t="shared" ref="S7:S15" si="0">F7</f>
        <v>0</v>
      </c>
      <c r="T7" s="664" t="s">
        <v>14</v>
      </c>
      <c r="U7" s="665">
        <f t="shared" ref="U7:U15" si="1">H7</f>
        <v>0</v>
      </c>
      <c r="V7" s="664" t="s">
        <v>14</v>
      </c>
      <c r="W7" s="665">
        <f t="shared" ref="W7:W15" si="2">J7</f>
        <v>0</v>
      </c>
      <c r="X7" s="666"/>
      <c r="Y7" s="3376" t="s">
        <v>1677</v>
      </c>
      <c r="Z7" s="3377"/>
      <c r="AA7" s="50" t="e">
        <f>D7/F7</f>
        <v>#DIV/0!</v>
      </c>
      <c r="AB7" s="50" t="e">
        <f>D7/H7</f>
        <v>#DIV/0!</v>
      </c>
      <c r="AC7" s="50" t="e">
        <f>D7/J7</f>
        <v>#DIV/0!</v>
      </c>
    </row>
    <row r="8" spans="1:29" s="102" customFormat="1" ht="15.7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376" t="s">
        <v>1680</v>
      </c>
      <c r="Q8" s="3377"/>
      <c r="R8" s="664" t="s">
        <v>14</v>
      </c>
      <c r="S8" s="665">
        <f t="shared" si="0"/>
        <v>0</v>
      </c>
      <c r="T8" s="664" t="s">
        <v>14</v>
      </c>
      <c r="U8" s="665">
        <f t="shared" si="1"/>
        <v>0</v>
      </c>
      <c r="V8" s="664" t="s">
        <v>14</v>
      </c>
      <c r="W8" s="665">
        <f t="shared" si="2"/>
        <v>0</v>
      </c>
      <c r="X8" s="666"/>
      <c r="Y8" s="3376" t="s">
        <v>1680</v>
      </c>
      <c r="Z8" s="3377"/>
      <c r="AA8" s="50" t="e">
        <f t="shared" ref="AA8:AA45" si="3">D8/F8</f>
        <v>#DIV/0!</v>
      </c>
      <c r="AB8" s="50" t="e">
        <f t="shared" ref="AB8:AB45" si="4">D8/H8</f>
        <v>#DIV/0!</v>
      </c>
      <c r="AC8" s="50" t="e">
        <f t="shared" ref="AC8:AC45" si="5">D8/J8</f>
        <v>#DIV/0!</v>
      </c>
    </row>
    <row r="9" spans="1:29" s="102" customFormat="1">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4"/>
      <c r="M9" s="2435"/>
      <c r="N9" s="2435"/>
      <c r="O9" s="2536"/>
      <c r="P9" s="3343" t="s">
        <v>1683</v>
      </c>
      <c r="Q9" s="530" t="str">
        <f t="shared" ref="Q9:Q15" si="6">B9</f>
        <v>用途</v>
      </c>
      <c r="R9" s="664" t="s">
        <v>14</v>
      </c>
      <c r="S9" s="665">
        <f t="shared" si="0"/>
        <v>100</v>
      </c>
      <c r="T9" s="664" t="s">
        <v>14</v>
      </c>
      <c r="U9" s="665">
        <f t="shared" si="1"/>
        <v>100</v>
      </c>
      <c r="V9" s="664" t="s">
        <v>14</v>
      </c>
      <c r="W9" s="665">
        <f t="shared" si="2"/>
        <v>100</v>
      </c>
      <c r="X9" s="666"/>
      <c r="Y9" s="3250" t="s">
        <v>1684</v>
      </c>
      <c r="Z9" s="50" t="str">
        <f t="shared" ref="Z9:Z15" si="7">Q9</f>
        <v>用途</v>
      </c>
      <c r="AA9" s="50">
        <f t="shared" si="3"/>
        <v>1</v>
      </c>
      <c r="AB9" s="50">
        <f t="shared" si="4"/>
        <v>1</v>
      </c>
      <c r="AC9" s="50">
        <f t="shared" si="5"/>
        <v>1</v>
      </c>
    </row>
    <row r="10" spans="1:29" s="366" customFormat="1" ht="27">
      <c r="A10" s="363"/>
      <c r="B10" s="364" t="s">
        <v>1685</v>
      </c>
      <c r="C10" s="371"/>
      <c r="D10" s="119">
        <v>100</v>
      </c>
      <c r="E10" s="403"/>
      <c r="F10" s="119">
        <f>ROUND(100/'数据-取费表'!G16,0)</f>
        <v>115</v>
      </c>
      <c r="G10" s="402"/>
      <c r="H10" s="119">
        <f>ROUND(100/'数据-取费表'!G16,0)</f>
        <v>115</v>
      </c>
      <c r="I10" s="402"/>
      <c r="J10" s="119">
        <f>ROUND(100/'数据-取费表'!G16,0)</f>
        <v>115</v>
      </c>
      <c r="K10" s="592"/>
      <c r="L10" s="2485"/>
      <c r="M10" s="2486"/>
      <c r="N10" s="2486"/>
      <c r="O10" s="2537"/>
      <c r="P10" s="3343"/>
      <c r="Q10" s="530" t="str">
        <f t="shared" si="6"/>
        <v>土地使用年限（年）</v>
      </c>
      <c r="R10" s="664" t="s">
        <v>14</v>
      </c>
      <c r="S10" s="665">
        <f t="shared" si="0"/>
        <v>115</v>
      </c>
      <c r="T10" s="664" t="s">
        <v>14</v>
      </c>
      <c r="U10" s="665">
        <f t="shared" si="1"/>
        <v>115</v>
      </c>
      <c r="V10" s="664" t="s">
        <v>14</v>
      </c>
      <c r="W10" s="665">
        <f t="shared" si="2"/>
        <v>115</v>
      </c>
      <c r="X10" s="666"/>
      <c r="Y10" s="3250"/>
      <c r="Z10" s="50" t="str">
        <f t="shared" si="7"/>
        <v>土地使用年限（年）</v>
      </c>
      <c r="AA10" s="50">
        <f t="shared" si="3"/>
        <v>0.86956521739130432</v>
      </c>
      <c r="AB10" s="50">
        <f t="shared" si="4"/>
        <v>0.86956521739130432</v>
      </c>
      <c r="AC10" s="50">
        <f t="shared" si="5"/>
        <v>0.86956521739130432</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43"/>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43"/>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43"/>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43"/>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15">
      <c r="A15" s="379" t="s">
        <v>1687</v>
      </c>
      <c r="B15" s="58" t="s">
        <v>1254</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48" t="s">
        <v>1688</v>
      </c>
      <c r="Q15" s="1263" t="str">
        <f t="shared" si="6"/>
        <v>居住社区成熟度</v>
      </c>
      <c r="R15" s="667" t="s">
        <v>14</v>
      </c>
      <c r="S15" s="668">
        <f t="shared" si="0"/>
        <v>100</v>
      </c>
      <c r="T15" s="667" t="s">
        <v>14</v>
      </c>
      <c r="U15" s="668">
        <f t="shared" si="1"/>
        <v>100</v>
      </c>
      <c r="V15" s="667" t="s">
        <v>14</v>
      </c>
      <c r="W15" s="668">
        <f t="shared" si="2"/>
        <v>100</v>
      </c>
      <c r="X15" s="1265"/>
      <c r="Y15" s="3348" t="s">
        <v>1688</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349"/>
      <c r="Q16" s="1263"/>
      <c r="R16" s="667"/>
      <c r="S16" s="668"/>
      <c r="T16" s="667"/>
      <c r="U16" s="668"/>
      <c r="V16" s="667"/>
      <c r="W16" s="668"/>
      <c r="X16" s="1265"/>
      <c r="Y16" s="3349"/>
      <c r="Z16" s="1264"/>
      <c r="AA16" s="1264">
        <v>1</v>
      </c>
      <c r="AB16" s="1264">
        <v>1</v>
      </c>
      <c r="AC16" s="1264">
        <v>1</v>
      </c>
    </row>
    <row r="17" spans="1:29" ht="15">
      <c r="A17" s="367"/>
      <c r="B17" s="390" t="s">
        <v>1774</v>
      </c>
      <c r="C17" s="1806" t="str">
        <f>估价对象房地状况!C16</f>
        <v>一般</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49"/>
      <c r="Q17" s="1263" t="str">
        <f>B17</f>
        <v>商业繁华度</v>
      </c>
      <c r="R17" s="667" t="s">
        <v>14</v>
      </c>
      <c r="S17" s="668">
        <f>F17</f>
        <v>100</v>
      </c>
      <c r="T17" s="667" t="s">
        <v>14</v>
      </c>
      <c r="U17" s="668">
        <f>H17</f>
        <v>100</v>
      </c>
      <c r="V17" s="667" t="s">
        <v>14</v>
      </c>
      <c r="W17" s="668">
        <f>J17</f>
        <v>100</v>
      </c>
      <c r="X17" s="1265"/>
      <c r="Y17" s="334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349"/>
      <c r="Q18" s="1263"/>
      <c r="R18" s="667"/>
      <c r="S18" s="668"/>
      <c r="T18" s="667"/>
      <c r="U18" s="668"/>
      <c r="V18" s="667"/>
      <c r="W18" s="668"/>
      <c r="X18" s="1265"/>
      <c r="Y18" s="3349"/>
      <c r="Z18" s="1264"/>
      <c r="AA18" s="1264">
        <v>1</v>
      </c>
      <c r="AB18" s="1264">
        <v>1</v>
      </c>
      <c r="AC18" s="1264">
        <v>1</v>
      </c>
    </row>
    <row r="19" spans="1:29" ht="15">
      <c r="A19" s="367"/>
      <c r="B19" s="390" t="s">
        <v>1808</v>
      </c>
      <c r="C19" s="1806" t="str">
        <f>估价对象房地状况!C17</f>
        <v>一般</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49"/>
      <c r="Q19" s="1263" t="str">
        <f>B19</f>
        <v>办公集聚程度</v>
      </c>
      <c r="R19" s="667" t="s">
        <v>14</v>
      </c>
      <c r="S19" s="668">
        <f>F19</f>
        <v>100</v>
      </c>
      <c r="T19" s="667" t="s">
        <v>14</v>
      </c>
      <c r="U19" s="668">
        <f>H19</f>
        <v>100</v>
      </c>
      <c r="V19" s="667" t="s">
        <v>14</v>
      </c>
      <c r="W19" s="668">
        <f>J19</f>
        <v>100</v>
      </c>
      <c r="X19" s="1265"/>
      <c r="Y19" s="334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349"/>
      <c r="Q20" s="1263"/>
      <c r="R20" s="667"/>
      <c r="S20" s="668"/>
      <c r="T20" s="667"/>
      <c r="U20" s="668"/>
      <c r="V20" s="667"/>
      <c r="W20" s="668"/>
      <c r="X20" s="1265"/>
      <c r="Y20" s="3349"/>
      <c r="Z20" s="1264"/>
      <c r="AA20" s="1264">
        <v>1</v>
      </c>
      <c r="AB20" s="1264">
        <v>1</v>
      </c>
      <c r="AC20" s="1264">
        <v>1</v>
      </c>
    </row>
    <row r="21" spans="1:29" ht="15">
      <c r="A21" s="367"/>
      <c r="B21" s="390" t="s">
        <v>1830</v>
      </c>
      <c r="C21" s="1754" t="str">
        <f>估价对象房地状况!C18</f>
        <v>一般</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49"/>
      <c r="Q21" s="1263" t="str">
        <f>B21</f>
        <v>交通便捷度</v>
      </c>
      <c r="R21" s="667" t="s">
        <v>14</v>
      </c>
      <c r="S21" s="668">
        <f>F21</f>
        <v>100</v>
      </c>
      <c r="T21" s="667" t="s">
        <v>14</v>
      </c>
      <c r="U21" s="668">
        <f>H21</f>
        <v>100</v>
      </c>
      <c r="V21" s="667" t="s">
        <v>14</v>
      </c>
      <c r="W21" s="668">
        <f>J21</f>
        <v>100</v>
      </c>
      <c r="X21" s="1265"/>
      <c r="Y21" s="334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349"/>
      <c r="Q22" s="1263"/>
      <c r="R22" s="667"/>
      <c r="S22" s="668"/>
      <c r="T22" s="667"/>
      <c r="U22" s="668"/>
      <c r="V22" s="667"/>
      <c r="W22" s="668"/>
      <c r="X22" s="1265"/>
      <c r="Y22" s="3349"/>
      <c r="Z22" s="1264"/>
      <c r="AA22" s="1264">
        <v>1</v>
      </c>
      <c r="AB22" s="1264">
        <v>1</v>
      </c>
      <c r="AC22" s="1264">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49"/>
      <c r="Q23" s="1263" t="str">
        <f t="shared" ref="Q23:Q37" si="8">B23</f>
        <v>区域土地利用方向</v>
      </c>
      <c r="R23" s="667" t="s">
        <v>14</v>
      </c>
      <c r="S23" s="668">
        <f>F23</f>
        <v>100</v>
      </c>
      <c r="T23" s="667" t="s">
        <v>14</v>
      </c>
      <c r="U23" s="668">
        <f>H23</f>
        <v>100</v>
      </c>
      <c r="V23" s="667" t="s">
        <v>14</v>
      </c>
      <c r="W23" s="668">
        <f>J23</f>
        <v>100</v>
      </c>
      <c r="X23" s="1265"/>
      <c r="Y23" s="334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349"/>
      <c r="Q24" s="1263"/>
      <c r="R24" s="667"/>
      <c r="S24" s="668"/>
      <c r="T24" s="667"/>
      <c r="U24" s="668"/>
      <c r="V24" s="667"/>
      <c r="W24" s="668"/>
      <c r="X24" s="1265"/>
      <c r="Y24" s="3349"/>
      <c r="Z24" s="1264"/>
      <c r="AA24" s="1264"/>
      <c r="AB24" s="1264"/>
      <c r="AC24" s="1264"/>
    </row>
    <row r="25" spans="1:29" ht="27">
      <c r="A25" s="348"/>
      <c r="B25" s="586" t="s">
        <v>1869</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49"/>
      <c r="Q25" s="1263" t="str">
        <f t="shared" si="8"/>
        <v>自然及人文环境状况</v>
      </c>
      <c r="R25" s="667" t="s">
        <v>14</v>
      </c>
      <c r="S25" s="668">
        <f>F25</f>
        <v>100</v>
      </c>
      <c r="T25" s="667" t="s">
        <v>14</v>
      </c>
      <c r="U25" s="668">
        <f>H25</f>
        <v>100</v>
      </c>
      <c r="V25" s="667" t="s">
        <v>14</v>
      </c>
      <c r="W25" s="668">
        <f>J25</f>
        <v>100</v>
      </c>
      <c r="X25" s="1265"/>
      <c r="Y25" s="334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349"/>
      <c r="Q26" s="1263"/>
      <c r="R26" s="667"/>
      <c r="S26" s="668"/>
      <c r="T26" s="667"/>
      <c r="U26" s="668"/>
      <c r="V26" s="667"/>
      <c r="W26" s="668"/>
      <c r="X26" s="1265"/>
      <c r="Y26" s="3349"/>
      <c r="Z26" s="1264"/>
      <c r="AA26" s="1264">
        <v>1</v>
      </c>
      <c r="AB26" s="1264">
        <v>1</v>
      </c>
      <c r="AC26" s="1264">
        <v>1</v>
      </c>
    </row>
    <row r="27" spans="1:29" s="102" customFormat="1" ht="15">
      <c r="A27" s="443"/>
      <c r="B27" s="586" t="s">
        <v>1775</v>
      </c>
      <c r="C27" s="1754"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349"/>
      <c r="Q27" s="530" t="str">
        <f t="shared" si="8"/>
        <v>公共配套设施</v>
      </c>
      <c r="R27" s="664" t="s">
        <v>14</v>
      </c>
      <c r="S27" s="665">
        <f>F27</f>
        <v>100</v>
      </c>
      <c r="T27" s="664" t="s">
        <v>14</v>
      </c>
      <c r="U27" s="665">
        <f>H27</f>
        <v>100</v>
      </c>
      <c r="V27" s="664" t="s">
        <v>14</v>
      </c>
      <c r="W27" s="665">
        <f>J27</f>
        <v>100</v>
      </c>
      <c r="X27" s="666"/>
      <c r="Y27" s="334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5"/>
      <c r="N28" s="2435"/>
      <c r="O28" s="2536"/>
      <c r="P28" s="3349"/>
      <c r="Q28" s="530"/>
      <c r="R28" s="664"/>
      <c r="S28" s="665"/>
      <c r="T28" s="664"/>
      <c r="U28" s="665"/>
      <c r="V28" s="664"/>
      <c r="W28" s="665"/>
      <c r="X28" s="666"/>
      <c r="Y28" s="3349"/>
      <c r="Z28" s="50"/>
      <c r="AA28" s="1264">
        <v>1</v>
      </c>
      <c r="AB28" s="1264">
        <v>1</v>
      </c>
      <c r="AC28" s="1264">
        <v>1</v>
      </c>
    </row>
    <row r="29" spans="1:29" s="102" customFormat="1" ht="15">
      <c r="A29" s="443"/>
      <c r="B29" s="586" t="s">
        <v>1776</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349"/>
      <c r="Q29" s="530" t="str">
        <f t="shared" ref="Q29" si="9">B29</f>
        <v>基础设施水平</v>
      </c>
      <c r="R29" s="664" t="s">
        <v>14</v>
      </c>
      <c r="S29" s="665">
        <f>F29</f>
        <v>100</v>
      </c>
      <c r="T29" s="664" t="s">
        <v>14</v>
      </c>
      <c r="U29" s="665">
        <f>H29</f>
        <v>100</v>
      </c>
      <c r="V29" s="664" t="s">
        <v>14</v>
      </c>
      <c r="W29" s="665">
        <f>J29</f>
        <v>100</v>
      </c>
      <c r="X29" s="666"/>
      <c r="Y29" s="334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5"/>
      <c r="N30" s="2435"/>
      <c r="O30" s="2536"/>
      <c r="P30" s="3349"/>
      <c r="Q30" s="530"/>
      <c r="R30" s="664"/>
      <c r="S30" s="665"/>
      <c r="T30" s="664"/>
      <c r="U30" s="665"/>
      <c r="V30" s="664"/>
      <c r="W30" s="665"/>
      <c r="X30" s="666"/>
      <c r="Y30" s="3349"/>
      <c r="Z30" s="50"/>
      <c r="AA30" s="1264">
        <v>1</v>
      </c>
      <c r="AB30" s="1264">
        <v>1</v>
      </c>
      <c r="AC30" s="1264">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4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9"/>
      <c r="Z31" s="1264" t="str">
        <f t="shared" ref="Z31:Z45" si="13">Q31</f>
        <v>临街状况</v>
      </c>
      <c r="AA31" s="1264">
        <f t="shared" si="3"/>
        <v>1</v>
      </c>
      <c r="AB31" s="1264">
        <f t="shared" si="4"/>
        <v>1</v>
      </c>
      <c r="AC31" s="1264">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49"/>
      <c r="Q32" s="1263" t="str">
        <f t="shared" si="8"/>
        <v>毗邻道路的类型与等级</v>
      </c>
      <c r="R32" s="667" t="s">
        <v>14</v>
      </c>
      <c r="S32" s="668">
        <f t="shared" si="10"/>
        <v>100</v>
      </c>
      <c r="T32" s="667" t="s">
        <v>14</v>
      </c>
      <c r="U32" s="668">
        <f t="shared" si="11"/>
        <v>100</v>
      </c>
      <c r="V32" s="667" t="s">
        <v>14</v>
      </c>
      <c r="W32" s="668">
        <f t="shared" si="12"/>
        <v>100</v>
      </c>
      <c r="X32" s="1265"/>
      <c r="Y32" s="334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349"/>
      <c r="Q33" s="1263"/>
      <c r="R33" s="667"/>
      <c r="S33" s="668"/>
      <c r="T33" s="667"/>
      <c r="U33" s="668"/>
      <c r="V33" s="667"/>
      <c r="W33" s="668"/>
      <c r="X33" s="1265"/>
      <c r="Y33" s="3349"/>
      <c r="Z33" s="1264"/>
      <c r="AA33" s="1264">
        <v>1</v>
      </c>
      <c r="AB33" s="1264">
        <v>1</v>
      </c>
      <c r="AC33" s="1264">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49"/>
      <c r="Q34" s="1263" t="str">
        <f t="shared" si="8"/>
        <v>土地级别</v>
      </c>
      <c r="R34" s="667" t="s">
        <v>14</v>
      </c>
      <c r="S34" s="668">
        <f t="shared" si="10"/>
        <v>100</v>
      </c>
      <c r="T34" s="667" t="s">
        <v>14</v>
      </c>
      <c r="U34" s="668">
        <f t="shared" si="11"/>
        <v>100</v>
      </c>
      <c r="V34" s="667" t="s">
        <v>14</v>
      </c>
      <c r="W34" s="668">
        <f t="shared" si="12"/>
        <v>100</v>
      </c>
      <c r="X34" s="1265"/>
      <c r="Y34" s="334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49"/>
      <c r="Q35" s="1263">
        <f t="shared" si="8"/>
        <v>111</v>
      </c>
      <c r="R35" s="667" t="s">
        <v>14</v>
      </c>
      <c r="S35" s="668">
        <f t="shared" si="10"/>
        <v>100</v>
      </c>
      <c r="T35" s="667" t="s">
        <v>14</v>
      </c>
      <c r="U35" s="668">
        <f t="shared" si="11"/>
        <v>100</v>
      </c>
      <c r="V35" s="667" t="s">
        <v>14</v>
      </c>
      <c r="W35" s="668">
        <f t="shared" si="12"/>
        <v>100</v>
      </c>
      <c r="X35" s="1265"/>
      <c r="Y35" s="334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350" t="s">
        <v>1693</v>
      </c>
      <c r="Q36" s="1263">
        <f t="shared" si="8"/>
        <v>111</v>
      </c>
      <c r="R36" s="667" t="s">
        <v>14</v>
      </c>
      <c r="S36" s="668">
        <f t="shared" si="10"/>
        <v>100</v>
      </c>
      <c r="T36" s="667" t="s">
        <v>14</v>
      </c>
      <c r="U36" s="668">
        <f t="shared" si="11"/>
        <v>100</v>
      </c>
      <c r="V36" s="667" t="s">
        <v>14</v>
      </c>
      <c r="W36" s="668">
        <f t="shared" si="12"/>
        <v>100</v>
      </c>
      <c r="X36" s="1265"/>
      <c r="Y36" s="3351" t="s">
        <v>1693</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51"/>
      <c r="Q37" s="1263">
        <f t="shared" si="8"/>
        <v>111</v>
      </c>
      <c r="R37" s="669" t="s">
        <v>14</v>
      </c>
      <c r="S37" s="670">
        <f t="shared" si="10"/>
        <v>100</v>
      </c>
      <c r="T37" s="669" t="s">
        <v>14</v>
      </c>
      <c r="U37" s="670">
        <f t="shared" si="11"/>
        <v>100</v>
      </c>
      <c r="V37" s="669" t="s">
        <v>14</v>
      </c>
      <c r="W37" s="670">
        <f t="shared" si="12"/>
        <v>100</v>
      </c>
      <c r="X37" s="671"/>
      <c r="Y37" s="3351"/>
      <c r="Z37" s="672">
        <f t="shared" si="13"/>
        <v>111</v>
      </c>
      <c r="AA37" s="1264">
        <f t="shared" si="3"/>
        <v>1</v>
      </c>
      <c r="AB37" s="1264">
        <f t="shared" si="4"/>
        <v>1</v>
      </c>
      <c r="AC37" s="1264">
        <f t="shared" si="5"/>
        <v>1</v>
      </c>
    </row>
    <row r="38" spans="1:29" ht="1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51"/>
      <c r="Q38" s="1263" t="str">
        <f>B38</f>
        <v>宗地面积</v>
      </c>
      <c r="R38" s="667" t="s">
        <v>14</v>
      </c>
      <c r="S38" s="668" t="e">
        <f t="shared" si="10"/>
        <v>#N/A</v>
      </c>
      <c r="T38" s="667" t="s">
        <v>14</v>
      </c>
      <c r="U38" s="668" t="e">
        <f t="shared" si="11"/>
        <v>#N/A</v>
      </c>
      <c r="V38" s="667" t="s">
        <v>14</v>
      </c>
      <c r="W38" s="668" t="e">
        <f t="shared" si="12"/>
        <v>#N/A</v>
      </c>
      <c r="X38" s="1265"/>
      <c r="Y38" s="3351"/>
      <c r="Z38" s="1264" t="str">
        <f t="shared" si="13"/>
        <v>宗地面积</v>
      </c>
      <c r="AA38" s="1264" t="e">
        <f t="shared" si="3"/>
        <v>#N/A</v>
      </c>
      <c r="AB38" s="1264" t="e">
        <f t="shared" si="4"/>
        <v>#N/A</v>
      </c>
      <c r="AC38" s="1264" t="e">
        <f t="shared" si="5"/>
        <v>#N/A</v>
      </c>
    </row>
    <row r="39" spans="1:29" ht="1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351"/>
      <c r="Q39" s="1263" t="str">
        <f t="shared" ref="Q39:Q45" si="14">B39</f>
        <v>宗地形状</v>
      </c>
      <c r="R39" s="667" t="s">
        <v>14</v>
      </c>
      <c r="S39" s="668">
        <f t="shared" si="10"/>
        <v>100</v>
      </c>
      <c r="T39" s="667" t="s">
        <v>14</v>
      </c>
      <c r="U39" s="668">
        <f t="shared" si="11"/>
        <v>100</v>
      </c>
      <c r="V39" s="667" t="s">
        <v>14</v>
      </c>
      <c r="W39" s="668">
        <f t="shared" si="12"/>
        <v>100</v>
      </c>
      <c r="X39" s="1265"/>
      <c r="Y39" s="3351"/>
      <c r="Z39" s="1264" t="str">
        <f t="shared" si="13"/>
        <v>宗地形状</v>
      </c>
      <c r="AA39" s="1264">
        <f t="shared" si="3"/>
        <v>1</v>
      </c>
      <c r="AB39" s="1264">
        <f t="shared" si="4"/>
        <v>1</v>
      </c>
      <c r="AC39" s="1264">
        <f t="shared" si="5"/>
        <v>1</v>
      </c>
    </row>
    <row r="40" spans="1:29" ht="1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351"/>
      <c r="Q40" s="1263" t="str">
        <f t="shared" si="14"/>
        <v>临街宽度及深度</v>
      </c>
      <c r="R40" s="667" t="s">
        <v>14</v>
      </c>
      <c r="S40" s="668">
        <f t="shared" si="10"/>
        <v>100</v>
      </c>
      <c r="T40" s="667" t="s">
        <v>14</v>
      </c>
      <c r="U40" s="668">
        <f t="shared" si="11"/>
        <v>100</v>
      </c>
      <c r="V40" s="667" t="s">
        <v>14</v>
      </c>
      <c r="W40" s="668">
        <f t="shared" si="12"/>
        <v>100</v>
      </c>
      <c r="X40" s="1265"/>
      <c r="Y40" s="3351"/>
      <c r="Z40" s="1264" t="str">
        <f t="shared" si="13"/>
        <v>临街宽度及深度</v>
      </c>
      <c r="AA40" s="1264">
        <f t="shared" si="3"/>
        <v>1</v>
      </c>
      <c r="AB40" s="1264">
        <f t="shared" si="4"/>
        <v>1</v>
      </c>
      <c r="AC40" s="1264">
        <f t="shared" si="5"/>
        <v>1</v>
      </c>
    </row>
    <row r="41" spans="1:29" s="102" customFormat="1" ht="1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5"/>
      <c r="N41" s="2435"/>
      <c r="O41" s="2536"/>
      <c r="P41" s="3351"/>
      <c r="Q41" s="1263" t="str">
        <f t="shared" si="14"/>
        <v>宗地开发程度</v>
      </c>
      <c r="R41" s="664" t="s">
        <v>14</v>
      </c>
      <c r="S41" s="665">
        <f t="shared" si="10"/>
        <v>100</v>
      </c>
      <c r="T41" s="664" t="s">
        <v>14</v>
      </c>
      <c r="U41" s="665">
        <f t="shared" si="11"/>
        <v>100</v>
      </c>
      <c r="V41" s="664" t="s">
        <v>14</v>
      </c>
      <c r="W41" s="665">
        <f t="shared" si="12"/>
        <v>100</v>
      </c>
      <c r="X41" s="666"/>
      <c r="Y41" s="3351"/>
      <c r="Z41" s="50" t="str">
        <f t="shared" si="13"/>
        <v>宗地开发程度</v>
      </c>
      <c r="AA41" s="50">
        <f t="shared" si="3"/>
        <v>1</v>
      </c>
      <c r="AB41" s="50">
        <f t="shared" si="4"/>
        <v>1</v>
      </c>
      <c r="AC41" s="50">
        <f t="shared" si="5"/>
        <v>1</v>
      </c>
    </row>
    <row r="42" spans="1:29" ht="1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351" t="s">
        <v>1693</v>
      </c>
      <c r="Q42" s="1263" t="str">
        <f t="shared" si="14"/>
        <v>工程地质条件</v>
      </c>
      <c r="R42" s="667" t="s">
        <v>14</v>
      </c>
      <c r="S42" s="668">
        <f t="shared" si="10"/>
        <v>100</v>
      </c>
      <c r="T42" s="667" t="s">
        <v>14</v>
      </c>
      <c r="U42" s="668">
        <f t="shared" si="11"/>
        <v>100</v>
      </c>
      <c r="V42" s="667" t="s">
        <v>14</v>
      </c>
      <c r="W42" s="668">
        <f t="shared" si="12"/>
        <v>100</v>
      </c>
      <c r="X42" s="1265"/>
      <c r="Y42" s="3351" t="s">
        <v>1693</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51"/>
      <c r="Q43" s="1263">
        <f t="shared" si="14"/>
        <v>111</v>
      </c>
      <c r="R43" s="667" t="s">
        <v>14</v>
      </c>
      <c r="S43" s="668">
        <f t="shared" si="10"/>
        <v>100</v>
      </c>
      <c r="T43" s="667" t="s">
        <v>14</v>
      </c>
      <c r="U43" s="668">
        <f t="shared" si="11"/>
        <v>100</v>
      </c>
      <c r="V43" s="667" t="s">
        <v>14</v>
      </c>
      <c r="W43" s="668">
        <f t="shared" si="12"/>
        <v>100</v>
      </c>
      <c r="X43" s="1265"/>
      <c r="Y43" s="335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51"/>
      <c r="Q44" s="1263">
        <f t="shared" si="14"/>
        <v>111</v>
      </c>
      <c r="R44" s="667" t="s">
        <v>14</v>
      </c>
      <c r="S44" s="668">
        <f t="shared" si="10"/>
        <v>100</v>
      </c>
      <c r="T44" s="667" t="s">
        <v>14</v>
      </c>
      <c r="U44" s="668">
        <f t="shared" si="11"/>
        <v>100</v>
      </c>
      <c r="V44" s="667" t="s">
        <v>14</v>
      </c>
      <c r="W44" s="668">
        <f t="shared" si="12"/>
        <v>100</v>
      </c>
      <c r="X44" s="1265"/>
      <c r="Y44" s="335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51"/>
      <c r="Q45" s="1263">
        <f t="shared" si="14"/>
        <v>111</v>
      </c>
      <c r="R45" s="669" t="s">
        <v>14</v>
      </c>
      <c r="S45" s="670">
        <f t="shared" si="10"/>
        <v>100</v>
      </c>
      <c r="T45" s="669" t="s">
        <v>14</v>
      </c>
      <c r="U45" s="670">
        <f t="shared" si="11"/>
        <v>100</v>
      </c>
      <c r="V45" s="669" t="s">
        <v>14</v>
      </c>
      <c r="W45" s="670">
        <f t="shared" si="12"/>
        <v>100</v>
      </c>
      <c r="X45" s="671"/>
      <c r="Y45" s="3351"/>
      <c r="Z45" s="672">
        <f t="shared" si="13"/>
        <v>111</v>
      </c>
      <c r="AA45" s="1264">
        <f t="shared" si="3"/>
        <v>1</v>
      </c>
      <c r="AB45" s="1264">
        <f t="shared" si="4"/>
        <v>1</v>
      </c>
      <c r="AC45" s="1264">
        <f t="shared" si="5"/>
        <v>1</v>
      </c>
    </row>
    <row r="46" spans="1:29" ht="15">
      <c r="A46" s="416" t="s">
        <v>1841</v>
      </c>
      <c r="B46" s="1830" t="s">
        <v>1876</v>
      </c>
      <c r="C46" s="602" t="s">
        <v>0</v>
      </c>
      <c r="D46" s="418"/>
      <c r="E46" s="419"/>
      <c r="F46" s="420"/>
      <c r="G46" s="421"/>
      <c r="H46" s="422"/>
      <c r="I46" s="419"/>
      <c r="J46" s="422"/>
      <c r="K46" s="674"/>
      <c r="L46" s="2490"/>
      <c r="M46" s="2483"/>
      <c r="N46" s="2483"/>
      <c r="O46" s="2483"/>
      <c r="P46" s="3343" t="str">
        <f>A46</f>
        <v>成交单价</v>
      </c>
      <c r="Q46" s="3343"/>
      <c r="R46" s="3344">
        <f>E46</f>
        <v>0</v>
      </c>
      <c r="S46" s="3344"/>
      <c r="T46" s="3344">
        <f>G46</f>
        <v>0</v>
      </c>
      <c r="U46" s="3344"/>
      <c r="V46" s="3344">
        <f>I46</f>
        <v>0</v>
      </c>
      <c r="W46" s="3344"/>
      <c r="X46" s="385"/>
      <c r="Y46" s="673"/>
      <c r="Z46" s="385"/>
      <c r="AA46" s="385"/>
      <c r="AB46" s="385"/>
      <c r="AC46" s="385"/>
    </row>
    <row r="47" spans="1:29" ht="15.75" thickBot="1">
      <c r="A47" s="423" t="s">
        <v>1790</v>
      </c>
      <c r="B47" s="603"/>
      <c r="C47" s="426" t="e">
        <f>R48</f>
        <v>#DIV/0!</v>
      </c>
      <c r="D47" s="2141" t="s">
        <v>2135</v>
      </c>
      <c r="E47" s="426" t="e">
        <f>R47</f>
        <v>#DIV/0!</v>
      </c>
      <c r="F47" s="2142"/>
      <c r="G47" s="425" t="e">
        <f>T47</f>
        <v>#DIV/0!</v>
      </c>
      <c r="H47" s="2142"/>
      <c r="I47" s="426" t="e">
        <f>V47</f>
        <v>#DIV/0!</v>
      </c>
      <c r="J47" s="2142"/>
      <c r="K47" s="2144">
        <f>F47+H47+J47</f>
        <v>0</v>
      </c>
      <c r="L47" s="2490"/>
      <c r="M47" s="2483"/>
      <c r="N47" s="2483"/>
      <c r="O47" s="2483"/>
      <c r="P47" s="3343" t="str">
        <f>A47</f>
        <v>比较价值（元/平方米）</v>
      </c>
      <c r="Q47" s="3343"/>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0"/>
      <c r="M48" s="2483"/>
      <c r="N48" s="2483"/>
      <c r="O48" s="2483"/>
      <c r="P48" s="3345" t="str">
        <f>A48</f>
        <v>估价对象XX用房的比较价值（楼面单价，元/平方米）</v>
      </c>
      <c r="Q48" s="3346"/>
      <c r="R48" s="3458" t="e">
        <f>ROUND(IF(D47="简单平均",AVERAGE(R47:W47),R47*F47+T47*H47+V47*J47),0)</f>
        <v>#DIV/0!</v>
      </c>
      <c r="S48" s="3458"/>
      <c r="T48" s="3458"/>
      <c r="U48" s="3458"/>
      <c r="V48" s="3458"/>
      <c r="W48" s="345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31" t="s">
        <v>1880</v>
      </c>
      <c r="D55" s="1832" t="s">
        <v>1881</v>
      </c>
      <c r="E55" s="606" t="s">
        <v>1882</v>
      </c>
      <c r="F55" s="837" t="s">
        <v>1883</v>
      </c>
      <c r="G55" s="3356" t="s">
        <v>1884</v>
      </c>
      <c r="H55" s="3459"/>
      <c r="I55" s="127" t="s">
        <v>1885</v>
      </c>
      <c r="J55" s="1833">
        <f>项目基本情况!F35</f>
        <v>0</v>
      </c>
      <c r="K55" s="1834"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t="e">
        <f>C48</f>
        <v>#DIV/0!</v>
      </c>
      <c r="C56" s="610">
        <v>1</v>
      </c>
      <c r="D56" s="890">
        <v>1</v>
      </c>
      <c r="E56" s="610">
        <f>'数据-汇总表'!E8+'数据-汇总表'!E9</f>
        <v>7277.1279999999997</v>
      </c>
      <c r="F56" s="833" t="e">
        <f t="shared" ref="F56:F64" si="15">ROUND(B56*E56/10000,0)</f>
        <v>#DIV/0!</v>
      </c>
      <c r="G56" s="3438"/>
      <c r="H56" s="3343"/>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t="e">
        <f>ROUND($C$48*C57*D57,0)</f>
        <v>#DIV/0!</v>
      </c>
      <c r="C57" s="163">
        <f t="shared" ref="C57:C64" si="16">IF($C$55="北京市系数",I57,J57)</f>
        <v>0</v>
      </c>
      <c r="D57" s="891">
        <v>0.25</v>
      </c>
      <c r="E57" s="614"/>
      <c r="F57" s="833" t="e">
        <f t="shared" si="15"/>
        <v>#DIV/0!</v>
      </c>
      <c r="G57" s="2746" t="s">
        <v>1889</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t="e">
        <f t="shared" si="17"/>
        <v>#DIV/0!</v>
      </c>
      <c r="C60" s="163">
        <f t="shared" si="16"/>
        <v>0</v>
      </c>
      <c r="D60" s="891">
        <v>0.25</v>
      </c>
      <c r="E60" s="209">
        <f>'数据-汇总表'!E11</f>
        <v>0</v>
      </c>
      <c r="F60" s="833" t="e">
        <f t="shared" si="15"/>
        <v>#DIV/0!</v>
      </c>
      <c r="G60" s="1835" t="s">
        <v>1893</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t="e">
        <f t="shared" si="17"/>
        <v>#DIV/0!</v>
      </c>
      <c r="C63" s="163">
        <f t="shared" si="16"/>
        <v>0</v>
      </c>
      <c r="D63" s="891">
        <v>0.25</v>
      </c>
      <c r="E63" s="209">
        <f>'数据-汇总表'!E14</f>
        <v>0</v>
      </c>
      <c r="F63" s="833" t="e">
        <f t="shared" si="15"/>
        <v>#DIV/0!</v>
      </c>
      <c r="G63" s="1835" t="s">
        <v>1889</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1899</v>
      </c>
      <c r="B64" s="210" t="e">
        <f t="shared" si="17"/>
        <v>#DIV/0!</v>
      </c>
      <c r="C64" s="163">
        <f t="shared" si="16"/>
        <v>0</v>
      </c>
      <c r="D64" s="891">
        <v>0.25</v>
      </c>
      <c r="E64" s="209">
        <f>'数据-汇总表'!E15</f>
        <v>0</v>
      </c>
      <c r="F64" s="833" t="e">
        <f t="shared" si="15"/>
        <v>#DIV/0!</v>
      </c>
      <c r="G64" s="1836" t="s">
        <v>1893</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1900</v>
      </c>
      <c r="B65" s="616" t="s">
        <v>22</v>
      </c>
      <c r="C65" s="616" t="s">
        <v>23</v>
      </c>
      <c r="D65" s="616" t="s">
        <v>392</v>
      </c>
      <c r="E65" s="616">
        <f>IF(B46="楼面地价",SUM(E56:E64),'数据-汇总表'!D3)</f>
        <v>7277.1279999999997</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2024-3-1</v>
      </c>
      <c r="D67" s="656">
        <f>EDATE(C67,-3)</f>
        <v>45261</v>
      </c>
      <c r="E67" s="656">
        <f>EDATE(D67,-3)</f>
        <v>45170</v>
      </c>
      <c r="F67" s="656">
        <f t="shared" ref="F67:O67" si="18">EDATE(E67,-3)</f>
        <v>45078</v>
      </c>
      <c r="G67" s="656">
        <f t="shared" si="18"/>
        <v>44986</v>
      </c>
      <c r="H67" s="656">
        <f t="shared" si="18"/>
        <v>44896</v>
      </c>
      <c r="I67" s="656">
        <f t="shared" si="18"/>
        <v>44805</v>
      </c>
      <c r="J67" s="656">
        <f t="shared" si="18"/>
        <v>44713</v>
      </c>
      <c r="K67" s="656">
        <f t="shared" si="18"/>
        <v>44621</v>
      </c>
      <c r="L67" s="656">
        <f t="shared" si="18"/>
        <v>44531</v>
      </c>
      <c r="M67" s="656">
        <f t="shared" si="18"/>
        <v>44440</v>
      </c>
      <c r="N67" s="656">
        <f t="shared" si="18"/>
        <v>44348</v>
      </c>
      <c r="O67" s="656">
        <f t="shared" si="18"/>
        <v>44256</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30" t="s">
        <v>1901</v>
      </c>
      <c r="B69" s="1046"/>
      <c r="C69" s="1101" t="str">
        <f>YEAR(C67)&amp;"-"&amp;ROUNDUP(MONTH(C67)/3,0)</f>
        <v>2024-1</v>
      </c>
      <c r="D69" s="1101" t="str">
        <f>YEAR(D67)&amp;"-"&amp;ROUNDUP(MONTH(D67)/3,0)</f>
        <v>2023-4</v>
      </c>
      <c r="E69" s="1101" t="str">
        <f t="shared" ref="E69:O69" si="19">YEAR(E67)&amp;"-"&amp;ROUNDUP(MONTH(E67)/3,0)</f>
        <v>2023-3</v>
      </c>
      <c r="F69" s="1101" t="str">
        <f t="shared" si="19"/>
        <v>2023-2</v>
      </c>
      <c r="G69" s="1101" t="str">
        <f t="shared" si="19"/>
        <v>2023-1</v>
      </c>
      <c r="H69" s="1101" t="str">
        <f t="shared" si="19"/>
        <v>2022-4</v>
      </c>
      <c r="I69" s="1101" t="str">
        <f t="shared" si="19"/>
        <v>2022-3</v>
      </c>
      <c r="J69" s="1101" t="str">
        <f t="shared" si="19"/>
        <v>2022-2</v>
      </c>
      <c r="K69" s="1101" t="str">
        <f t="shared" si="19"/>
        <v>2022-1</v>
      </c>
      <c r="L69" s="1101" t="str">
        <f t="shared" si="19"/>
        <v>2021-4</v>
      </c>
      <c r="M69" s="1101" t="str">
        <f t="shared" si="19"/>
        <v>2021-3</v>
      </c>
      <c r="N69" s="1101" t="str">
        <f t="shared" si="19"/>
        <v>2021-2</v>
      </c>
      <c r="O69" s="1101" t="str">
        <f t="shared" si="19"/>
        <v>2021-1</v>
      </c>
      <c r="P69" s="2506"/>
      <c r="Q69" s="2506"/>
      <c r="R69" s="2506"/>
      <c r="S69" s="2506"/>
      <c r="T69" s="2506"/>
      <c r="U69" s="2506"/>
      <c r="V69" s="2506"/>
      <c r="W69" s="2506"/>
      <c r="X69" s="2506"/>
      <c r="Y69" s="2506"/>
      <c r="Z69" s="2506"/>
      <c r="AA69" s="2506"/>
      <c r="AB69" s="2506"/>
      <c r="AC69" s="2506"/>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1713</v>
      </c>
      <c r="B71" s="450"/>
      <c r="C71" s="451"/>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1678</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1716</v>
      </c>
      <c r="B74" s="460" t="s">
        <v>1682</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1685</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1687</v>
      </c>
      <c r="B87" s="460" t="s">
        <v>1717</v>
      </c>
      <c r="C87" s="504" t="s">
        <v>1718</v>
      </c>
      <c r="D87" s="504" t="s">
        <v>1719</v>
      </c>
      <c r="E87" s="504" t="s">
        <v>1720</v>
      </c>
      <c r="F87" s="504" t="s">
        <v>1721</v>
      </c>
      <c r="G87" s="504" t="s">
        <v>1722</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1903</v>
      </c>
      <c r="C89" s="509" t="s">
        <v>1718</v>
      </c>
      <c r="D89" s="509" t="s">
        <v>1719</v>
      </c>
      <c r="E89" s="509" t="s">
        <v>1720</v>
      </c>
      <c r="F89" s="509" t="s">
        <v>1721</v>
      </c>
      <c r="G89" s="509" t="s">
        <v>1722</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1718</v>
      </c>
      <c r="D91" s="509" t="s">
        <v>1719</v>
      </c>
      <c r="E91" s="509" t="s">
        <v>1720</v>
      </c>
      <c r="F91" s="509" t="s">
        <v>1721</v>
      </c>
      <c r="G91" s="509" t="s">
        <v>1722</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1723</v>
      </c>
      <c r="C93" s="509" t="s">
        <v>1718</v>
      </c>
      <c r="D93" s="509" t="s">
        <v>1719</v>
      </c>
      <c r="E93" s="509" t="s">
        <v>1720</v>
      </c>
      <c r="F93" s="509" t="s">
        <v>1721</v>
      </c>
      <c r="G93" s="509" t="s">
        <v>1722</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1904</v>
      </c>
      <c r="C95" s="509" t="s">
        <v>1718</v>
      </c>
      <c r="D95" s="509" t="s">
        <v>1719</v>
      </c>
      <c r="E95" s="509" t="s">
        <v>1720</v>
      </c>
      <c r="F95" s="509" t="s">
        <v>1721</v>
      </c>
      <c r="G95" s="509" t="s">
        <v>1722</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1905</v>
      </c>
      <c r="C97" s="504" t="s">
        <v>1718</v>
      </c>
      <c r="D97" s="504" t="s">
        <v>1719</v>
      </c>
      <c r="E97" s="504" t="s">
        <v>1720</v>
      </c>
      <c r="F97" s="504" t="s">
        <v>1721</v>
      </c>
      <c r="G97" s="504" t="s">
        <v>1722</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1718</v>
      </c>
      <c r="D99" s="504" t="s">
        <v>1719</v>
      </c>
      <c r="E99" s="504" t="s">
        <v>1720</v>
      </c>
      <c r="F99" s="504" t="s">
        <v>1721</v>
      </c>
      <c r="G99" s="504" t="s">
        <v>1722</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M34" sqref="M3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356" t="s">
        <v>1767</v>
      </c>
      <c r="D4" s="3357"/>
      <c r="E4" s="3358" t="s">
        <v>1768</v>
      </c>
      <c r="F4" s="3359"/>
      <c r="G4" s="3356" t="s">
        <v>1769</v>
      </c>
      <c r="H4" s="3357"/>
      <c r="I4" s="3356" t="s">
        <v>1770</v>
      </c>
      <c r="J4" s="3357"/>
      <c r="K4" s="537" t="s">
        <v>1771</v>
      </c>
      <c r="L4" s="2482"/>
      <c r="M4" s="2483"/>
      <c r="N4" s="2483"/>
      <c r="O4" s="2483"/>
      <c r="P4" s="3360" t="s">
        <v>1772</v>
      </c>
      <c r="Q4" s="3361"/>
      <c r="R4" s="3366" t="s">
        <v>1768</v>
      </c>
      <c r="S4" s="3367"/>
      <c r="T4" s="3366" t="s">
        <v>1769</v>
      </c>
      <c r="U4" s="3367"/>
      <c r="V4" s="3344" t="s">
        <v>1770</v>
      </c>
      <c r="W4" s="3344"/>
      <c r="X4" s="1265"/>
      <c r="Y4" s="3366" t="s">
        <v>1772</v>
      </c>
      <c r="Z4" s="3367"/>
      <c r="AA4" s="3353" t="s">
        <v>1768</v>
      </c>
      <c r="AB4" s="3354" t="s">
        <v>1769</v>
      </c>
      <c r="AC4" s="3353" t="s">
        <v>1770</v>
      </c>
    </row>
    <row r="5" spans="1:29" ht="15">
      <c r="A5" s="348"/>
      <c r="B5" s="349"/>
      <c r="C5" s="3379" t="s">
        <v>1670</v>
      </c>
      <c r="D5" s="3375"/>
      <c r="E5" s="3440" t="s">
        <v>1671</v>
      </c>
      <c r="F5" s="3384"/>
      <c r="G5" s="3379" t="s">
        <v>1672</v>
      </c>
      <c r="H5" s="3375"/>
      <c r="I5" s="3379" t="s">
        <v>1673</v>
      </c>
      <c r="J5" s="3375"/>
      <c r="K5" s="537"/>
      <c r="L5" s="2482"/>
      <c r="M5" s="2483"/>
      <c r="N5" s="2483"/>
      <c r="O5" s="2483"/>
      <c r="P5" s="3362"/>
      <c r="Q5" s="3363"/>
      <c r="R5" s="3368"/>
      <c r="S5" s="3369"/>
      <c r="T5" s="3368"/>
      <c r="U5" s="3369"/>
      <c r="V5" s="3344"/>
      <c r="W5" s="3344"/>
      <c r="X5" s="1265"/>
      <c r="Y5" s="3368"/>
      <c r="Z5" s="3369"/>
      <c r="AA5" s="3354"/>
      <c r="AB5" s="3354"/>
      <c r="AC5" s="3354"/>
    </row>
    <row r="6" spans="1:29" ht="15.75" thickBot="1">
      <c r="A6" s="350"/>
      <c r="B6" s="351"/>
      <c r="C6" s="3460" t="s">
        <v>1916</v>
      </c>
      <c r="D6" s="3461"/>
      <c r="E6" s="3462" t="s">
        <v>1916</v>
      </c>
      <c r="F6" s="3463"/>
      <c r="G6" s="3460" t="s">
        <v>1916</v>
      </c>
      <c r="H6" s="3461"/>
      <c r="I6" s="3460" t="s">
        <v>1916</v>
      </c>
      <c r="J6" s="3461"/>
      <c r="K6" s="537" t="s">
        <v>1675</v>
      </c>
      <c r="L6" s="2482"/>
      <c r="M6" s="2483"/>
      <c r="N6" s="2483"/>
      <c r="O6" s="2483"/>
      <c r="P6" s="3364"/>
      <c r="Q6" s="3365"/>
      <c r="R6" s="3368"/>
      <c r="S6" s="3369"/>
      <c r="T6" s="3370"/>
      <c r="U6" s="3371"/>
      <c r="V6" s="3344"/>
      <c r="W6" s="3344"/>
      <c r="X6" s="1265"/>
      <c r="Y6" s="3370"/>
      <c r="Z6" s="3371"/>
      <c r="AA6" s="3355"/>
      <c r="AB6" s="3355"/>
      <c r="AC6" s="3355"/>
    </row>
    <row r="7" spans="1:29" s="102" customFormat="1" ht="15.75" thickBot="1">
      <c r="A7" s="352" t="s">
        <v>1676</v>
      </c>
      <c r="B7" s="353"/>
      <c r="C7" s="354">
        <f>'数据-取费表'!B2</f>
        <v>45355</v>
      </c>
      <c r="D7" s="355">
        <v>100</v>
      </c>
      <c r="E7" s="356"/>
      <c r="F7" s="357">
        <f>SUMIF(65:65,YEAR(E7)&amp;"-"&amp;INT((MONTH(E7)+2)/3),66:66)</f>
        <v>0</v>
      </c>
      <c r="G7" s="1822"/>
      <c r="H7" s="355">
        <f>SUMIF(65:65,YEAR(G7)&amp;"-"&amp;INT((MONTH(G7)+2)/3),66:66)</f>
        <v>0</v>
      </c>
      <c r="I7" s="1822"/>
      <c r="J7" s="355">
        <f>SUMIF(65:65,YEAR(I7)&amp;"-"&amp;INT((MONTH(I7)+2)/3),66:66)</f>
        <v>0</v>
      </c>
      <c r="K7" s="38"/>
      <c r="L7" s="2484"/>
      <c r="M7" s="2435"/>
      <c r="N7" s="2435"/>
      <c r="O7" s="2435"/>
      <c r="P7" s="3376" t="s">
        <v>1677</v>
      </c>
      <c r="Q7" s="3378"/>
      <c r="R7" s="664" t="s">
        <v>14</v>
      </c>
      <c r="S7" s="665">
        <f t="shared" ref="S7:S15" si="0">F7</f>
        <v>0</v>
      </c>
      <c r="T7" s="664" t="s">
        <v>14</v>
      </c>
      <c r="U7" s="665">
        <f t="shared" ref="U7:U15" si="1">H7</f>
        <v>0</v>
      </c>
      <c r="V7" s="664" t="s">
        <v>14</v>
      </c>
      <c r="W7" s="665">
        <f t="shared" ref="W7:W15" si="2">J7</f>
        <v>0</v>
      </c>
      <c r="X7" s="666"/>
      <c r="Y7" s="3376" t="s">
        <v>1677</v>
      </c>
      <c r="Z7" s="3377"/>
      <c r="AA7" s="50" t="e">
        <f>D7/F7</f>
        <v>#DIV/0!</v>
      </c>
      <c r="AB7" s="50" t="e">
        <f>D7/H7</f>
        <v>#DIV/0!</v>
      </c>
      <c r="AC7" s="50" t="e">
        <f>D7/J7</f>
        <v>#DIV/0!</v>
      </c>
    </row>
    <row r="8" spans="1:29" s="102" customFormat="1" ht="15.7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376" t="s">
        <v>1680</v>
      </c>
      <c r="Q8" s="3377"/>
      <c r="R8" s="664" t="s">
        <v>14</v>
      </c>
      <c r="S8" s="665">
        <f t="shared" si="0"/>
        <v>0</v>
      </c>
      <c r="T8" s="664" t="s">
        <v>14</v>
      </c>
      <c r="U8" s="665">
        <f t="shared" si="1"/>
        <v>0</v>
      </c>
      <c r="V8" s="664" t="s">
        <v>14</v>
      </c>
      <c r="W8" s="665">
        <f t="shared" si="2"/>
        <v>0</v>
      </c>
      <c r="X8" s="666"/>
      <c r="Y8" s="3376" t="s">
        <v>1680</v>
      </c>
      <c r="Z8" s="3377"/>
      <c r="AA8" s="50" t="e">
        <f t="shared" ref="AA8:AA40" si="3">D8/F8</f>
        <v>#DIV/0!</v>
      </c>
      <c r="AB8" s="50" t="e">
        <f t="shared" ref="AB8:AB40" si="4">D8/H8</f>
        <v>#DIV/0!</v>
      </c>
      <c r="AC8" s="50" t="e">
        <f t="shared" ref="AC8:AC40" si="5">D8/J8</f>
        <v>#DIV/0!</v>
      </c>
    </row>
    <row r="9" spans="1:29" s="102" customFormat="1">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4"/>
      <c r="M9" s="2435"/>
      <c r="N9" s="2435"/>
      <c r="O9" s="2536"/>
      <c r="P9" s="3343" t="s">
        <v>1683</v>
      </c>
      <c r="Q9" s="530" t="str">
        <f t="shared" ref="Q9:Q15" si="6">B9</f>
        <v>用途</v>
      </c>
      <c r="R9" s="664" t="s">
        <v>14</v>
      </c>
      <c r="S9" s="665">
        <f t="shared" si="0"/>
        <v>100</v>
      </c>
      <c r="T9" s="664" t="s">
        <v>14</v>
      </c>
      <c r="U9" s="665">
        <f t="shared" si="1"/>
        <v>100</v>
      </c>
      <c r="V9" s="664" t="s">
        <v>14</v>
      </c>
      <c r="W9" s="665">
        <f t="shared" si="2"/>
        <v>100</v>
      </c>
      <c r="X9" s="666"/>
      <c r="Y9" s="3250" t="s">
        <v>1684</v>
      </c>
      <c r="Z9" s="50" t="str">
        <f t="shared" ref="Z9:Z15" si="7">Q9</f>
        <v>用途</v>
      </c>
      <c r="AA9" s="50">
        <f t="shared" si="3"/>
        <v>1</v>
      </c>
      <c r="AB9" s="50">
        <f t="shared" si="4"/>
        <v>1</v>
      </c>
      <c r="AC9" s="50">
        <f t="shared" si="5"/>
        <v>1</v>
      </c>
    </row>
    <row r="10" spans="1:29" s="366" customFormat="1" ht="27">
      <c r="A10" s="363"/>
      <c r="B10" s="364" t="s">
        <v>1685</v>
      </c>
      <c r="C10" s="371"/>
      <c r="D10" s="119">
        <v>100</v>
      </c>
      <c r="E10" s="371"/>
      <c r="F10" s="119">
        <f>ROUND(100/'数据-取费表'!G16,0)</f>
        <v>115</v>
      </c>
      <c r="G10" s="371"/>
      <c r="H10" s="119">
        <f>ROUND(100/'数据-取费表'!G16,0)</f>
        <v>115</v>
      </c>
      <c r="I10" s="371"/>
      <c r="J10" s="119">
        <f>ROUND(100/'数据-取费表'!G16,0)</f>
        <v>115</v>
      </c>
      <c r="K10" s="592"/>
      <c r="L10" s="2485"/>
      <c r="M10" s="2486"/>
      <c r="N10" s="2486"/>
      <c r="O10" s="2537"/>
      <c r="P10" s="3343"/>
      <c r="Q10" s="530" t="str">
        <f t="shared" si="6"/>
        <v>土地使用年限（年）</v>
      </c>
      <c r="R10" s="664" t="s">
        <v>14</v>
      </c>
      <c r="S10" s="665">
        <f t="shared" si="0"/>
        <v>115</v>
      </c>
      <c r="T10" s="664" t="s">
        <v>14</v>
      </c>
      <c r="U10" s="665">
        <f t="shared" si="1"/>
        <v>115</v>
      </c>
      <c r="V10" s="664" t="s">
        <v>14</v>
      </c>
      <c r="W10" s="665">
        <f t="shared" si="2"/>
        <v>115</v>
      </c>
      <c r="X10" s="666"/>
      <c r="Y10" s="3250"/>
      <c r="Z10" s="50" t="str">
        <f t="shared" si="7"/>
        <v>土地使用年限（年）</v>
      </c>
      <c r="AA10" s="50">
        <f t="shared" si="3"/>
        <v>0.86956521739130432</v>
      </c>
      <c r="AB10" s="50">
        <f t="shared" si="4"/>
        <v>0.86956521739130432</v>
      </c>
      <c r="AC10" s="50">
        <f t="shared" si="5"/>
        <v>0.86956521739130432</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43"/>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43"/>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43"/>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43"/>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15">
      <c r="A15" s="379" t="s">
        <v>1687</v>
      </c>
      <c r="B15" s="554" t="s">
        <v>1917</v>
      </c>
      <c r="C15" s="1819" t="str">
        <f>估价对象房地状况!G15</f>
        <v>较好</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48" t="s">
        <v>1688</v>
      </c>
      <c r="Q15" s="1263" t="str">
        <f t="shared" si="6"/>
        <v>产业集聚程度</v>
      </c>
      <c r="R15" s="667" t="s">
        <v>14</v>
      </c>
      <c r="S15" s="668">
        <f t="shared" si="0"/>
        <v>100</v>
      </c>
      <c r="T15" s="667" t="s">
        <v>14</v>
      </c>
      <c r="U15" s="668">
        <f t="shared" si="1"/>
        <v>100</v>
      </c>
      <c r="V15" s="667" t="s">
        <v>14</v>
      </c>
      <c r="W15" s="668">
        <f t="shared" si="2"/>
        <v>100</v>
      </c>
      <c r="X15" s="1265"/>
      <c r="Y15" s="3348" t="s">
        <v>1688</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349"/>
      <c r="Q16" s="1263"/>
      <c r="R16" s="667"/>
      <c r="S16" s="668"/>
      <c r="T16" s="667"/>
      <c r="U16" s="668"/>
      <c r="V16" s="667"/>
      <c r="W16" s="668"/>
      <c r="X16" s="1265"/>
      <c r="Y16" s="3349"/>
      <c r="Z16" s="1264"/>
      <c r="AA16" s="1264">
        <v>1</v>
      </c>
      <c r="AB16" s="1264">
        <v>1</v>
      </c>
      <c r="AC16" s="1264">
        <v>1</v>
      </c>
    </row>
    <row r="17" spans="1:29" ht="15">
      <c r="A17" s="367"/>
      <c r="B17" s="556" t="s">
        <v>1830</v>
      </c>
      <c r="C17" s="1754" t="str">
        <f>估价对象房地状况!G16</f>
        <v>一般</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49"/>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349"/>
      <c r="Q18" s="1263"/>
      <c r="R18" s="667"/>
      <c r="S18" s="668"/>
      <c r="T18" s="667"/>
      <c r="U18" s="668"/>
      <c r="V18" s="667"/>
      <c r="W18" s="668"/>
      <c r="X18" s="1265"/>
      <c r="Y18" s="3349"/>
      <c r="Z18" s="1264"/>
      <c r="AA18" s="1264">
        <v>1</v>
      </c>
      <c r="AB18" s="1264">
        <v>1</v>
      </c>
      <c r="AC18" s="1264">
        <v>1</v>
      </c>
    </row>
    <row r="19" spans="1:29" ht="15">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49"/>
      <c r="Q19" s="1263" t="str">
        <f t="shared" ref="Q19:Q33" si="8">B19</f>
        <v>区域土地利用方向</v>
      </c>
      <c r="R19" s="667" t="s">
        <v>14</v>
      </c>
      <c r="S19" s="668">
        <f>F19</f>
        <v>100</v>
      </c>
      <c r="T19" s="667" t="s">
        <v>14</v>
      </c>
      <c r="U19" s="668">
        <f>H19</f>
        <v>100</v>
      </c>
      <c r="V19" s="667" t="s">
        <v>14</v>
      </c>
      <c r="W19" s="668">
        <f>J19</f>
        <v>100</v>
      </c>
      <c r="X19" s="1265"/>
      <c r="Y19" s="334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349"/>
      <c r="Q20" s="1263"/>
      <c r="R20" s="667"/>
      <c r="S20" s="668"/>
      <c r="T20" s="667"/>
      <c r="U20" s="668"/>
      <c r="V20" s="667"/>
      <c r="W20" s="668"/>
      <c r="X20" s="1265"/>
      <c r="Y20" s="3349"/>
      <c r="Z20" s="1264"/>
      <c r="AA20" s="1264"/>
      <c r="AB20" s="1264"/>
      <c r="AC20" s="1264"/>
    </row>
    <row r="21" spans="1:29" ht="15">
      <c r="A21" s="348"/>
      <c r="B21" s="556" t="s">
        <v>1918</v>
      </c>
      <c r="C21" s="1754" t="str">
        <f>估价对象房地状况!G18</f>
        <v>较好</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49"/>
      <c r="Q21" s="1263" t="str">
        <f t="shared" si="8"/>
        <v>环境状况</v>
      </c>
      <c r="R21" s="667" t="s">
        <v>14</v>
      </c>
      <c r="S21" s="668">
        <f>F21</f>
        <v>100</v>
      </c>
      <c r="T21" s="667" t="s">
        <v>14</v>
      </c>
      <c r="U21" s="668">
        <f>H21</f>
        <v>100</v>
      </c>
      <c r="V21" s="667" t="s">
        <v>14</v>
      </c>
      <c r="W21" s="668">
        <f>J21</f>
        <v>100</v>
      </c>
      <c r="X21" s="1265"/>
      <c r="Y21" s="334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349"/>
      <c r="Q22" s="1263"/>
      <c r="R22" s="667"/>
      <c r="S22" s="668"/>
      <c r="T22" s="667"/>
      <c r="U22" s="668"/>
      <c r="V22" s="667"/>
      <c r="W22" s="668"/>
      <c r="X22" s="1265"/>
      <c r="Y22" s="3349"/>
      <c r="Z22" s="1264"/>
      <c r="AA22" s="1264">
        <v>1</v>
      </c>
      <c r="AB22" s="1264">
        <v>1</v>
      </c>
      <c r="AC22" s="1264">
        <v>1</v>
      </c>
    </row>
    <row r="23" spans="1:29" s="102" customFormat="1" ht="15">
      <c r="A23" s="443"/>
      <c r="B23" s="557" t="s">
        <v>1775</v>
      </c>
      <c r="C23" s="1754" t="str">
        <f>估价对象房地状况!G19</f>
        <v>一般</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349"/>
      <c r="Q23" s="530" t="str">
        <f t="shared" si="8"/>
        <v>公共配套设施</v>
      </c>
      <c r="R23" s="664" t="s">
        <v>14</v>
      </c>
      <c r="S23" s="665">
        <f>F23</f>
        <v>100</v>
      </c>
      <c r="T23" s="664" t="s">
        <v>14</v>
      </c>
      <c r="U23" s="665">
        <f>H23</f>
        <v>100</v>
      </c>
      <c r="V23" s="664" t="s">
        <v>14</v>
      </c>
      <c r="W23" s="665">
        <f>J23</f>
        <v>100</v>
      </c>
      <c r="X23" s="666"/>
      <c r="Y23" s="334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5"/>
      <c r="N24" s="2435"/>
      <c r="O24" s="2536"/>
      <c r="P24" s="3349"/>
      <c r="Q24" s="530"/>
      <c r="R24" s="664"/>
      <c r="S24" s="665"/>
      <c r="T24" s="664"/>
      <c r="U24" s="665"/>
      <c r="V24" s="664"/>
      <c r="W24" s="665"/>
      <c r="X24" s="666"/>
      <c r="Y24" s="3349"/>
      <c r="Z24" s="50"/>
      <c r="AA24" s="50">
        <v>1</v>
      </c>
      <c r="AB24" s="50">
        <v>1</v>
      </c>
      <c r="AC24" s="50">
        <v>1</v>
      </c>
    </row>
    <row r="25" spans="1:29" s="102" customFormat="1" ht="15">
      <c r="A25" s="443"/>
      <c r="B25" s="557" t="s">
        <v>1776</v>
      </c>
      <c r="C25" s="1754"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349"/>
      <c r="Q25" s="530" t="str">
        <f t="shared" ref="Q25" si="9">B25</f>
        <v>基础设施水平</v>
      </c>
      <c r="R25" s="664" t="s">
        <v>14</v>
      </c>
      <c r="S25" s="665">
        <f>F25</f>
        <v>100</v>
      </c>
      <c r="T25" s="664" t="s">
        <v>14</v>
      </c>
      <c r="U25" s="665">
        <f>H25</f>
        <v>100</v>
      </c>
      <c r="V25" s="664" t="s">
        <v>14</v>
      </c>
      <c r="W25" s="665">
        <f>J25</f>
        <v>100</v>
      </c>
      <c r="X25" s="666"/>
      <c r="Y25" s="334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5"/>
      <c r="N26" s="2435"/>
      <c r="O26" s="2536"/>
      <c r="P26" s="3349"/>
      <c r="Q26" s="530"/>
      <c r="R26" s="664"/>
      <c r="S26" s="665"/>
      <c r="T26" s="664"/>
      <c r="U26" s="665"/>
      <c r="V26" s="664"/>
      <c r="W26" s="665"/>
      <c r="X26" s="666"/>
      <c r="Y26" s="3349"/>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4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9"/>
      <c r="Z27" s="1264" t="str">
        <f t="shared" ref="Z27:Z40" si="13">Q27</f>
        <v>临街状况</v>
      </c>
      <c r="AA27" s="1264">
        <f t="shared" si="3"/>
        <v>1</v>
      </c>
      <c r="AB27" s="1264">
        <f t="shared" si="4"/>
        <v>1</v>
      </c>
      <c r="AC27" s="1264">
        <f t="shared" si="5"/>
        <v>1</v>
      </c>
    </row>
    <row r="28" spans="1:29" ht="27">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49"/>
      <c r="Q28" s="1263" t="str">
        <f t="shared" si="8"/>
        <v>毗邻道路的类型与等级</v>
      </c>
      <c r="R28" s="667" t="s">
        <v>14</v>
      </c>
      <c r="S28" s="668">
        <f t="shared" si="10"/>
        <v>100</v>
      </c>
      <c r="T28" s="667" t="s">
        <v>14</v>
      </c>
      <c r="U28" s="668">
        <f t="shared" si="11"/>
        <v>100</v>
      </c>
      <c r="V28" s="667" t="s">
        <v>14</v>
      </c>
      <c r="W28" s="668">
        <f t="shared" si="12"/>
        <v>100</v>
      </c>
      <c r="X28" s="1265"/>
      <c r="Y28" s="334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349"/>
      <c r="Q29" s="1263"/>
      <c r="R29" s="667"/>
      <c r="S29" s="668"/>
      <c r="T29" s="667"/>
      <c r="U29" s="668"/>
      <c r="V29" s="667"/>
      <c r="W29" s="668"/>
      <c r="X29" s="1265"/>
      <c r="Y29" s="3349"/>
      <c r="Z29" s="1264"/>
      <c r="AA29" s="1264">
        <v>1</v>
      </c>
      <c r="AB29" s="1264">
        <v>1</v>
      </c>
      <c r="AC29" s="1264">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49"/>
      <c r="Q30" s="1263" t="str">
        <f t="shared" si="8"/>
        <v>土地级别</v>
      </c>
      <c r="R30" s="667" t="s">
        <v>14</v>
      </c>
      <c r="S30" s="668">
        <f t="shared" si="10"/>
        <v>100</v>
      </c>
      <c r="T30" s="667" t="s">
        <v>14</v>
      </c>
      <c r="U30" s="668">
        <f t="shared" si="11"/>
        <v>100</v>
      </c>
      <c r="V30" s="667" t="s">
        <v>14</v>
      </c>
      <c r="W30" s="668">
        <f t="shared" si="12"/>
        <v>100</v>
      </c>
      <c r="X30" s="1265"/>
      <c r="Y30" s="334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49"/>
      <c r="Q31" s="1263">
        <f t="shared" si="8"/>
        <v>111</v>
      </c>
      <c r="R31" s="667" t="s">
        <v>14</v>
      </c>
      <c r="S31" s="668">
        <f t="shared" si="10"/>
        <v>100</v>
      </c>
      <c r="T31" s="667" t="s">
        <v>14</v>
      </c>
      <c r="U31" s="668">
        <f t="shared" si="11"/>
        <v>100</v>
      </c>
      <c r="V31" s="667" t="s">
        <v>14</v>
      </c>
      <c r="W31" s="668">
        <f t="shared" si="12"/>
        <v>100</v>
      </c>
      <c r="X31" s="1265"/>
      <c r="Y31" s="334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350" t="s">
        <v>1693</v>
      </c>
      <c r="Q32" s="1263">
        <f t="shared" si="8"/>
        <v>111</v>
      </c>
      <c r="R32" s="667" t="s">
        <v>14</v>
      </c>
      <c r="S32" s="668">
        <f t="shared" si="10"/>
        <v>100</v>
      </c>
      <c r="T32" s="667" t="s">
        <v>14</v>
      </c>
      <c r="U32" s="668">
        <f t="shared" si="11"/>
        <v>100</v>
      </c>
      <c r="V32" s="667" t="s">
        <v>14</v>
      </c>
      <c r="W32" s="668">
        <f t="shared" si="12"/>
        <v>100</v>
      </c>
      <c r="X32" s="1265"/>
      <c r="Y32" s="3351" t="s">
        <v>1693</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51"/>
      <c r="Q33" s="1263">
        <f t="shared" si="8"/>
        <v>111</v>
      </c>
      <c r="R33" s="669" t="s">
        <v>14</v>
      </c>
      <c r="S33" s="670">
        <f t="shared" si="10"/>
        <v>100</v>
      </c>
      <c r="T33" s="669" t="s">
        <v>14</v>
      </c>
      <c r="U33" s="670">
        <f t="shared" si="11"/>
        <v>100</v>
      </c>
      <c r="V33" s="669" t="s">
        <v>14</v>
      </c>
      <c r="W33" s="670">
        <f t="shared" si="12"/>
        <v>100</v>
      </c>
      <c r="X33" s="671"/>
      <c r="Y33" s="3351"/>
      <c r="Z33" s="672">
        <f t="shared" si="13"/>
        <v>111</v>
      </c>
      <c r="AA33" s="1264">
        <f t="shared" si="3"/>
        <v>1</v>
      </c>
      <c r="AB33" s="1264">
        <f t="shared" si="4"/>
        <v>1</v>
      </c>
      <c r="AC33" s="1264">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51"/>
      <c r="Q34" s="1263" t="str">
        <f>B34</f>
        <v>宗地面积</v>
      </c>
      <c r="R34" s="667" t="s">
        <v>14</v>
      </c>
      <c r="S34" s="668" t="e">
        <f t="shared" si="10"/>
        <v>#N/A</v>
      </c>
      <c r="T34" s="667" t="s">
        <v>14</v>
      </c>
      <c r="U34" s="668" t="e">
        <f t="shared" si="11"/>
        <v>#N/A</v>
      </c>
      <c r="V34" s="667" t="s">
        <v>14</v>
      </c>
      <c r="W34" s="668" t="e">
        <f t="shared" si="12"/>
        <v>#N/A</v>
      </c>
      <c r="X34" s="1265"/>
      <c r="Y34" s="3351"/>
      <c r="Z34" s="1264" t="str">
        <f t="shared" si="13"/>
        <v>宗地面积</v>
      </c>
      <c r="AA34" s="1264" t="e">
        <f t="shared" si="3"/>
        <v>#N/A</v>
      </c>
      <c r="AB34" s="1264" t="e">
        <f t="shared" si="4"/>
        <v>#N/A</v>
      </c>
      <c r="AC34" s="1264" t="e">
        <f t="shared" si="5"/>
        <v>#N/A</v>
      </c>
    </row>
    <row r="35" spans="1:31" ht="1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351"/>
      <c r="Q35" s="1263" t="str">
        <f t="shared" ref="Q35:Q40" si="14">B35</f>
        <v>宗地形状</v>
      </c>
      <c r="R35" s="667" t="s">
        <v>14</v>
      </c>
      <c r="S35" s="668">
        <f t="shared" si="10"/>
        <v>100</v>
      </c>
      <c r="T35" s="667" t="s">
        <v>14</v>
      </c>
      <c r="U35" s="668">
        <f t="shared" si="11"/>
        <v>100</v>
      </c>
      <c r="V35" s="667" t="s">
        <v>14</v>
      </c>
      <c r="W35" s="668">
        <f t="shared" si="12"/>
        <v>100</v>
      </c>
      <c r="X35" s="1265"/>
      <c r="Y35" s="3351"/>
      <c r="Z35" s="1264" t="str">
        <f t="shared" si="13"/>
        <v>宗地形状</v>
      </c>
      <c r="AA35" s="1264">
        <f t="shared" si="3"/>
        <v>1</v>
      </c>
      <c r="AB35" s="1264">
        <f t="shared" si="4"/>
        <v>1</v>
      </c>
      <c r="AC35" s="1264">
        <f t="shared" si="5"/>
        <v>1</v>
      </c>
    </row>
    <row r="36" spans="1:31" s="102" customFormat="1" ht="1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5"/>
      <c r="N36" s="2435"/>
      <c r="O36" s="2536"/>
      <c r="P36" s="3351"/>
      <c r="Q36" s="1263" t="str">
        <f t="shared" si="14"/>
        <v>宗地开发程度</v>
      </c>
      <c r="R36" s="664" t="s">
        <v>14</v>
      </c>
      <c r="S36" s="665">
        <f t="shared" si="10"/>
        <v>100</v>
      </c>
      <c r="T36" s="664" t="s">
        <v>14</v>
      </c>
      <c r="U36" s="665">
        <f t="shared" si="11"/>
        <v>100</v>
      </c>
      <c r="V36" s="664" t="s">
        <v>14</v>
      </c>
      <c r="W36" s="665">
        <f t="shared" si="12"/>
        <v>100</v>
      </c>
      <c r="X36" s="666"/>
      <c r="Y36" s="3351"/>
      <c r="Z36" s="50" t="str">
        <f t="shared" si="13"/>
        <v>宗地开发程度</v>
      </c>
      <c r="AA36" s="50">
        <f t="shared" si="3"/>
        <v>1</v>
      </c>
      <c r="AB36" s="50">
        <f t="shared" si="4"/>
        <v>1</v>
      </c>
      <c r="AC36" s="50">
        <f t="shared" si="5"/>
        <v>1</v>
      </c>
    </row>
    <row r="37" spans="1:31" ht="1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351" t="s">
        <v>1693</v>
      </c>
      <c r="Q37" s="1263" t="str">
        <f t="shared" si="14"/>
        <v>工程地质条件</v>
      </c>
      <c r="R37" s="667" t="s">
        <v>14</v>
      </c>
      <c r="S37" s="668">
        <f t="shared" si="10"/>
        <v>100</v>
      </c>
      <c r="T37" s="667" t="s">
        <v>14</v>
      </c>
      <c r="U37" s="668">
        <f t="shared" si="11"/>
        <v>100</v>
      </c>
      <c r="V37" s="667" t="s">
        <v>14</v>
      </c>
      <c r="W37" s="668">
        <f t="shared" si="12"/>
        <v>100</v>
      </c>
      <c r="X37" s="1265"/>
      <c r="Y37" s="3351" t="s">
        <v>1693</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51"/>
      <c r="Q38" s="1263">
        <f t="shared" si="14"/>
        <v>111</v>
      </c>
      <c r="R38" s="667" t="s">
        <v>14</v>
      </c>
      <c r="S38" s="668">
        <f t="shared" si="10"/>
        <v>100</v>
      </c>
      <c r="T38" s="667" t="s">
        <v>14</v>
      </c>
      <c r="U38" s="668">
        <f t="shared" si="11"/>
        <v>100</v>
      </c>
      <c r="V38" s="667" t="s">
        <v>14</v>
      </c>
      <c r="W38" s="668">
        <f t="shared" si="12"/>
        <v>100</v>
      </c>
      <c r="X38" s="1265"/>
      <c r="Y38" s="335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51"/>
      <c r="Q39" s="1263">
        <f t="shared" si="14"/>
        <v>111</v>
      </c>
      <c r="R39" s="667" t="s">
        <v>14</v>
      </c>
      <c r="S39" s="668">
        <f t="shared" si="10"/>
        <v>100</v>
      </c>
      <c r="T39" s="667" t="s">
        <v>14</v>
      </c>
      <c r="U39" s="668">
        <f t="shared" si="11"/>
        <v>100</v>
      </c>
      <c r="V39" s="667" t="s">
        <v>14</v>
      </c>
      <c r="W39" s="668">
        <f t="shared" si="12"/>
        <v>100</v>
      </c>
      <c r="X39" s="1265"/>
      <c r="Y39" s="335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51"/>
      <c r="Q40" s="1263">
        <f t="shared" si="14"/>
        <v>111</v>
      </c>
      <c r="R40" s="669" t="s">
        <v>14</v>
      </c>
      <c r="S40" s="670">
        <f t="shared" si="10"/>
        <v>100</v>
      </c>
      <c r="T40" s="669" t="s">
        <v>14</v>
      </c>
      <c r="U40" s="670">
        <f t="shared" si="11"/>
        <v>100</v>
      </c>
      <c r="V40" s="669" t="s">
        <v>14</v>
      </c>
      <c r="W40" s="670">
        <f t="shared" si="12"/>
        <v>100</v>
      </c>
      <c r="X40" s="671"/>
      <c r="Y40" s="3351"/>
      <c r="Z40" s="672">
        <f t="shared" si="13"/>
        <v>111</v>
      </c>
      <c r="AA40" s="1264">
        <f t="shared" si="3"/>
        <v>1</v>
      </c>
      <c r="AB40" s="1264">
        <f t="shared" si="4"/>
        <v>1</v>
      </c>
      <c r="AC40" s="1264">
        <f t="shared" si="5"/>
        <v>1</v>
      </c>
    </row>
    <row r="41" spans="1:31" ht="15">
      <c r="A41" s="416" t="s">
        <v>1841</v>
      </c>
      <c r="B41" s="1830" t="s">
        <v>1919</v>
      </c>
      <c r="C41" s="602" t="s">
        <v>0</v>
      </c>
      <c r="D41" s="418"/>
      <c r="E41" s="419"/>
      <c r="F41" s="420"/>
      <c r="G41" s="421"/>
      <c r="H41" s="422"/>
      <c r="I41" s="419"/>
      <c r="J41" s="422"/>
      <c r="K41" s="674"/>
      <c r="L41" s="2490"/>
      <c r="M41" s="2483"/>
      <c r="N41" s="2483"/>
      <c r="O41" s="2483"/>
      <c r="P41" s="3343" t="str">
        <f>A41</f>
        <v>成交单价</v>
      </c>
      <c r="Q41" s="3343"/>
      <c r="R41" s="3344">
        <f>E41</f>
        <v>0</v>
      </c>
      <c r="S41" s="3344"/>
      <c r="T41" s="3344">
        <f>G41</f>
        <v>0</v>
      </c>
      <c r="U41" s="3344"/>
      <c r="V41" s="3344">
        <f>I41</f>
        <v>0</v>
      </c>
      <c r="W41" s="3344"/>
      <c r="X41" s="385"/>
      <c r="Y41" s="673"/>
      <c r="Z41" s="385"/>
      <c r="AA41" s="385"/>
      <c r="AB41" s="385"/>
      <c r="AC41" s="385"/>
    </row>
    <row r="42" spans="1:31" ht="15.75" thickBot="1">
      <c r="A42" s="423" t="s">
        <v>1790</v>
      </c>
      <c r="B42" s="603"/>
      <c r="C42" s="426" t="e">
        <f>R43</f>
        <v>#DIV/0!</v>
      </c>
      <c r="D42" s="2141" t="s">
        <v>2135</v>
      </c>
      <c r="E42" s="426" t="e">
        <f>R42</f>
        <v>#DIV/0!</v>
      </c>
      <c r="F42" s="2142"/>
      <c r="G42" s="425" t="e">
        <f>T42</f>
        <v>#DIV/0!</v>
      </c>
      <c r="H42" s="2142"/>
      <c r="I42" s="426" t="e">
        <f>V42</f>
        <v>#DIV/0!</v>
      </c>
      <c r="J42" s="2142"/>
      <c r="K42" s="2144">
        <f>F42+H42+J42</f>
        <v>0</v>
      </c>
      <c r="L42" s="2490"/>
      <c r="M42" s="2483"/>
      <c r="N42" s="2483"/>
      <c r="O42" s="2483"/>
      <c r="P42" s="3343" t="str">
        <f>A42</f>
        <v>比较价值（元/平方米）</v>
      </c>
      <c r="Q42" s="3343"/>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345" t="str">
        <f>A43</f>
        <v>估价对象XX用房的比较价值（楼面单价，元/平方米）</v>
      </c>
      <c r="Q43" s="3346"/>
      <c r="R43" s="3458" t="e">
        <f>ROUND(IF(D42="简单平均",AVERAGE(R42:W42),R42*F42+T42*H42+V42*J42),0)</f>
        <v>#DIV/0!</v>
      </c>
      <c r="S43" s="3458"/>
      <c r="T43" s="3458"/>
      <c r="U43" s="3458"/>
      <c r="V43" s="3458"/>
      <c r="W43" s="345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1878</v>
      </c>
      <c r="B50" s="605" t="s">
        <v>1879</v>
      </c>
      <c r="C50" s="1831" t="s">
        <v>1880</v>
      </c>
      <c r="D50" s="1832" t="s">
        <v>1881</v>
      </c>
      <c r="E50" s="606" t="s">
        <v>1882</v>
      </c>
      <c r="F50" s="607" t="s">
        <v>1883</v>
      </c>
      <c r="G50" s="3356" t="s">
        <v>1884</v>
      </c>
      <c r="H50" s="3459"/>
      <c r="I50" s="1264" t="s">
        <v>1920</v>
      </c>
      <c r="J50" s="1264">
        <f>项目基本情况!F35</f>
        <v>0</v>
      </c>
      <c r="K50" s="1834"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90">
        <v>1</v>
      </c>
      <c r="E51" s="610">
        <f>'数据-汇总表'!E8+'数据-汇总表'!E9</f>
        <v>7277.1279999999997</v>
      </c>
      <c r="F51" s="611" t="e">
        <f t="shared" ref="F51:F60" si="15">ROUND(B51*E51/10000,0)</f>
        <v>#DIV/0!</v>
      </c>
      <c r="G51" s="3438"/>
      <c r="H51" s="3343"/>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6">IF($C$50="北京市系数",I52,J52)</f>
        <v>0</v>
      </c>
      <c r="D52" s="891">
        <v>0.25</v>
      </c>
      <c r="E52" s="614"/>
      <c r="F52" s="611" t="e">
        <f t="shared" si="15"/>
        <v>#DIV/0!</v>
      </c>
      <c r="G52" s="2746" t="s">
        <v>1889</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7"/>
        <v>#DIV/0!</v>
      </c>
      <c r="C56" s="163">
        <f t="shared" si="16"/>
        <v>0</v>
      </c>
      <c r="D56" s="891">
        <v>0.25</v>
      </c>
      <c r="E56" s="209">
        <f>'数据-汇总表'!E11</f>
        <v>0</v>
      </c>
      <c r="F56" s="611" t="e">
        <f t="shared" si="15"/>
        <v>#DIV/0!</v>
      </c>
      <c r="G56" s="1835" t="s">
        <v>1893</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7"/>
        <v>#DIV/0!</v>
      </c>
      <c r="C59" s="163">
        <f t="shared" si="16"/>
        <v>0</v>
      </c>
      <c r="D59" s="891">
        <v>0.25</v>
      </c>
      <c r="E59" s="209">
        <f>'数据-汇总表'!E14</f>
        <v>0</v>
      </c>
      <c r="F59" s="611" t="e">
        <f t="shared" si="15"/>
        <v>#DIV/0!</v>
      </c>
      <c r="G59" s="1835" t="s">
        <v>1889</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1899</v>
      </c>
      <c r="B60" s="210" t="e">
        <f t="shared" si="17"/>
        <v>#DIV/0!</v>
      </c>
      <c r="C60" s="163">
        <f t="shared" si="16"/>
        <v>0</v>
      </c>
      <c r="D60" s="891">
        <v>0.25</v>
      </c>
      <c r="E60" s="209">
        <f>'数据-汇总表'!E15</f>
        <v>0</v>
      </c>
      <c r="F60" s="611" t="e">
        <f t="shared" si="15"/>
        <v>#DIV/0!</v>
      </c>
      <c r="G60" s="1836" t="s">
        <v>1893</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2024-3-1</v>
      </c>
      <c r="D63" s="656">
        <f>EDATE(C63,-3)</f>
        <v>45261</v>
      </c>
      <c r="E63" s="656">
        <f>EDATE(D63,-3)</f>
        <v>45170</v>
      </c>
      <c r="F63" s="656">
        <f t="shared" ref="F63:O63" si="18">EDATE(E63,-3)</f>
        <v>45078</v>
      </c>
      <c r="G63" s="656">
        <f t="shared" si="18"/>
        <v>44986</v>
      </c>
      <c r="H63" s="656">
        <f t="shared" si="18"/>
        <v>44896</v>
      </c>
      <c r="I63" s="656">
        <f t="shared" si="18"/>
        <v>44805</v>
      </c>
      <c r="J63" s="656">
        <f t="shared" si="18"/>
        <v>44713</v>
      </c>
      <c r="K63" s="656">
        <f t="shared" si="18"/>
        <v>44621</v>
      </c>
      <c r="L63" s="656">
        <f t="shared" si="18"/>
        <v>44531</v>
      </c>
      <c r="M63" s="656">
        <f t="shared" si="18"/>
        <v>44440</v>
      </c>
      <c r="N63" s="656">
        <f t="shared" si="18"/>
        <v>44348</v>
      </c>
      <c r="O63" s="656">
        <f t="shared" si="18"/>
        <v>44256</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30" t="s">
        <v>1901</v>
      </c>
      <c r="B65" s="1046"/>
      <c r="C65" s="1101" t="str">
        <f>YEAR(C63)&amp;"-"&amp;ROUNDUP(MONTH(C63)/3,0)</f>
        <v>2024-1</v>
      </c>
      <c r="D65" s="1101" t="str">
        <f t="shared" ref="D65:O65" si="19">YEAR(D63)&amp;"-"&amp;ROUNDUP(MONTH(D63)/3,0)</f>
        <v>2023-4</v>
      </c>
      <c r="E65" s="1101" t="str">
        <f t="shared" si="19"/>
        <v>2023-3</v>
      </c>
      <c r="F65" s="1101" t="str">
        <f t="shared" si="19"/>
        <v>2023-2</v>
      </c>
      <c r="G65" s="1101" t="str">
        <f t="shared" si="19"/>
        <v>2023-1</v>
      </c>
      <c r="H65" s="1101" t="str">
        <f t="shared" si="19"/>
        <v>2022-4</v>
      </c>
      <c r="I65" s="1101" t="str">
        <f t="shared" si="19"/>
        <v>2022-3</v>
      </c>
      <c r="J65" s="1101" t="str">
        <f t="shared" si="19"/>
        <v>2022-2</v>
      </c>
      <c r="K65" s="1101" t="str">
        <f t="shared" si="19"/>
        <v>2022-1</v>
      </c>
      <c r="L65" s="1101" t="str">
        <f t="shared" si="19"/>
        <v>2021-4</v>
      </c>
      <c r="M65" s="1101" t="str">
        <f t="shared" si="19"/>
        <v>2021-3</v>
      </c>
      <c r="N65" s="1101" t="str">
        <f t="shared" si="19"/>
        <v>2021-2</v>
      </c>
      <c r="O65" s="1101" t="str">
        <f t="shared" si="19"/>
        <v>2021-1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1713</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1678</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1716</v>
      </c>
      <c r="B70" s="460" t="s">
        <v>1682</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1685</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1687</v>
      </c>
      <c r="B83" s="460" t="s">
        <v>1826</v>
      </c>
      <c r="C83" s="504" t="s">
        <v>1718</v>
      </c>
      <c r="D83" s="504" t="s">
        <v>1719</v>
      </c>
      <c r="E83" s="504" t="s">
        <v>1720</v>
      </c>
      <c r="F83" s="504" t="s">
        <v>1721</v>
      </c>
      <c r="G83" s="504" t="s">
        <v>1722</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1723</v>
      </c>
      <c r="C85" s="509" t="s">
        <v>1718</v>
      </c>
      <c r="D85" s="509" t="s">
        <v>1719</v>
      </c>
      <c r="E85" s="509" t="s">
        <v>1720</v>
      </c>
      <c r="F85" s="509" t="s">
        <v>1721</v>
      </c>
      <c r="G85" s="509" t="s">
        <v>1722</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1904</v>
      </c>
      <c r="C87" s="504" t="s">
        <v>1718</v>
      </c>
      <c r="D87" s="504" t="s">
        <v>1719</v>
      </c>
      <c r="E87" s="504" t="s">
        <v>1720</v>
      </c>
      <c r="F87" s="504" t="s">
        <v>1721</v>
      </c>
      <c r="G87" s="504" t="s">
        <v>1722</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1905</v>
      </c>
      <c r="C89" s="504" t="s">
        <v>1718</v>
      </c>
      <c r="D89" s="504" t="s">
        <v>1719</v>
      </c>
      <c r="E89" s="504" t="s">
        <v>1720</v>
      </c>
      <c r="F89" s="504" t="s">
        <v>1721</v>
      </c>
      <c r="G89" s="504" t="s">
        <v>1722</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1718</v>
      </c>
      <c r="D91" s="504" t="s">
        <v>1719</v>
      </c>
      <c r="E91" s="504" t="s">
        <v>1720</v>
      </c>
      <c r="F91" s="504" t="s">
        <v>1721</v>
      </c>
      <c r="G91" s="504" t="s">
        <v>1722</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67" t="s">
        <v>2081</v>
      </c>
      <c r="D1" s="3468"/>
      <c r="E1" s="3468"/>
      <c r="F1" s="3468"/>
      <c r="G1" s="3468"/>
      <c r="H1" s="3468"/>
      <c r="I1" s="3468"/>
      <c r="J1" s="3468"/>
      <c r="K1" s="3468"/>
      <c r="L1" s="3468"/>
      <c r="M1" s="3468"/>
      <c r="N1" s="3468"/>
      <c r="O1" s="3468"/>
      <c r="P1" s="3468"/>
      <c r="Q1" s="3468"/>
      <c r="R1" s="3468"/>
      <c r="S1" s="3469"/>
      <c r="T1" s="929" t="s">
        <v>2082</v>
      </c>
    </row>
    <row r="2" spans="1:45" s="625" customFormat="1">
      <c r="A2" s="930"/>
      <c r="B2" s="622" t="s">
        <v>2083</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2084</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2085</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2086</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2090</v>
      </c>
      <c r="B17" s="1987"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2092</v>
      </c>
      <c r="E19" s="1253"/>
      <c r="F19" s="1253"/>
      <c r="G19" s="1253"/>
      <c r="H19" s="996"/>
      <c r="I19" s="151"/>
      <c r="J19" s="151"/>
      <c r="K19" s="151"/>
      <c r="L19" s="151"/>
      <c r="M19" s="151"/>
      <c r="N19" s="151"/>
      <c r="O19" s="151"/>
      <c r="P19" s="151"/>
      <c r="Q19" s="151"/>
      <c r="R19" s="151"/>
      <c r="S19" s="121"/>
    </row>
    <row r="20" spans="1:45" ht="16.5" thickBot="1">
      <c r="A20" s="632" t="s">
        <v>2093</v>
      </c>
      <c r="B20" s="286" t="e">
        <f ca="1">IF(D20="——",S22,S22-F20)</f>
        <v>#REF!</v>
      </c>
      <c r="C20" s="151"/>
      <c r="D20" s="1989"/>
      <c r="E20" s="1254"/>
      <c r="F20" s="929" t="e">
        <f ca="1">SUMIF(INDIRECT("'"&amp;H20&amp;"'"&amp;"!A:A"),"承租人权益价值",INDIRECT("'"&amp;H20&amp;"'"&amp;"!c:c"))</f>
        <v>#REF!</v>
      </c>
      <c r="G20" s="929" t="s">
        <v>2094</v>
      </c>
      <c r="H20" s="1990"/>
      <c r="I20" s="151"/>
      <c r="J20" s="151"/>
      <c r="K20" s="151"/>
      <c r="L20" s="151"/>
      <c r="M20" s="151"/>
      <c r="N20" s="151"/>
      <c r="O20" s="151"/>
      <c r="P20" s="151"/>
      <c r="Q20" s="151"/>
      <c r="R20" s="151"/>
      <c r="S20" s="121"/>
    </row>
    <row r="21" spans="1:45" ht="15.75">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2102</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2078</v>
      </c>
      <c r="B1" s="4"/>
      <c r="C1" s="4"/>
      <c r="D1" s="4"/>
      <c r="E1" s="4"/>
      <c r="F1" s="2540"/>
      <c r="G1" s="2540"/>
      <c r="H1" s="2540"/>
      <c r="I1" s="2540"/>
      <c r="J1" s="2540"/>
      <c r="K1" s="2540"/>
      <c r="L1" s="2540"/>
      <c r="M1" s="2540"/>
      <c r="N1" s="2540"/>
      <c r="O1" s="2540"/>
      <c r="P1" s="2540"/>
    </row>
    <row r="2" spans="1:16" ht="15.75">
      <c r="A2" s="1984" t="s">
        <v>2070</v>
      </c>
      <c r="B2" s="2382">
        <f ca="1">SUMIF(B6:B13,"&lt;&gt;#ref!",B6:B13)</f>
        <v>2911</v>
      </c>
      <c r="C2" s="1984" t="s">
        <v>2071</v>
      </c>
      <c r="D2" s="1984" t="s">
        <v>2072</v>
      </c>
      <c r="E2" s="2392">
        <f ca="1">SUMIF(E6:E13,"&lt;&gt;#ref!",E6:E13)</f>
        <v>9096.41</v>
      </c>
      <c r="F2" s="2540"/>
      <c r="G2" s="2540"/>
      <c r="H2" s="2540"/>
      <c r="I2" s="2540"/>
      <c r="J2" s="2540"/>
      <c r="K2" s="2540"/>
      <c r="L2" s="2540"/>
      <c r="M2" s="2540"/>
      <c r="N2" s="2540"/>
      <c r="O2" s="2540"/>
      <c r="P2" s="2540"/>
    </row>
    <row r="3" spans="1:16" ht="15.75">
      <c r="A3" s="1984" t="s">
        <v>2073</v>
      </c>
      <c r="B3" s="2382">
        <f ca="1">ROUND(B2*10000/E2,0)</f>
        <v>3200</v>
      </c>
      <c r="C3" s="1984" t="s">
        <v>2079</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8" t="s">
        <v>2074</v>
      </c>
      <c r="B5" s="2390" t="s">
        <v>2075</v>
      </c>
      <c r="C5" s="1985"/>
      <c r="D5" s="2540"/>
      <c r="E5" s="2391" t="s">
        <v>2076</v>
      </c>
      <c r="F5" s="2540"/>
      <c r="G5" s="2540"/>
      <c r="H5" s="2540"/>
      <c r="I5" s="2540"/>
      <c r="J5" s="2540"/>
      <c r="K5" s="2540"/>
      <c r="L5" s="2540"/>
      <c r="M5" s="2540"/>
      <c r="N5" s="2540"/>
      <c r="O5" s="2540"/>
      <c r="P5" s="2540"/>
    </row>
    <row r="6" spans="1:16" ht="15.75">
      <c r="A6" s="2389" t="s">
        <v>2077</v>
      </c>
      <c r="B6" s="2382">
        <f ca="1">SUMIF(INDIRECT("'"&amp;A6&amp;"'"&amp;"!A:A"),"总价",INDIRECT("'"&amp;A6&amp;"'"&amp;"!B:B"))</f>
        <v>2911</v>
      </c>
      <c r="C6" s="1984" t="s">
        <v>2071</v>
      </c>
      <c r="D6" s="2540"/>
      <c r="E6" s="2392">
        <f ca="1">SUMIF(INDIRECT("'"&amp;A6&amp;"'"&amp;"!C:C"),"建筑面积",INDIRECT("'"&amp;A6&amp;"'"&amp;"!D:D"))</f>
        <v>9096.41</v>
      </c>
      <c r="F6" s="2540"/>
      <c r="G6" s="2540"/>
      <c r="H6" s="2540"/>
      <c r="I6" s="2540"/>
      <c r="J6" s="2540"/>
      <c r="K6" s="2540"/>
      <c r="L6" s="2540"/>
      <c r="M6" s="2540"/>
      <c r="N6" s="2540"/>
      <c r="O6" s="2540"/>
      <c r="P6" s="2540"/>
    </row>
    <row r="7" spans="1:16" ht="15.75">
      <c r="A7" s="2389"/>
      <c r="B7" s="2382" t="e">
        <f ca="1">SUMIF(INDIRECT("'"&amp;A7&amp;"'"&amp;"!A:A"),"总价",INDIRECT("'"&amp;A7&amp;"'"&amp;"!B:B"))</f>
        <v>#REF!</v>
      </c>
      <c r="C7" s="1984" t="s">
        <v>2071</v>
      </c>
      <c r="D7" s="2540"/>
      <c r="E7" s="2392" t="e">
        <f t="shared" ref="E7:E13" ca="1" si="0">SUMIF(INDIRECT("'"&amp;A7&amp;"'"&amp;"!C:C"),"建筑面积",INDIRECT("'"&amp;A7&amp;"'"&amp;"!D:D"))</f>
        <v>#REF!</v>
      </c>
      <c r="F7" s="2540"/>
      <c r="G7" s="2540"/>
      <c r="H7" s="2540"/>
      <c r="I7" s="2540"/>
      <c r="J7" s="2540"/>
      <c r="K7" s="2540"/>
      <c r="L7" s="2540"/>
      <c r="M7" s="2540"/>
      <c r="N7" s="2540"/>
      <c r="O7" s="2540"/>
      <c r="P7" s="2540"/>
    </row>
    <row r="8" spans="1:16" ht="15.75">
      <c r="A8" s="2389"/>
      <c r="B8" s="2382" t="e">
        <f t="shared" ref="B8:B13" ca="1" si="1">SUMIF(INDIRECT("'"&amp;A8&amp;"'"&amp;"!A:A"),"总价",INDIRECT("'"&amp;A8&amp;"'"&amp;"!B:B"))</f>
        <v>#REF!</v>
      </c>
      <c r="C8" s="1984" t="s">
        <v>2071</v>
      </c>
      <c r="D8" s="2540"/>
      <c r="E8" s="2392" t="e">
        <f t="shared" ca="1" si="0"/>
        <v>#REF!</v>
      </c>
      <c r="F8" s="2540"/>
      <c r="G8" s="2540"/>
      <c r="H8" s="2540"/>
      <c r="I8" s="2540"/>
      <c r="J8" s="2540"/>
      <c r="K8" s="2540"/>
      <c r="L8" s="2540"/>
      <c r="M8" s="2540"/>
      <c r="N8" s="2540"/>
      <c r="O8" s="2540"/>
      <c r="P8" s="2540"/>
    </row>
    <row r="9" spans="1:16" ht="15.75">
      <c r="A9" s="2389"/>
      <c r="B9" s="2382" t="e">
        <f t="shared" ca="1" si="1"/>
        <v>#REF!</v>
      </c>
      <c r="C9" s="1984" t="s">
        <v>2071</v>
      </c>
      <c r="D9" s="2540"/>
      <c r="E9" s="2392" t="e">
        <f t="shared" ca="1" si="0"/>
        <v>#REF!</v>
      </c>
      <c r="F9" s="2540"/>
      <c r="G9" s="2540"/>
      <c r="H9" s="2540"/>
      <c r="I9" s="2540"/>
      <c r="J9" s="2540"/>
      <c r="K9" s="2540"/>
      <c r="L9" s="2540"/>
      <c r="M9" s="2540"/>
      <c r="N9" s="2540"/>
      <c r="O9" s="2540"/>
      <c r="P9" s="2540"/>
    </row>
    <row r="10" spans="1:16" ht="15.75">
      <c r="A10" s="2389"/>
      <c r="B10" s="2382" t="e">
        <f t="shared" ca="1" si="1"/>
        <v>#REF!</v>
      </c>
      <c r="C10" s="1984" t="s">
        <v>2071</v>
      </c>
      <c r="D10" s="2540"/>
      <c r="E10" s="2392" t="e">
        <f t="shared" ca="1" si="0"/>
        <v>#REF!</v>
      </c>
      <c r="F10" s="2540"/>
      <c r="G10" s="2540"/>
      <c r="H10" s="2540"/>
      <c r="I10" s="2540"/>
      <c r="J10" s="2540"/>
      <c r="K10" s="2540"/>
      <c r="L10" s="2540"/>
      <c r="M10" s="2540"/>
      <c r="N10" s="2540"/>
      <c r="O10" s="2540"/>
      <c r="P10" s="2540"/>
    </row>
    <row r="11" spans="1:16" ht="15.75">
      <c r="A11" s="2389"/>
      <c r="B11" s="2382" t="e">
        <f t="shared" ca="1" si="1"/>
        <v>#REF!</v>
      </c>
      <c r="C11" s="1984" t="s">
        <v>2071</v>
      </c>
      <c r="D11" s="2540"/>
      <c r="E11" s="2392" t="e">
        <f t="shared" ca="1" si="0"/>
        <v>#REF!</v>
      </c>
      <c r="F11" s="2540"/>
      <c r="G11" s="2540"/>
      <c r="H11" s="2540"/>
      <c r="I11" s="2540"/>
      <c r="J11" s="2540"/>
      <c r="K11" s="2540"/>
      <c r="L11" s="2540"/>
      <c r="M11" s="2540"/>
      <c r="N11" s="2540"/>
      <c r="O11" s="2540"/>
      <c r="P11" s="2540"/>
    </row>
    <row r="12" spans="1:16" ht="15.75">
      <c r="A12" s="2389"/>
      <c r="B12" s="2382" t="e">
        <f t="shared" ca="1" si="1"/>
        <v>#REF!</v>
      </c>
      <c r="C12" s="1984" t="s">
        <v>2071</v>
      </c>
      <c r="D12" s="2540"/>
      <c r="E12" s="2392" t="e">
        <f t="shared" ca="1" si="0"/>
        <v>#REF!</v>
      </c>
      <c r="F12" s="2540"/>
      <c r="G12" s="2540"/>
      <c r="H12" s="2540"/>
      <c r="I12" s="2540"/>
      <c r="J12" s="2540"/>
      <c r="K12" s="2540"/>
      <c r="L12" s="2540"/>
      <c r="M12" s="2540"/>
      <c r="N12" s="2540"/>
      <c r="O12" s="2540"/>
      <c r="P12" s="2540"/>
    </row>
    <row r="13" spans="1:16" ht="15.75">
      <c r="A13" s="2389"/>
      <c r="B13" s="2382" t="e">
        <f t="shared" ca="1" si="1"/>
        <v>#REF!</v>
      </c>
      <c r="C13" s="1984" t="s">
        <v>2071</v>
      </c>
      <c r="D13" s="2540"/>
      <c r="E13" s="2392"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2584</v>
      </c>
      <c r="B1" s="2807" t="s">
        <v>2585</v>
      </c>
      <c r="C1" s="2807" t="s">
        <v>2586</v>
      </c>
      <c r="D1" s="2807" t="s">
        <v>2587</v>
      </c>
      <c r="E1" s="2807" t="s">
        <v>2588</v>
      </c>
      <c r="F1" s="2807" t="s">
        <v>2589</v>
      </c>
      <c r="G1" s="2807" t="s">
        <v>2590</v>
      </c>
      <c r="H1" s="2807" t="s">
        <v>2591</v>
      </c>
      <c r="I1" s="2807" t="s">
        <v>2592</v>
      </c>
      <c r="J1" s="2807" t="s">
        <v>2593</v>
      </c>
      <c r="K1" s="2807" t="s">
        <v>2594</v>
      </c>
      <c r="L1" s="2807" t="s">
        <v>2595</v>
      </c>
      <c r="M1" s="2808" t="s">
        <v>2596</v>
      </c>
    </row>
    <row r="2" spans="1:13" ht="19.5" customHeight="1">
      <c r="A2" s="2810" t="s">
        <v>2597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2613</v>
      </c>
      <c r="B18" s="2832"/>
      <c r="C18" s="2833"/>
      <c r="D18" s="2833"/>
      <c r="E18" s="2832"/>
      <c r="F18" s="2833"/>
      <c r="G18" s="2833"/>
    </row>
    <row r="19" spans="1:13" ht="19.5" customHeight="1" thickBot="1">
      <c r="A19" s="2830" t="s">
        <v>2614</v>
      </c>
      <c r="B19" s="2835" t="s">
        <v>2615</v>
      </c>
      <c r="C19" s="2835" t="s">
        <v>2616</v>
      </c>
      <c r="D19" s="2836"/>
      <c r="E19" s="2830" t="s">
        <v>2617</v>
      </c>
      <c r="F19" s="2837"/>
      <c r="G19" s="2837"/>
    </row>
    <row r="20" spans="1:13" ht="19.5" customHeight="1">
      <c r="A20" s="3479" t="s">
        <v>2597</v>
      </c>
      <c r="B20" s="3474" t="s">
        <v>2618</v>
      </c>
      <c r="C20" s="2838" t="s">
        <v>2429</v>
      </c>
      <c r="D20" s="2839"/>
      <c r="E20" s="2840">
        <v>1</v>
      </c>
      <c r="F20" s="2841" t="s">
        <v>2430</v>
      </c>
      <c r="G20" s="2841"/>
    </row>
    <row r="21" spans="1:13" ht="19.5" customHeight="1">
      <c r="A21" s="3480"/>
      <c r="B21" s="3473"/>
      <c r="C21" s="2842" t="s">
        <v>2431</v>
      </c>
      <c r="D21" s="2843"/>
      <c r="E21" s="2844">
        <v>1</v>
      </c>
      <c r="F21" s="2841" t="s">
        <v>2432</v>
      </c>
      <c r="G21" s="2841"/>
    </row>
    <row r="22" spans="1:13" ht="19.5" customHeight="1">
      <c r="A22" s="3480"/>
      <c r="B22" s="3473"/>
      <c r="C22" s="2842" t="s">
        <v>2433</v>
      </c>
      <c r="D22" s="2843"/>
      <c r="E22" s="2844">
        <v>0.9</v>
      </c>
      <c r="F22" s="2841" t="s">
        <v>2434</v>
      </c>
      <c r="G22" s="2841"/>
    </row>
    <row r="23" spans="1:13" ht="19.5" customHeight="1">
      <c r="A23" s="3480"/>
      <c r="B23" s="3473"/>
      <c r="C23" s="2842" t="s">
        <v>2435</v>
      </c>
      <c r="D23" s="2843"/>
      <c r="E23" s="2844">
        <v>0.9</v>
      </c>
      <c r="F23" s="2841" t="s">
        <v>2436</v>
      </c>
      <c r="G23" s="2841"/>
    </row>
    <row r="24" spans="1:13" ht="19.5" customHeight="1">
      <c r="A24" s="3480"/>
      <c r="B24" s="3473"/>
      <c r="C24" s="2842" t="s">
        <v>2437</v>
      </c>
      <c r="D24" s="2843"/>
      <c r="E24" s="2844">
        <v>0.8</v>
      </c>
      <c r="F24" s="2841" t="s">
        <v>2438</v>
      </c>
      <c r="G24" s="2841"/>
    </row>
    <row r="25" spans="1:13" ht="19.5" customHeight="1" thickBot="1">
      <c r="A25" s="3481"/>
      <c r="B25" s="3475"/>
      <c r="C25" s="2845" t="s">
        <v>2439</v>
      </c>
      <c r="D25" s="2846"/>
      <c r="E25" s="2847">
        <v>0.8</v>
      </c>
      <c r="F25" s="2841" t="s">
        <v>2440</v>
      </c>
      <c r="G25" s="2841"/>
    </row>
    <row r="26" spans="1:13" ht="19.5" customHeight="1" thickBot="1">
      <c r="A26" s="2848" t="s">
        <v>2619</v>
      </c>
      <c r="B26" s="2849" t="s">
        <v>2618</v>
      </c>
      <c r="C26" s="2850" t="s">
        <v>2620</v>
      </c>
      <c r="D26" s="2851"/>
      <c r="E26" s="2852">
        <v>1</v>
      </c>
      <c r="F26" s="2841" t="s">
        <v>2441</v>
      </c>
      <c r="G26" s="2841"/>
    </row>
    <row r="27" spans="1:13" ht="19.5" customHeight="1">
      <c r="A27" s="3476" t="s">
        <v>2621</v>
      </c>
      <c r="B27" s="3474" t="s">
        <v>2602</v>
      </c>
      <c r="C27" s="2838" t="s">
        <v>2442</v>
      </c>
      <c r="D27" s="2839"/>
      <c r="E27" s="2840">
        <v>1</v>
      </c>
      <c r="F27" s="2841" t="s">
        <v>2443</v>
      </c>
      <c r="G27" s="2841"/>
    </row>
    <row r="28" spans="1:13" ht="19.5" customHeight="1">
      <c r="A28" s="3477"/>
      <c r="B28" s="3473"/>
      <c r="C28" s="2842" t="s">
        <v>2444</v>
      </c>
      <c r="D28" s="2843"/>
      <c r="E28" s="2844">
        <v>1</v>
      </c>
      <c r="F28" s="2841" t="s">
        <v>2445</v>
      </c>
      <c r="G28" s="2841"/>
    </row>
    <row r="29" spans="1:13" ht="19.5" customHeight="1">
      <c r="A29" s="3477"/>
      <c r="B29" s="3473"/>
      <c r="C29" s="2842" t="s">
        <v>2446</v>
      </c>
      <c r="D29" s="2843"/>
      <c r="E29" s="2844">
        <v>0.8</v>
      </c>
      <c r="F29" s="2841" t="s">
        <v>2447</v>
      </c>
      <c r="G29" s="2841"/>
    </row>
    <row r="30" spans="1:13" ht="19.5" customHeight="1">
      <c r="A30" s="3477"/>
      <c r="B30" s="3473"/>
      <c r="C30" s="2842" t="s">
        <v>2448</v>
      </c>
      <c r="D30" s="2843"/>
      <c r="E30" s="2844">
        <v>0.8</v>
      </c>
      <c r="F30" s="2841" t="s">
        <v>2449</v>
      </c>
      <c r="G30" s="2841"/>
    </row>
    <row r="31" spans="1:13" ht="19.5" customHeight="1">
      <c r="A31" s="3477"/>
      <c r="B31" s="3473"/>
      <c r="C31" s="2842" t="s">
        <v>2450</v>
      </c>
      <c r="D31" s="2843"/>
      <c r="E31" s="2844">
        <v>0.8</v>
      </c>
      <c r="F31" s="2841" t="s">
        <v>2451</v>
      </c>
      <c r="G31" s="2841"/>
    </row>
    <row r="32" spans="1:13" ht="19.5" customHeight="1">
      <c r="A32" s="3477"/>
      <c r="B32" s="3473"/>
      <c r="C32" s="2842" t="s">
        <v>2452</v>
      </c>
      <c r="D32" s="2843"/>
      <c r="E32" s="2844">
        <v>0.7</v>
      </c>
      <c r="F32" s="2841" t="s">
        <v>2453</v>
      </c>
      <c r="G32" s="2841"/>
    </row>
    <row r="33" spans="1:7" ht="19.5" customHeight="1">
      <c r="A33" s="3477"/>
      <c r="B33" s="3473"/>
      <c r="C33" s="2842" t="s">
        <v>2454</v>
      </c>
      <c r="D33" s="2843"/>
      <c r="E33" s="2844">
        <v>0.8</v>
      </c>
      <c r="F33" s="2841" t="s">
        <v>2455</v>
      </c>
      <c r="G33" s="2841"/>
    </row>
    <row r="34" spans="1:7" ht="19.5" customHeight="1">
      <c r="A34" s="3477"/>
      <c r="B34" s="3473"/>
      <c r="C34" s="2842" t="s">
        <v>2456</v>
      </c>
      <c r="D34" s="2843"/>
      <c r="E34" s="2844">
        <v>0.6</v>
      </c>
      <c r="F34" s="2841" t="s">
        <v>2457</v>
      </c>
      <c r="G34" s="2841"/>
    </row>
    <row r="35" spans="1:7" ht="19.5" customHeight="1">
      <c r="A35" s="3477"/>
      <c r="B35" s="3473"/>
      <c r="C35" s="2842" t="s">
        <v>2458</v>
      </c>
      <c r="D35" s="2843"/>
      <c r="E35" s="2844">
        <v>0.2</v>
      </c>
      <c r="F35" s="2841" t="s">
        <v>2459</v>
      </c>
      <c r="G35" s="2841"/>
    </row>
    <row r="36" spans="1:7" ht="19.5" customHeight="1">
      <c r="A36" s="3477"/>
      <c r="B36" s="3473"/>
      <c r="C36" s="2842" t="s">
        <v>2460</v>
      </c>
      <c r="D36" s="2843"/>
      <c r="E36" s="2844">
        <v>0.2</v>
      </c>
      <c r="F36" s="2841" t="s">
        <v>2461</v>
      </c>
      <c r="G36" s="2841"/>
    </row>
    <row r="37" spans="1:7" ht="19.5" customHeight="1">
      <c r="A37" s="3477"/>
      <c r="B37" s="3471" t="s">
        <v>2622</v>
      </c>
      <c r="C37" s="2842" t="s">
        <v>2462</v>
      </c>
      <c r="D37" s="2843"/>
      <c r="E37" s="2844">
        <v>0.6</v>
      </c>
      <c r="F37" s="2841" t="s">
        <v>2463</v>
      </c>
      <c r="G37" s="2841"/>
    </row>
    <row r="38" spans="1:7" ht="19.5" customHeight="1">
      <c r="A38" s="3477"/>
      <c r="B38" s="3473"/>
      <c r="C38" s="2842" t="s">
        <v>2464</v>
      </c>
      <c r="D38" s="2843"/>
      <c r="E38" s="2844">
        <v>0.6</v>
      </c>
      <c r="F38" s="2841" t="s">
        <v>2465</v>
      </c>
      <c r="G38" s="2841"/>
    </row>
    <row r="39" spans="1:7" ht="19.5" customHeight="1" thickBot="1">
      <c r="A39" s="3478"/>
      <c r="B39" s="3475"/>
      <c r="C39" s="2845" t="s">
        <v>2466</v>
      </c>
      <c r="D39" s="2846"/>
      <c r="E39" s="2847">
        <v>0.6</v>
      </c>
      <c r="F39" s="2841" t="s">
        <v>2467</v>
      </c>
      <c r="G39" s="2841"/>
    </row>
    <row r="40" spans="1:7" ht="19.5" customHeight="1" thickBot="1">
      <c r="A40" s="2848" t="s">
        <v>2599</v>
      </c>
      <c r="B40" s="2849" t="s">
        <v>2599</v>
      </c>
      <c r="C40" s="2850" t="s">
        <v>2623</v>
      </c>
      <c r="D40" s="2851"/>
      <c r="E40" s="2852">
        <v>1</v>
      </c>
      <c r="F40" s="2841" t="s">
        <v>2468</v>
      </c>
      <c r="G40" s="2841"/>
    </row>
    <row r="41" spans="1:7" ht="19.5" customHeight="1">
      <c r="A41" s="3479" t="s">
        <v>2600</v>
      </c>
      <c r="B41" s="3474" t="s">
        <v>2624</v>
      </c>
      <c r="C41" s="2838" t="s">
        <v>2469</v>
      </c>
      <c r="D41" s="2839"/>
      <c r="E41" s="2840">
        <v>1</v>
      </c>
      <c r="F41" s="2841" t="s">
        <v>2470</v>
      </c>
      <c r="G41" s="2841"/>
    </row>
    <row r="42" spans="1:7" ht="19.5" customHeight="1">
      <c r="A42" s="3480"/>
      <c r="B42" s="3473"/>
      <c r="C42" s="2842" t="s">
        <v>2471</v>
      </c>
      <c r="D42" s="2843"/>
      <c r="E42" s="2844">
        <v>1</v>
      </c>
      <c r="F42" s="2841" t="s">
        <v>2472</v>
      </c>
      <c r="G42" s="2841"/>
    </row>
    <row r="43" spans="1:7" ht="19.5" customHeight="1">
      <c r="A43" s="3480"/>
      <c r="B43" s="3472"/>
      <c r="C43" s="2842" t="s">
        <v>2473</v>
      </c>
      <c r="D43" s="2843"/>
      <c r="E43" s="2844">
        <v>1.5</v>
      </c>
      <c r="F43" s="2841" t="s">
        <v>2474</v>
      </c>
      <c r="G43" s="2841"/>
    </row>
    <row r="44" spans="1:7" ht="19.5" customHeight="1">
      <c r="A44" s="3480"/>
      <c r="B44" s="2853" t="s">
        <v>2625</v>
      </c>
      <c r="C44" s="2842" t="s">
        <v>2626</v>
      </c>
      <c r="D44" s="2843"/>
      <c r="E44" s="2844">
        <v>2</v>
      </c>
      <c r="F44" s="2841" t="s">
        <v>2475</v>
      </c>
      <c r="G44" s="2841"/>
    </row>
    <row r="45" spans="1:7" ht="19.5" customHeight="1">
      <c r="A45" s="3480"/>
      <c r="B45" s="3471" t="s">
        <v>2627</v>
      </c>
      <c r="C45" s="2842" t="s">
        <v>2476</v>
      </c>
      <c r="D45" s="2843"/>
      <c r="E45" s="2844">
        <v>1</v>
      </c>
      <c r="F45" s="2841" t="s">
        <v>2477</v>
      </c>
      <c r="G45" s="2841"/>
    </row>
    <row r="46" spans="1:7" ht="19.5" customHeight="1">
      <c r="A46" s="3480"/>
      <c r="B46" s="3473"/>
      <c r="C46" s="2842" t="s">
        <v>2478</v>
      </c>
      <c r="D46" s="2843"/>
      <c r="E46" s="2844">
        <v>1</v>
      </c>
      <c r="F46" s="2841" t="s">
        <v>2479</v>
      </c>
      <c r="G46" s="2841"/>
    </row>
    <row r="47" spans="1:7" ht="19.5" customHeight="1">
      <c r="A47" s="3480"/>
      <c r="B47" s="3473"/>
      <c r="C47" s="2842" t="s">
        <v>2480</v>
      </c>
      <c r="D47" s="2843"/>
      <c r="E47" s="2844">
        <v>1</v>
      </c>
      <c r="F47" s="2841" t="s">
        <v>2481</v>
      </c>
      <c r="G47" s="2841"/>
    </row>
    <row r="48" spans="1:7" ht="19.5" customHeight="1">
      <c r="A48" s="3480"/>
      <c r="B48" s="3473"/>
      <c r="C48" s="2842" t="s">
        <v>2482</v>
      </c>
      <c r="D48" s="2843"/>
      <c r="E48" s="2844">
        <v>1</v>
      </c>
      <c r="F48" s="2841" t="s">
        <v>2483</v>
      </c>
      <c r="G48" s="2841"/>
    </row>
    <row r="49" spans="1:7" ht="19.5" customHeight="1">
      <c r="A49" s="3480"/>
      <c r="B49" s="3473"/>
      <c r="C49" s="2842" t="s">
        <v>2484</v>
      </c>
      <c r="D49" s="2843"/>
      <c r="E49" s="2844">
        <v>1</v>
      </c>
      <c r="F49" s="2841" t="s">
        <v>2485</v>
      </c>
      <c r="G49" s="2841"/>
    </row>
    <row r="50" spans="1:7" ht="19.5" customHeight="1">
      <c r="A50" s="3480"/>
      <c r="B50" s="3473"/>
      <c r="C50" s="2842" t="s">
        <v>2486</v>
      </c>
      <c r="D50" s="2843"/>
      <c r="E50" s="2844">
        <v>1</v>
      </c>
      <c r="F50" s="2841" t="s">
        <v>2487</v>
      </c>
      <c r="G50" s="2841"/>
    </row>
    <row r="51" spans="1:7" ht="19.5" customHeight="1" thickBot="1">
      <c r="A51" s="3481"/>
      <c r="B51" s="3475"/>
      <c r="C51" s="2845" t="s">
        <v>2488</v>
      </c>
      <c r="D51" s="2846"/>
      <c r="E51" s="2847">
        <v>1</v>
      </c>
      <c r="F51" s="2841" t="s">
        <v>2489</v>
      </c>
      <c r="G51" s="2841"/>
    </row>
    <row r="52" spans="1:7" ht="19.5" customHeight="1">
      <c r="A52" s="2854"/>
      <c r="B52" s="2854"/>
      <c r="C52" s="2854"/>
      <c r="D52" s="2854"/>
      <c r="E52" s="2854"/>
      <c r="F52" s="2854"/>
      <c r="G52" s="2854"/>
    </row>
    <row r="54" spans="1:7" ht="19.5" customHeight="1">
      <c r="A54" s="2855"/>
      <c r="B54" s="2827" t="s">
        <v>2628</v>
      </c>
      <c r="C54" s="2827" t="s">
        <v>2628</v>
      </c>
      <c r="D54" s="2827" t="s">
        <v>2628</v>
      </c>
      <c r="E54" s="2830" t="s">
        <v>2628</v>
      </c>
      <c r="F54" s="2830" t="s">
        <v>2629</v>
      </c>
      <c r="G54" s="2830" t="s">
        <v>2630</v>
      </c>
    </row>
    <row r="55" spans="1:7" ht="19.5" customHeight="1">
      <c r="A55" s="2856"/>
      <c r="B55" s="2830" t="s">
        <v>2597</v>
      </c>
      <c r="C55" s="2830" t="s">
        <v>2597</v>
      </c>
      <c r="D55" s="2830" t="s">
        <v>2597</v>
      </c>
      <c r="E55" s="2827" t="s">
        <v>2598</v>
      </c>
      <c r="F55" s="2827" t="s">
        <v>2600</v>
      </c>
      <c r="G55" s="2827" t="s">
        <v>2631</v>
      </c>
    </row>
    <row r="56" spans="1:7" ht="19.5" customHeight="1">
      <c r="A56" s="2857"/>
      <c r="B56" s="2827">
        <v>1</v>
      </c>
      <c r="C56" s="2827">
        <v>2</v>
      </c>
      <c r="D56" s="2827">
        <v>3</v>
      </c>
      <c r="E56" s="2858" t="s">
        <v>2632</v>
      </c>
      <c r="F56" s="2858" t="s">
        <v>2632</v>
      </c>
      <c r="G56" s="2858" t="s">
        <v>2632</v>
      </c>
    </row>
    <row r="57" spans="1:7" ht="19.5" customHeight="1">
      <c r="A57" s="2859" t="s">
        <v>2585</v>
      </c>
      <c r="B57" s="2827">
        <v>0.7</v>
      </c>
      <c r="C57" s="2827">
        <v>0.4</v>
      </c>
      <c r="D57" s="2827">
        <v>0.3</v>
      </c>
      <c r="E57" s="2858">
        <v>0.3</v>
      </c>
      <c r="F57" s="2827">
        <v>0.3</v>
      </c>
      <c r="G57" s="2827">
        <v>0.2</v>
      </c>
    </row>
    <row r="58" spans="1:7" ht="19.5" customHeight="1">
      <c r="A58" s="2859" t="s">
        <v>2586</v>
      </c>
      <c r="B58" s="2827">
        <v>0.7</v>
      </c>
      <c r="C58" s="2827">
        <v>0.4</v>
      </c>
      <c r="D58" s="2827">
        <v>0.3</v>
      </c>
      <c r="E58" s="2827">
        <v>0.3</v>
      </c>
      <c r="F58" s="2827">
        <v>0.3</v>
      </c>
      <c r="G58" s="2827">
        <v>0.2</v>
      </c>
    </row>
    <row r="59" spans="1:7" ht="19.5" customHeight="1">
      <c r="A59" s="2859" t="s">
        <v>2587</v>
      </c>
      <c r="B59" s="2827">
        <v>0.6</v>
      </c>
      <c r="C59" s="2827">
        <v>0.3</v>
      </c>
      <c r="D59" s="2827">
        <v>0.25</v>
      </c>
      <c r="E59" s="2827">
        <v>0.25</v>
      </c>
      <c r="F59" s="2827">
        <v>0.25</v>
      </c>
      <c r="G59" s="2827">
        <v>0.15</v>
      </c>
    </row>
    <row r="60" spans="1:7" ht="19.5" customHeight="1">
      <c r="A60" s="2859" t="s">
        <v>2588</v>
      </c>
      <c r="B60" s="2827">
        <v>0.6</v>
      </c>
      <c r="C60" s="2827">
        <v>0.3</v>
      </c>
      <c r="D60" s="2827">
        <v>0.25</v>
      </c>
      <c r="E60" s="2827">
        <v>0.25</v>
      </c>
      <c r="F60" s="2827">
        <v>0.25</v>
      </c>
      <c r="G60" s="2827">
        <v>0.15</v>
      </c>
    </row>
    <row r="61" spans="1:7" ht="19.5" customHeight="1">
      <c r="A61" s="2859" t="s">
        <v>2589</v>
      </c>
      <c r="B61" s="2827">
        <v>0.6</v>
      </c>
      <c r="C61" s="2827">
        <v>0.3</v>
      </c>
      <c r="D61" s="2827">
        <v>0.25</v>
      </c>
      <c r="E61" s="2827">
        <v>0.25</v>
      </c>
      <c r="F61" s="2827">
        <v>0.25</v>
      </c>
      <c r="G61" s="2827">
        <v>0.15</v>
      </c>
    </row>
    <row r="62" spans="1:7" ht="19.5" customHeight="1">
      <c r="A62" s="2859" t="s">
        <v>2590</v>
      </c>
      <c r="B62" s="2827">
        <v>0.6</v>
      </c>
      <c r="C62" s="2827">
        <v>0.3</v>
      </c>
      <c r="D62" s="2827">
        <v>0.25</v>
      </c>
      <c r="E62" s="2827">
        <v>0.25</v>
      </c>
      <c r="F62" s="2827">
        <v>0.25</v>
      </c>
      <c r="G62" s="2827">
        <v>0.15</v>
      </c>
    </row>
    <row r="63" spans="1:7" ht="19.5" customHeight="1">
      <c r="A63" s="2859" t="s">
        <v>2591</v>
      </c>
      <c r="B63" s="2827">
        <v>0.6</v>
      </c>
      <c r="C63" s="2827">
        <v>0.3</v>
      </c>
      <c r="D63" s="2827">
        <v>0.25</v>
      </c>
      <c r="E63" s="2827">
        <v>0.25</v>
      </c>
      <c r="F63" s="2827">
        <v>0.25</v>
      </c>
      <c r="G63" s="2827">
        <v>0.15</v>
      </c>
    </row>
    <row r="64" spans="1:7" ht="19.5" customHeight="1">
      <c r="A64" s="2859" t="s">
        <v>2592</v>
      </c>
      <c r="B64" s="2827">
        <v>0.5</v>
      </c>
      <c r="C64" s="2827">
        <v>0.2</v>
      </c>
      <c r="D64" s="2827">
        <v>0.2</v>
      </c>
      <c r="E64" s="2827">
        <v>0.2</v>
      </c>
      <c r="F64" s="2827">
        <v>0.2</v>
      </c>
      <c r="G64" s="2827">
        <v>0.1</v>
      </c>
    </row>
    <row r="65" spans="1:7" ht="19.5" customHeight="1">
      <c r="A65" s="2859" t="s">
        <v>2593</v>
      </c>
      <c r="B65" s="2827">
        <v>0.5</v>
      </c>
      <c r="C65" s="2827">
        <v>0.2</v>
      </c>
      <c r="D65" s="2827">
        <v>0.2</v>
      </c>
      <c r="E65" s="2827">
        <v>0.2</v>
      </c>
      <c r="F65" s="2827">
        <v>0.2</v>
      </c>
      <c r="G65" s="2827">
        <v>0.1</v>
      </c>
    </row>
    <row r="66" spans="1:7" ht="19.5" customHeight="1">
      <c r="A66" s="2859" t="s">
        <v>2594</v>
      </c>
      <c r="B66" s="2827">
        <v>0.5</v>
      </c>
      <c r="C66" s="2827">
        <v>0.2</v>
      </c>
      <c r="D66" s="2827">
        <v>0.2</v>
      </c>
      <c r="E66" s="2827">
        <v>0.2</v>
      </c>
      <c r="F66" s="2827">
        <v>0.2</v>
      </c>
      <c r="G66" s="2827">
        <v>0.1</v>
      </c>
    </row>
    <row r="67" spans="1:7" ht="19.5" customHeight="1">
      <c r="A67" s="2859" t="s">
        <v>2595</v>
      </c>
      <c r="B67" s="2827">
        <v>0.5</v>
      </c>
      <c r="C67" s="2827">
        <v>0.2</v>
      </c>
      <c r="D67" s="2827">
        <v>0.2</v>
      </c>
      <c r="E67" s="2827">
        <v>0.2</v>
      </c>
      <c r="F67" s="2827">
        <v>0.2</v>
      </c>
      <c r="G67" s="2827">
        <v>0.1</v>
      </c>
    </row>
    <row r="68" spans="1:7" ht="19.5" customHeight="1">
      <c r="A68" s="2859" t="s">
        <v>2596</v>
      </c>
      <c r="B68" s="2827">
        <v>0.5</v>
      </c>
      <c r="C68" s="2827">
        <v>0.2</v>
      </c>
      <c r="D68" s="2827">
        <v>0.2</v>
      </c>
      <c r="E68" s="2827">
        <v>0.2</v>
      </c>
      <c r="F68" s="2827">
        <v>0.2</v>
      </c>
      <c r="G68" s="2827">
        <v>0.1</v>
      </c>
    </row>
    <row r="70" spans="1:7" ht="19.5" customHeight="1">
      <c r="A70" s="2841"/>
      <c r="B70" s="2860"/>
      <c r="C70" s="2860"/>
      <c r="D70" s="2860" t="s">
        <v>2633</v>
      </c>
      <c r="E70" s="2860"/>
      <c r="F70" s="2860"/>
    </row>
    <row r="71" spans="1:7" ht="19.5" customHeight="1">
      <c r="A71" s="2853" t="s">
        <v>2634</v>
      </c>
      <c r="B71" s="2853" t="s">
        <v>2635</v>
      </c>
      <c r="C71" s="2853" t="s">
        <v>2636</v>
      </c>
      <c r="D71" s="2853" t="s">
        <v>2637</v>
      </c>
      <c r="E71" s="2853" t="s">
        <v>2638</v>
      </c>
      <c r="F71" s="2853" t="s">
        <v>2639</v>
      </c>
    </row>
    <row r="72" spans="1:7" ht="13.5">
      <c r="A72" s="2853"/>
      <c r="B72" s="2853"/>
      <c r="C72" s="2853" t="s">
        <v>2640</v>
      </c>
      <c r="D72" s="2853"/>
      <c r="E72" s="2853" t="s">
        <v>2611</v>
      </c>
      <c r="F72" s="2853" t="s">
        <v>2611</v>
      </c>
    </row>
    <row r="73" spans="1:7" ht="13.5">
      <c r="A73" s="2853">
        <v>1</v>
      </c>
      <c r="B73" s="3471" t="s">
        <v>2641</v>
      </c>
      <c r="C73" s="2827" t="s">
        <v>2642</v>
      </c>
      <c r="D73" s="2827" t="s">
        <v>2643</v>
      </c>
      <c r="E73" s="2853">
        <v>0.2</v>
      </c>
      <c r="F73" s="2853">
        <v>25</v>
      </c>
    </row>
    <row r="74" spans="1:7" ht="24">
      <c r="A74" s="2853">
        <v>2</v>
      </c>
      <c r="B74" s="3473"/>
      <c r="C74" s="2827" t="s">
        <v>2644</v>
      </c>
      <c r="D74" s="2827" t="s">
        <v>2645</v>
      </c>
      <c r="E74" s="2853">
        <v>0.2</v>
      </c>
      <c r="F74" s="2853">
        <v>25</v>
      </c>
    </row>
    <row r="75" spans="1:7" ht="24">
      <c r="A75" s="2853">
        <v>3</v>
      </c>
      <c r="B75" s="3473"/>
      <c r="C75" s="2827" t="s">
        <v>2646</v>
      </c>
      <c r="D75" s="2827" t="s">
        <v>2647</v>
      </c>
      <c r="E75" s="2853">
        <v>0.2</v>
      </c>
      <c r="F75" s="2853">
        <v>25</v>
      </c>
    </row>
    <row r="76" spans="1:7" ht="13.5">
      <c r="A76" s="2853">
        <v>4</v>
      </c>
      <c r="B76" s="3473"/>
      <c r="C76" s="2827" t="s">
        <v>2648</v>
      </c>
      <c r="D76" s="2827" t="s">
        <v>2649</v>
      </c>
      <c r="E76" s="2853">
        <v>0.15</v>
      </c>
      <c r="F76" s="2853">
        <v>20</v>
      </c>
    </row>
    <row r="77" spans="1:7" ht="24">
      <c r="A77" s="2853">
        <v>5</v>
      </c>
      <c r="B77" s="3473"/>
      <c r="C77" s="2827" t="s">
        <v>2650</v>
      </c>
      <c r="D77" s="2827" t="s">
        <v>2651</v>
      </c>
      <c r="E77" s="2853">
        <v>0.15</v>
      </c>
      <c r="F77" s="2853">
        <v>20</v>
      </c>
    </row>
    <row r="78" spans="1:7" ht="24">
      <c r="A78" s="2853">
        <v>6</v>
      </c>
      <c r="B78" s="3473"/>
      <c r="C78" s="2827" t="s">
        <v>2652</v>
      </c>
      <c r="D78" s="2827" t="s">
        <v>2653</v>
      </c>
      <c r="E78" s="2853">
        <v>0.15</v>
      </c>
      <c r="F78" s="2853">
        <v>20</v>
      </c>
    </row>
    <row r="79" spans="1:7" ht="24">
      <c r="A79" s="2853">
        <v>7</v>
      </c>
      <c r="B79" s="3473"/>
      <c r="C79" s="2827" t="s">
        <v>2654</v>
      </c>
      <c r="D79" s="2827" t="s">
        <v>2655</v>
      </c>
      <c r="E79" s="2853">
        <v>0.15</v>
      </c>
      <c r="F79" s="2853">
        <v>20</v>
      </c>
    </row>
    <row r="80" spans="1:7" ht="24">
      <c r="A80" s="2853">
        <v>8</v>
      </c>
      <c r="B80" s="3473"/>
      <c r="C80" s="2827" t="s">
        <v>2656</v>
      </c>
      <c r="D80" s="2827" t="s">
        <v>2657</v>
      </c>
      <c r="E80" s="2853">
        <v>0.1</v>
      </c>
      <c r="F80" s="2853">
        <v>15</v>
      </c>
    </row>
    <row r="81" spans="1:6" ht="24">
      <c r="A81" s="2853">
        <v>9</v>
      </c>
      <c r="B81" s="3473"/>
      <c r="C81" s="2827" t="s">
        <v>2658</v>
      </c>
      <c r="D81" s="2827" t="s">
        <v>2659</v>
      </c>
      <c r="E81" s="2853">
        <v>0.1</v>
      </c>
      <c r="F81" s="2853">
        <v>15</v>
      </c>
    </row>
    <row r="82" spans="1:6" ht="24">
      <c r="A82" s="2853">
        <v>10</v>
      </c>
      <c r="B82" s="3473"/>
      <c r="C82" s="2827" t="s">
        <v>2660</v>
      </c>
      <c r="D82" s="2827" t="s">
        <v>2661</v>
      </c>
      <c r="E82" s="2853">
        <v>0.1</v>
      </c>
      <c r="F82" s="2853">
        <v>15</v>
      </c>
    </row>
    <row r="83" spans="1:6" ht="24">
      <c r="A83" s="2853">
        <v>11</v>
      </c>
      <c r="B83" s="3473"/>
      <c r="C83" s="2827" t="s">
        <v>2662</v>
      </c>
      <c r="D83" s="2827" t="s">
        <v>2663</v>
      </c>
      <c r="E83" s="2853">
        <v>0.1</v>
      </c>
      <c r="F83" s="2853">
        <v>15</v>
      </c>
    </row>
    <row r="84" spans="1:6" ht="24">
      <c r="A84" s="2853">
        <v>12</v>
      </c>
      <c r="B84" s="3473"/>
      <c r="C84" s="2827" t="s">
        <v>2664</v>
      </c>
      <c r="D84" s="2827" t="s">
        <v>2665</v>
      </c>
      <c r="E84" s="2853">
        <v>0.1</v>
      </c>
      <c r="F84" s="2853">
        <v>15</v>
      </c>
    </row>
    <row r="85" spans="1:6" ht="13.5">
      <c r="A85" s="2853">
        <v>13</v>
      </c>
      <c r="B85" s="3473"/>
      <c r="C85" s="2827" t="s">
        <v>2666</v>
      </c>
      <c r="D85" s="2827" t="s">
        <v>2667</v>
      </c>
      <c r="E85" s="2853">
        <v>0.1</v>
      </c>
      <c r="F85" s="2853">
        <v>15</v>
      </c>
    </row>
    <row r="86" spans="1:6" ht="13.5">
      <c r="A86" s="2853">
        <v>14</v>
      </c>
      <c r="B86" s="3473"/>
      <c r="C86" s="2827" t="s">
        <v>2668</v>
      </c>
      <c r="D86" s="2827" t="s">
        <v>2669</v>
      </c>
      <c r="E86" s="2853">
        <v>0.1</v>
      </c>
      <c r="F86" s="2853">
        <v>15</v>
      </c>
    </row>
    <row r="87" spans="1:6" ht="13.5">
      <c r="A87" s="2853">
        <v>15</v>
      </c>
      <c r="B87" s="3473"/>
      <c r="C87" s="2827" t="s">
        <v>2670</v>
      </c>
      <c r="D87" s="2827" t="s">
        <v>2671</v>
      </c>
      <c r="E87" s="2853">
        <v>0.1</v>
      </c>
      <c r="F87" s="2853">
        <v>15</v>
      </c>
    </row>
    <row r="88" spans="1:6" ht="24">
      <c r="A88" s="2853">
        <v>16</v>
      </c>
      <c r="B88" s="3473"/>
      <c r="C88" s="2827" t="s">
        <v>2672</v>
      </c>
      <c r="D88" s="2827" t="s">
        <v>2673</v>
      </c>
      <c r="E88" s="2853">
        <v>0.1</v>
      </c>
      <c r="F88" s="2853">
        <v>15</v>
      </c>
    </row>
    <row r="89" spans="1:6" ht="24">
      <c r="A89" s="2853">
        <v>17</v>
      </c>
      <c r="B89" s="3472"/>
      <c r="C89" s="2827" t="s">
        <v>2674</v>
      </c>
      <c r="D89" s="2827" t="s">
        <v>2675</v>
      </c>
      <c r="E89" s="2853">
        <v>0.1</v>
      </c>
      <c r="F89" s="2853">
        <v>15</v>
      </c>
    </row>
    <row r="90" spans="1:6" ht="13.5">
      <c r="A90" s="2853">
        <v>18</v>
      </c>
      <c r="B90" s="3471" t="s">
        <v>2676</v>
      </c>
      <c r="C90" s="2827" t="s">
        <v>2677</v>
      </c>
      <c r="D90" s="2827" t="s">
        <v>2678</v>
      </c>
      <c r="E90" s="2853">
        <v>0.2</v>
      </c>
      <c r="F90" s="2853">
        <v>25</v>
      </c>
    </row>
    <row r="91" spans="1:6" ht="24">
      <c r="A91" s="2853">
        <v>19</v>
      </c>
      <c r="B91" s="3473"/>
      <c r="C91" s="2827" t="s">
        <v>2679</v>
      </c>
      <c r="D91" s="2827" t="s">
        <v>2680</v>
      </c>
      <c r="E91" s="2853">
        <v>0.2</v>
      </c>
      <c r="F91" s="2853">
        <v>25</v>
      </c>
    </row>
    <row r="92" spans="1:6" ht="13.5">
      <c r="A92" s="2853">
        <v>20</v>
      </c>
      <c r="B92" s="3473"/>
      <c r="C92" s="2827" t="s">
        <v>2681</v>
      </c>
      <c r="D92" s="2827" t="s">
        <v>2682</v>
      </c>
      <c r="E92" s="2853">
        <v>0.15</v>
      </c>
      <c r="F92" s="2853">
        <v>20</v>
      </c>
    </row>
    <row r="93" spans="1:6" ht="13.5">
      <c r="A93" s="2853">
        <v>21</v>
      </c>
      <c r="B93" s="3473"/>
      <c r="C93" s="2827" t="s">
        <v>2683</v>
      </c>
      <c r="D93" s="2827" t="s">
        <v>2684</v>
      </c>
      <c r="E93" s="2853">
        <v>0.15</v>
      </c>
      <c r="F93" s="2853">
        <v>20</v>
      </c>
    </row>
    <row r="94" spans="1:6" ht="13.5">
      <c r="A94" s="2853">
        <v>22</v>
      </c>
      <c r="B94" s="3473"/>
      <c r="C94" s="2827" t="s">
        <v>2685</v>
      </c>
      <c r="D94" s="2827" t="s">
        <v>2686</v>
      </c>
      <c r="E94" s="2853">
        <v>0.15</v>
      </c>
      <c r="F94" s="2853">
        <v>20</v>
      </c>
    </row>
    <row r="95" spans="1:6" ht="36">
      <c r="A95" s="2853">
        <v>23</v>
      </c>
      <c r="B95" s="3473"/>
      <c r="C95" s="2827" t="s">
        <v>2687</v>
      </c>
      <c r="D95" s="2827" t="s">
        <v>2688</v>
      </c>
      <c r="E95" s="2853">
        <v>0.15</v>
      </c>
      <c r="F95" s="2853">
        <v>20</v>
      </c>
    </row>
    <row r="96" spans="1:6" ht="13.5">
      <c r="A96" s="2853">
        <v>24</v>
      </c>
      <c r="B96" s="3473"/>
      <c r="C96" s="2827" t="s">
        <v>2689</v>
      </c>
      <c r="D96" s="2827" t="s">
        <v>2690</v>
      </c>
      <c r="E96" s="2853">
        <v>0.1</v>
      </c>
      <c r="F96" s="2853">
        <v>15</v>
      </c>
    </row>
    <row r="97" spans="1:6" ht="13.5">
      <c r="A97" s="2853">
        <v>25</v>
      </c>
      <c r="B97" s="3473"/>
      <c r="C97" s="2827" t="s">
        <v>2691</v>
      </c>
      <c r="D97" s="2827" t="s">
        <v>2692</v>
      </c>
      <c r="E97" s="2853">
        <v>0.1</v>
      </c>
      <c r="F97" s="2853">
        <v>15</v>
      </c>
    </row>
    <row r="98" spans="1:6" ht="24">
      <c r="A98" s="2853">
        <v>26</v>
      </c>
      <c r="B98" s="3473"/>
      <c r="C98" s="2827" t="s">
        <v>2693</v>
      </c>
      <c r="D98" s="2827" t="s">
        <v>2694</v>
      </c>
      <c r="E98" s="2853">
        <v>0.1</v>
      </c>
      <c r="F98" s="2853">
        <v>15</v>
      </c>
    </row>
    <row r="99" spans="1:6" ht="24">
      <c r="A99" s="2853">
        <v>27</v>
      </c>
      <c r="B99" s="3473"/>
      <c r="C99" s="2827" t="s">
        <v>2695</v>
      </c>
      <c r="D99" s="2827" t="s">
        <v>2696</v>
      </c>
      <c r="E99" s="2853">
        <v>0.1</v>
      </c>
      <c r="F99" s="2853">
        <v>15</v>
      </c>
    </row>
    <row r="100" spans="1:6" ht="13.5">
      <c r="A100" s="2853">
        <v>28</v>
      </c>
      <c r="B100" s="3473"/>
      <c r="C100" s="2827" t="s">
        <v>2697</v>
      </c>
      <c r="D100" s="2827" t="s">
        <v>2698</v>
      </c>
      <c r="E100" s="2853">
        <v>0.1</v>
      </c>
      <c r="F100" s="2853">
        <v>15</v>
      </c>
    </row>
    <row r="101" spans="1:6" ht="13.5">
      <c r="A101" s="2853">
        <v>29</v>
      </c>
      <c r="B101" s="3473"/>
      <c r="C101" s="2827" t="s">
        <v>2699</v>
      </c>
      <c r="D101" s="2827" t="s">
        <v>2700</v>
      </c>
      <c r="E101" s="2853">
        <v>0.1</v>
      </c>
      <c r="F101" s="2853">
        <v>15</v>
      </c>
    </row>
    <row r="102" spans="1:6" ht="13.5">
      <c r="A102" s="2853">
        <v>30</v>
      </c>
      <c r="B102" s="3473"/>
      <c r="C102" s="2827" t="s">
        <v>2701</v>
      </c>
      <c r="D102" s="2827" t="s">
        <v>2702</v>
      </c>
      <c r="E102" s="2853">
        <v>0.1</v>
      </c>
      <c r="F102" s="2853">
        <v>15</v>
      </c>
    </row>
    <row r="103" spans="1:6" ht="24">
      <c r="A103" s="2853">
        <v>31</v>
      </c>
      <c r="B103" s="3473"/>
      <c r="C103" s="2827" t="s">
        <v>2703</v>
      </c>
      <c r="D103" s="2827" t="s">
        <v>2704</v>
      </c>
      <c r="E103" s="2853">
        <v>0.1</v>
      </c>
      <c r="F103" s="2853">
        <v>15</v>
      </c>
    </row>
    <row r="104" spans="1:6" ht="24">
      <c r="A104" s="2853">
        <v>32</v>
      </c>
      <c r="B104" s="3473"/>
      <c r="C104" s="2827" t="s">
        <v>2705</v>
      </c>
      <c r="D104" s="2827" t="s">
        <v>2706</v>
      </c>
      <c r="E104" s="2853">
        <v>0.1</v>
      </c>
      <c r="F104" s="2853">
        <v>15</v>
      </c>
    </row>
    <row r="105" spans="1:6" ht="24">
      <c r="A105" s="2853">
        <v>33</v>
      </c>
      <c r="B105" s="3473"/>
      <c r="C105" s="2827" t="s">
        <v>2707</v>
      </c>
      <c r="D105" s="2827" t="s">
        <v>2708</v>
      </c>
      <c r="E105" s="2853">
        <v>0.1</v>
      </c>
      <c r="F105" s="2853">
        <v>15</v>
      </c>
    </row>
    <row r="106" spans="1:6" ht="24">
      <c r="A106" s="2853">
        <v>34</v>
      </c>
      <c r="B106" s="3472"/>
      <c r="C106" s="2827" t="s">
        <v>2709</v>
      </c>
      <c r="D106" s="2827" t="s">
        <v>2710</v>
      </c>
      <c r="E106" s="2853">
        <v>0.1</v>
      </c>
      <c r="F106" s="2853">
        <v>15</v>
      </c>
    </row>
    <row r="107" spans="1:6" ht="24">
      <c r="A107" s="2853">
        <v>35</v>
      </c>
      <c r="B107" s="3471" t="s">
        <v>2711</v>
      </c>
      <c r="C107" s="2853" t="s">
        <v>2712</v>
      </c>
      <c r="D107" s="2827" t="s">
        <v>2713</v>
      </c>
      <c r="E107" s="2853">
        <v>0.15</v>
      </c>
      <c r="F107" s="2853">
        <v>20</v>
      </c>
    </row>
    <row r="108" spans="1:6" ht="13.5">
      <c r="A108" s="2853">
        <v>36</v>
      </c>
      <c r="B108" s="3473"/>
      <c r="C108" s="2853" t="s">
        <v>2714</v>
      </c>
      <c r="D108" s="2827" t="s">
        <v>2715</v>
      </c>
      <c r="E108" s="2853">
        <v>0.15</v>
      </c>
      <c r="F108" s="2853">
        <v>20</v>
      </c>
    </row>
    <row r="109" spans="1:6" ht="13.5">
      <c r="A109" s="2853">
        <v>37</v>
      </c>
      <c r="B109" s="3473"/>
      <c r="C109" s="2853" t="s">
        <v>2716</v>
      </c>
      <c r="D109" s="2827" t="s">
        <v>2717</v>
      </c>
      <c r="E109" s="2853">
        <v>0.15</v>
      </c>
      <c r="F109" s="2853">
        <v>20</v>
      </c>
    </row>
    <row r="110" spans="1:6" ht="13.5">
      <c r="A110" s="2853">
        <v>38</v>
      </c>
      <c r="B110" s="3473"/>
      <c r="C110" s="2853" t="s">
        <v>2718</v>
      </c>
      <c r="D110" s="2827" t="s">
        <v>2719</v>
      </c>
      <c r="E110" s="2853">
        <v>0.1</v>
      </c>
      <c r="F110" s="2853">
        <v>15</v>
      </c>
    </row>
    <row r="111" spans="1:6" ht="24">
      <c r="A111" s="2853">
        <v>39</v>
      </c>
      <c r="B111" s="3473"/>
      <c r="C111" s="2853" t="s">
        <v>2720</v>
      </c>
      <c r="D111" s="2827" t="s">
        <v>2721</v>
      </c>
      <c r="E111" s="2853">
        <v>0.1</v>
      </c>
      <c r="F111" s="2853">
        <v>15</v>
      </c>
    </row>
    <row r="112" spans="1:6" ht="24">
      <c r="A112" s="2853">
        <v>40</v>
      </c>
      <c r="B112" s="3472"/>
      <c r="C112" s="2853" t="s">
        <v>2722</v>
      </c>
      <c r="D112" s="2827" t="s">
        <v>2723</v>
      </c>
      <c r="E112" s="2853">
        <v>0.1</v>
      </c>
      <c r="F112" s="2853">
        <v>15</v>
      </c>
    </row>
    <row r="113" spans="1:6" ht="13.5">
      <c r="A113" s="2853">
        <v>41</v>
      </c>
      <c r="B113" s="3470" t="s">
        <v>2724</v>
      </c>
      <c r="C113" s="2853" t="s">
        <v>2725</v>
      </c>
      <c r="D113" s="2827" t="s">
        <v>2726</v>
      </c>
      <c r="E113" s="2853">
        <v>0.1</v>
      </c>
      <c r="F113" s="2853">
        <v>15</v>
      </c>
    </row>
    <row r="114" spans="1:6" ht="13.5">
      <c r="A114" s="2853">
        <v>42</v>
      </c>
      <c r="B114" s="3470"/>
      <c r="C114" s="2853" t="s">
        <v>2727</v>
      </c>
      <c r="D114" s="2827" t="s">
        <v>2728</v>
      </c>
      <c r="E114" s="2853">
        <v>0.1</v>
      </c>
      <c r="F114" s="2853">
        <v>15</v>
      </c>
    </row>
    <row r="115" spans="1:6" ht="24">
      <c r="A115" s="2853">
        <v>43</v>
      </c>
      <c r="B115" s="3470"/>
      <c r="C115" s="2853" t="s">
        <v>2729</v>
      </c>
      <c r="D115" s="2827" t="s">
        <v>2730</v>
      </c>
      <c r="E115" s="2853">
        <v>0.1</v>
      </c>
      <c r="F115" s="2853">
        <v>15</v>
      </c>
    </row>
    <row r="116" spans="1:6" ht="13.5">
      <c r="A116" s="2853">
        <v>44</v>
      </c>
      <c r="B116" s="3471" t="s">
        <v>2731</v>
      </c>
      <c r="C116" s="2853" t="s">
        <v>2732</v>
      </c>
      <c r="D116" s="2827" t="s">
        <v>2733</v>
      </c>
      <c r="E116" s="2853">
        <v>0.1</v>
      </c>
      <c r="F116" s="2853">
        <v>15</v>
      </c>
    </row>
    <row r="117" spans="1:6" ht="24">
      <c r="A117" s="2853">
        <v>45</v>
      </c>
      <c r="B117" s="3472"/>
      <c r="C117" s="2827" t="s">
        <v>2734</v>
      </c>
      <c r="D117" s="2827" t="s">
        <v>2735</v>
      </c>
      <c r="E117" s="2853">
        <v>0.1</v>
      </c>
      <c r="F117" s="2853">
        <v>15</v>
      </c>
    </row>
    <row r="118" spans="1:6" ht="24">
      <c r="A118" s="2853">
        <v>46</v>
      </c>
      <c r="B118" s="3471" t="s">
        <v>2736</v>
      </c>
      <c r="C118" s="2853" t="s">
        <v>2737</v>
      </c>
      <c r="D118" s="2827" t="s">
        <v>2738</v>
      </c>
      <c r="E118" s="2853">
        <v>0.1</v>
      </c>
      <c r="F118" s="2853">
        <v>15</v>
      </c>
    </row>
    <row r="119" spans="1:6" ht="24">
      <c r="A119" s="2853">
        <v>47</v>
      </c>
      <c r="B119" s="3472"/>
      <c r="C119" s="2853" t="s">
        <v>2739</v>
      </c>
      <c r="D119" s="2827" t="s">
        <v>2740</v>
      </c>
      <c r="E119" s="2853">
        <v>0.1</v>
      </c>
      <c r="F119" s="2853">
        <v>15</v>
      </c>
    </row>
    <row r="120" spans="1:6" ht="13.5">
      <c r="A120" s="2853">
        <v>48</v>
      </c>
      <c r="B120" s="3471" t="s">
        <v>2741</v>
      </c>
      <c r="C120" s="2853" t="s">
        <v>2742</v>
      </c>
      <c r="D120" s="2827" t="s">
        <v>2743</v>
      </c>
      <c r="E120" s="2853">
        <v>0.1</v>
      </c>
      <c r="F120" s="2853">
        <v>15</v>
      </c>
    </row>
    <row r="121" spans="1:6" ht="13.5">
      <c r="A121" s="2853">
        <v>49</v>
      </c>
      <c r="B121" s="3472"/>
      <c r="C121" s="2853" t="s">
        <v>2744</v>
      </c>
      <c r="D121" s="2827" t="s">
        <v>2745</v>
      </c>
      <c r="E121" s="2853">
        <v>0.1</v>
      </c>
      <c r="F121" s="2853">
        <v>15</v>
      </c>
    </row>
    <row r="122" spans="1:6" ht="24">
      <c r="A122" s="2853">
        <v>50</v>
      </c>
      <c r="B122" s="3470" t="s">
        <v>2746</v>
      </c>
      <c r="C122" s="2853" t="s">
        <v>2747</v>
      </c>
      <c r="D122" s="2827" t="s">
        <v>2748</v>
      </c>
      <c r="E122" s="2853">
        <v>0.1</v>
      </c>
      <c r="F122" s="2853">
        <v>15</v>
      </c>
    </row>
    <row r="123" spans="1:6" ht="24">
      <c r="A123" s="2853">
        <v>51</v>
      </c>
      <c r="B123" s="3470"/>
      <c r="C123" s="2853" t="s">
        <v>2749</v>
      </c>
      <c r="D123" s="2827" t="s">
        <v>2750</v>
      </c>
      <c r="E123" s="2853">
        <v>0.1</v>
      </c>
      <c r="F123" s="2853">
        <v>15</v>
      </c>
    </row>
    <row r="124" spans="1:6" ht="24">
      <c r="A124" s="2853">
        <v>52</v>
      </c>
      <c r="B124" s="3470" t="s">
        <v>2751</v>
      </c>
      <c r="C124" s="2853" t="s">
        <v>2752</v>
      </c>
      <c r="D124" s="2827" t="s">
        <v>2753</v>
      </c>
      <c r="E124" s="2853">
        <v>0.1</v>
      </c>
      <c r="F124" s="2853">
        <v>15</v>
      </c>
    </row>
    <row r="125" spans="1:6" ht="24">
      <c r="A125" s="2853">
        <v>53</v>
      </c>
      <c r="B125" s="3470"/>
      <c r="C125" s="2853" t="s">
        <v>2754</v>
      </c>
      <c r="D125" s="2827" t="s">
        <v>2755</v>
      </c>
      <c r="E125" s="2853">
        <v>0.1</v>
      </c>
      <c r="F125" s="2853">
        <v>15</v>
      </c>
    </row>
    <row r="126" spans="1:6" ht="13.5">
      <c r="A126" s="2853">
        <v>54</v>
      </c>
      <c r="B126" s="2853" t="s">
        <v>2756</v>
      </c>
      <c r="C126" s="2853" t="s">
        <v>2757</v>
      </c>
      <c r="D126" s="2827" t="s">
        <v>2758</v>
      </c>
      <c r="E126" s="2853">
        <v>0.1</v>
      </c>
      <c r="F126" s="2853">
        <v>15</v>
      </c>
    </row>
    <row r="127" spans="1:6" ht="13.5">
      <c r="A127" s="2853">
        <v>55</v>
      </c>
      <c r="B127" s="3470" t="s">
        <v>2759</v>
      </c>
      <c r="C127" s="2853" t="s">
        <v>2760</v>
      </c>
      <c r="D127" s="2827" t="s">
        <v>2761</v>
      </c>
      <c r="E127" s="2853">
        <v>0.1</v>
      </c>
      <c r="F127" s="2853">
        <v>15</v>
      </c>
    </row>
    <row r="128" spans="1:6" ht="13.5">
      <c r="A128" s="2853">
        <v>56</v>
      </c>
      <c r="B128" s="3470"/>
      <c r="C128" s="2853" t="s">
        <v>2762</v>
      </c>
      <c r="D128" s="2827" t="s">
        <v>2763</v>
      </c>
      <c r="E128" s="2853">
        <v>0.1</v>
      </c>
      <c r="F128" s="2853">
        <v>15</v>
      </c>
    </row>
    <row r="129" spans="1:6" ht="24">
      <c r="A129" s="2853">
        <v>57</v>
      </c>
      <c r="B129" s="3470"/>
      <c r="C129" s="2853" t="s">
        <v>2764</v>
      </c>
      <c r="D129" s="2827" t="s">
        <v>2765</v>
      </c>
      <c r="E129" s="2853">
        <v>0.1</v>
      </c>
      <c r="F129" s="2853">
        <v>15</v>
      </c>
    </row>
    <row r="130" spans="1:6" ht="24">
      <c r="A130" s="2853">
        <v>58</v>
      </c>
      <c r="B130" s="3470" t="s">
        <v>2766</v>
      </c>
      <c r="C130" s="2853" t="s">
        <v>2767</v>
      </c>
      <c r="D130" s="2827" t="s">
        <v>2768</v>
      </c>
      <c r="E130" s="2853">
        <v>0.1</v>
      </c>
      <c r="F130" s="2853">
        <v>15</v>
      </c>
    </row>
    <row r="131" spans="1:6" ht="13.5">
      <c r="A131" s="2853">
        <v>59</v>
      </c>
      <c r="B131" s="3470"/>
      <c r="C131" s="2853" t="s">
        <v>2769</v>
      </c>
      <c r="D131" s="2827" t="s">
        <v>2770</v>
      </c>
      <c r="E131" s="2853">
        <v>0.1</v>
      </c>
      <c r="F131" s="2853">
        <v>15</v>
      </c>
    </row>
    <row r="132" spans="1:6" ht="13.5">
      <c r="A132" s="2853">
        <v>60</v>
      </c>
      <c r="B132" s="3471" t="s">
        <v>2771</v>
      </c>
      <c r="C132" s="2853" t="s">
        <v>2772</v>
      </c>
      <c r="D132" s="2827" t="s">
        <v>2773</v>
      </c>
      <c r="E132" s="2853">
        <v>0.1</v>
      </c>
      <c r="F132" s="2853">
        <v>15</v>
      </c>
    </row>
    <row r="133" spans="1:6" ht="13.5">
      <c r="A133" s="2853">
        <v>61</v>
      </c>
      <c r="B133" s="3472"/>
      <c r="C133" s="2853" t="s">
        <v>2774</v>
      </c>
      <c r="D133" s="2827" t="s">
        <v>2775</v>
      </c>
      <c r="E133" s="2853">
        <v>0.1</v>
      </c>
      <c r="F133" s="2853">
        <v>15</v>
      </c>
    </row>
    <row r="134" spans="1:6" ht="24">
      <c r="A134" s="2853">
        <v>62</v>
      </c>
      <c r="B134" s="2853" t="s">
        <v>2776</v>
      </c>
      <c r="C134" s="2853" t="s">
        <v>2777</v>
      </c>
      <c r="D134" s="2827" t="s">
        <v>2778</v>
      </c>
      <c r="E134" s="2853">
        <v>0.1</v>
      </c>
      <c r="F134" s="2853">
        <v>15</v>
      </c>
    </row>
    <row r="135" spans="1:6" ht="13.5">
      <c r="A135" s="2853">
        <v>63</v>
      </c>
      <c r="B135" s="3470" t="s">
        <v>2779</v>
      </c>
      <c r="C135" s="2853" t="s">
        <v>2780</v>
      </c>
      <c r="D135" s="2827" t="s">
        <v>2781</v>
      </c>
      <c r="E135" s="2853">
        <v>0.1</v>
      </c>
      <c r="F135" s="2853">
        <v>15</v>
      </c>
    </row>
    <row r="136" spans="1:6" ht="13.5">
      <c r="A136" s="2853">
        <v>64</v>
      </c>
      <c r="B136" s="3470"/>
      <c r="C136" s="2853" t="s">
        <v>2782</v>
      </c>
      <c r="D136" s="2827" t="s">
        <v>2783</v>
      </c>
      <c r="E136" s="2853">
        <v>0.1</v>
      </c>
      <c r="F136" s="2853">
        <v>15</v>
      </c>
    </row>
    <row r="137" spans="1:6" ht="13.5">
      <c r="A137" s="2853">
        <v>65</v>
      </c>
      <c r="B137" s="2853" t="s">
        <v>2784</v>
      </c>
      <c r="C137" s="2853" t="s">
        <v>2785</v>
      </c>
      <c r="D137" s="2827" t="s">
        <v>2786</v>
      </c>
      <c r="E137" s="2853">
        <v>0.1</v>
      </c>
      <c r="F137" s="2853">
        <v>15</v>
      </c>
    </row>
    <row r="138" spans="1:6" ht="13.5">
      <c r="A138" s="2853"/>
      <c r="B138" s="2853"/>
      <c r="C138" s="2853"/>
      <c r="D138" s="2853"/>
      <c r="E138" s="2853" t="s">
        <v>2787</v>
      </c>
      <c r="F138" s="2853"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2788</v>
      </c>
      <c r="B1" s="2861"/>
      <c r="C1" s="2861"/>
      <c r="D1" s="2861"/>
      <c r="E1" s="2861"/>
      <c r="F1" s="2861"/>
      <c r="G1" s="2861"/>
      <c r="H1" s="2861"/>
      <c r="I1" s="2861"/>
      <c r="J1" s="2861"/>
      <c r="K1" s="2861"/>
      <c r="L1" s="2861"/>
      <c r="M1" s="2861"/>
      <c r="N1" s="707"/>
    </row>
    <row r="2" spans="1:20">
      <c r="A2" s="2862" t="s">
        <v>2789</v>
      </c>
      <c r="B2" s="2863" t="s">
        <v>2585</v>
      </c>
      <c r="C2" s="2863" t="s">
        <v>2586</v>
      </c>
      <c r="D2" s="2863" t="s">
        <v>2587</v>
      </c>
      <c r="E2" s="2863" t="s">
        <v>2588</v>
      </c>
      <c r="F2" s="2863" t="s">
        <v>2589</v>
      </c>
      <c r="G2" s="2863" t="s">
        <v>2590</v>
      </c>
      <c r="H2" s="2864" t="s">
        <v>2591</v>
      </c>
      <c r="I2" s="2864" t="s">
        <v>2592</v>
      </c>
      <c r="J2" s="2865" t="s">
        <v>2593</v>
      </c>
      <c r="K2" s="2865" t="s">
        <v>2594</v>
      </c>
      <c r="L2" s="2865" t="s">
        <v>2595</v>
      </c>
      <c r="M2" s="2866" t="s">
        <v>2596</v>
      </c>
      <c r="Q2" s="2876" t="s">
        <v>2794</v>
      </c>
      <c r="R2" s="2876" t="s">
        <v>2795</v>
      </c>
      <c r="S2" s="2876" t="s">
        <v>2796</v>
      </c>
      <c r="T2" s="2876" t="s">
        <v>2797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2790</v>
      </c>
      <c r="B93" s="2861"/>
      <c r="C93" s="2861"/>
      <c r="D93" s="2861"/>
      <c r="E93" s="2861"/>
      <c r="F93" s="2861"/>
      <c r="G93" s="2861"/>
      <c r="H93" s="2861"/>
      <c r="I93" s="2861"/>
      <c r="J93" s="2861"/>
      <c r="K93" s="2861"/>
      <c r="L93" s="2861"/>
      <c r="M93" s="2861"/>
    </row>
    <row r="94" spans="1:20">
      <c r="A94" s="2862" t="s">
        <v>2789</v>
      </c>
      <c r="B94" s="2863" t="s">
        <v>2585</v>
      </c>
      <c r="C94" s="2863" t="s">
        <v>2586</v>
      </c>
      <c r="D94" s="2863" t="s">
        <v>2587</v>
      </c>
      <c r="E94" s="2863" t="s">
        <v>2588</v>
      </c>
      <c r="F94" s="2863" t="s">
        <v>2589</v>
      </c>
      <c r="G94" s="2863" t="s">
        <v>2590</v>
      </c>
      <c r="H94" s="2864" t="s">
        <v>2591</v>
      </c>
      <c r="I94" s="2864" t="s">
        <v>2592</v>
      </c>
      <c r="J94" s="2865" t="s">
        <v>2593</v>
      </c>
      <c r="K94" s="2865" t="s">
        <v>2594</v>
      </c>
      <c r="L94" s="2865" t="s">
        <v>2595</v>
      </c>
      <c r="M94" s="2866" t="s">
        <v>2596</v>
      </c>
      <c r="N94">
        <f>SUMPRODUCT((A95:A184=ROUNDDOWN(基准地价修正!G3,1))*(B94:M94=基准地价修正!G2)*(B95:M184))</f>
        <v>1.2008000000000001</v>
      </c>
      <c r="Q94" s="2876" t="s">
        <v>2794</v>
      </c>
      <c r="R94" s="2876" t="s">
        <v>2795</v>
      </c>
      <c r="S94" s="2876" t="s">
        <v>2796</v>
      </c>
      <c r="T94" s="2876" t="s">
        <v>2797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2791</v>
      </c>
      <c r="B185" s="2861"/>
      <c r="C185" s="2861"/>
      <c r="D185" s="2861"/>
      <c r="E185" s="2861"/>
      <c r="F185" s="2861"/>
      <c r="G185" s="2861"/>
      <c r="H185" s="2861"/>
      <c r="I185" s="2861"/>
      <c r="J185" s="2861"/>
      <c r="K185" s="2861"/>
      <c r="L185" s="2861"/>
      <c r="M185" s="2861"/>
    </row>
    <row r="186" spans="1:20">
      <c r="A186" s="2862" t="s">
        <v>2789</v>
      </c>
      <c r="B186" s="2863" t="s">
        <v>2585</v>
      </c>
      <c r="C186" s="2863" t="s">
        <v>2586</v>
      </c>
      <c r="D186" s="2863" t="s">
        <v>2587</v>
      </c>
      <c r="E186" s="2863" t="s">
        <v>2588</v>
      </c>
      <c r="F186" s="2863" t="s">
        <v>2589</v>
      </c>
      <c r="G186" s="2863" t="s">
        <v>2590</v>
      </c>
      <c r="H186" s="2864" t="s">
        <v>2591</v>
      </c>
      <c r="I186" s="2864" t="s">
        <v>2592</v>
      </c>
      <c r="J186" s="2865" t="s">
        <v>2593</v>
      </c>
      <c r="K186" s="2865" t="s">
        <v>2594</v>
      </c>
      <c r="L186" s="2865" t="s">
        <v>2595</v>
      </c>
      <c r="M186" s="2866" t="s">
        <v>2596</v>
      </c>
      <c r="Q186" s="2876" t="s">
        <v>2794</v>
      </c>
      <c r="R186" s="2876" t="s">
        <v>2795</v>
      </c>
      <c r="S186" s="2876" t="s">
        <v>2796</v>
      </c>
      <c r="T186" s="2876" t="s">
        <v>2797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2792</v>
      </c>
      <c r="B277" s="2861"/>
      <c r="C277" s="2861"/>
      <c r="D277" s="2861"/>
      <c r="E277" s="2861"/>
      <c r="F277" s="2861"/>
      <c r="G277" s="2861"/>
      <c r="H277" s="2861"/>
      <c r="I277" s="2861"/>
      <c r="J277" s="2861"/>
      <c r="K277" s="2861"/>
      <c r="L277" s="2861"/>
      <c r="M277" s="2861"/>
    </row>
    <row r="278" spans="1:21">
      <c r="A278" s="2862" t="s">
        <v>2789</v>
      </c>
      <c r="B278" s="2863" t="s">
        <v>2585</v>
      </c>
      <c r="C278" s="2863" t="s">
        <v>2586</v>
      </c>
      <c r="D278" s="2863" t="s">
        <v>2587</v>
      </c>
      <c r="E278" s="2863" t="s">
        <v>2588</v>
      </c>
      <c r="F278" s="2863" t="s">
        <v>2589</v>
      </c>
      <c r="G278" s="2863" t="s">
        <v>2590</v>
      </c>
      <c r="H278" s="2864" t="s">
        <v>2591</v>
      </c>
      <c r="I278" s="2864" t="s">
        <v>2592</v>
      </c>
      <c r="J278" s="2865" t="s">
        <v>2593</v>
      </c>
      <c r="K278" s="2865" t="s">
        <v>2594</v>
      </c>
      <c r="L278" s="2865" t="s">
        <v>2595</v>
      </c>
      <c r="M278" s="2866" t="s">
        <v>2596</v>
      </c>
      <c r="Q278" s="2876" t="s">
        <v>2794</v>
      </c>
      <c r="R278" s="2876" t="s">
        <v>2795</v>
      </c>
      <c r="S278" s="2876" t="s">
        <v>2798</v>
      </c>
      <c r="T278" s="2876" t="s">
        <v>2799</v>
      </c>
      <c r="U278" s="2876" t="s">
        <v>2797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2793</v>
      </c>
      <c r="B369" s="2874"/>
      <c r="C369" s="2874"/>
      <c r="D369" s="2874"/>
      <c r="E369" s="2874"/>
      <c r="F369" s="2874"/>
      <c r="G369" s="2874"/>
      <c r="H369" s="2874"/>
      <c r="I369" s="2874"/>
      <c r="J369" s="2874"/>
      <c r="K369" s="2874"/>
      <c r="L369" s="2874"/>
      <c r="M369" s="2874"/>
    </row>
    <row r="370" spans="1:20">
      <c r="A370" s="2862" t="s">
        <v>2789</v>
      </c>
      <c r="B370" s="2863" t="s">
        <v>2585</v>
      </c>
      <c r="C370" s="2863" t="s">
        <v>2586</v>
      </c>
      <c r="D370" s="2863" t="s">
        <v>2587</v>
      </c>
      <c r="E370" s="2863" t="s">
        <v>2588</v>
      </c>
      <c r="F370" s="2863" t="s">
        <v>2589</v>
      </c>
      <c r="G370" s="2863" t="s">
        <v>2590</v>
      </c>
      <c r="H370" s="2864" t="s">
        <v>2591</v>
      </c>
      <c r="I370" s="2864" t="s">
        <v>2592</v>
      </c>
      <c r="J370" s="2865" t="s">
        <v>2593</v>
      </c>
      <c r="K370" s="2865" t="s">
        <v>2594</v>
      </c>
      <c r="L370" s="2865" t="s">
        <v>2595</v>
      </c>
      <c r="M370" s="2866" t="s">
        <v>2596</v>
      </c>
      <c r="N370">
        <f>SUMPRODUCT((A371:A460=ROUNDDOWN(基准地价修正!G3,1))*(B370:M370=基准地价修正!G2)*(B371:M460))</f>
        <v>1.0931</v>
      </c>
      <c r="Q370" s="2876" t="s">
        <v>2794</v>
      </c>
      <c r="R370" s="2876" t="s">
        <v>2795</v>
      </c>
      <c r="S370" s="2876" t="s">
        <v>2796</v>
      </c>
      <c r="T370" s="2876" t="s">
        <v>2797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391"/>
      <c r="B4" s="3165" t="s">
        <v>917</v>
      </c>
      <c r="C4" s="3165"/>
      <c r="D4" s="3165"/>
      <c r="E4" s="1391"/>
    </row>
    <row r="5" spans="1:5" ht="16.5" thickTop="1">
      <c r="B5" s="3163" t="s">
        <v>909</v>
      </c>
      <c r="C5" s="1392" t="s">
        <v>910</v>
      </c>
      <c r="D5" s="797">
        <f ca="1">结果表!H101</f>
        <v>11999</v>
      </c>
    </row>
    <row r="6" spans="1:5" ht="15.75">
      <c r="B6" s="3163"/>
      <c r="C6" s="1392" t="s">
        <v>911</v>
      </c>
      <c r="D6" s="797" t="str">
        <f ca="1">NUMBERSTRING(INT(D5*10000),2)&amp;"元整"</f>
        <v>壹亿壹仟玖佰玖拾玖万元整</v>
      </c>
    </row>
    <row r="7" spans="1:5" ht="15.75">
      <c r="B7" s="3168"/>
      <c r="C7" s="1393" t="s">
        <v>912</v>
      </c>
      <c r="D7" s="798">
        <f ca="1">结果表!H102</f>
        <v>13191</v>
      </c>
    </row>
    <row r="8" spans="1:5" ht="15.75">
      <c r="B8" s="3169" t="str">
        <f>结果表!E103</f>
        <v>2.估价师知悉的法定优先受偿款</v>
      </c>
      <c r="C8" s="1394" t="s">
        <v>913</v>
      </c>
      <c r="D8" s="798">
        <f>结果表!H103</f>
        <v>0</v>
      </c>
    </row>
    <row r="9" spans="1:5" ht="15.75">
      <c r="B9" s="317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2" t="str">
        <f>结果表!E107</f>
        <v>3.房地产抵押价值</v>
      </c>
      <c r="C13" s="1397" t="s">
        <v>910</v>
      </c>
      <c r="D13" s="800">
        <f ca="1">结果表!H107</f>
        <v>11999</v>
      </c>
    </row>
    <row r="14" spans="1:5" ht="15.75">
      <c r="B14" s="3163"/>
      <c r="C14" s="1392" t="s">
        <v>911</v>
      </c>
      <c r="D14" s="797" t="str">
        <f ca="1">NUMBERSTRING(INT(D13*10000),2)&amp;"元整"</f>
        <v>壹亿壹仟玖佰玖拾玖万元整</v>
      </c>
    </row>
    <row r="15" spans="1:5" ht="15">
      <c r="B15" s="3168"/>
      <c r="C15" s="1393" t="s">
        <v>921</v>
      </c>
      <c r="D15" s="806">
        <f ca="1">结果表!H108</f>
        <v>13191</v>
      </c>
    </row>
    <row r="16" spans="1:5" ht="15">
      <c r="B16" s="3169" t="str">
        <f>结果表!E109</f>
        <v>——</v>
      </c>
      <c r="C16" s="1397" t="s">
        <v>922</v>
      </c>
      <c r="D16" s="1398" t="str">
        <f>结果表!H109</f>
        <v>——</v>
      </c>
    </row>
    <row r="17" spans="1:5" ht="15.75">
      <c r="B17" s="3170"/>
      <c r="C17" s="1392" t="s">
        <v>923</v>
      </c>
      <c r="D17" s="797" t="e">
        <f>NUMBERSTRING(INT(D16*10000),2)&amp;"元整"</f>
        <v>#VALUE!</v>
      </c>
    </row>
    <row r="18" spans="1:5" ht="15">
      <c r="B18" s="3171"/>
      <c r="C18" s="1393" t="s">
        <v>912</v>
      </c>
      <c r="D18" s="806" t="str">
        <f>结果表!H110</f>
        <v>——</v>
      </c>
    </row>
    <row r="19" spans="1:5" ht="15.75">
      <c r="B19" s="3162" t="str">
        <f>结果表!E111</f>
        <v>——</v>
      </c>
      <c r="C19" s="1397" t="s">
        <v>910</v>
      </c>
      <c r="D19" s="798" t="str">
        <f>结果表!H111</f>
        <v>——</v>
      </c>
    </row>
    <row r="20" spans="1:5" ht="15.75">
      <c r="B20" s="3163"/>
      <c r="C20" s="1392" t="s">
        <v>923</v>
      </c>
      <c r="D20" s="797" t="e">
        <f>NUMBERSTRING(INT(D19*10000),2)&amp;"元整"</f>
        <v>#VALUE!</v>
      </c>
    </row>
    <row r="21" spans="1:5" ht="15.75" thickBot="1">
      <c r="B21" s="316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33038</v>
      </c>
      <c r="C2" s="2" t="s">
        <v>106</v>
      </c>
      <c r="D2" s="191"/>
      <c r="E2" s="191"/>
      <c r="F2" s="191"/>
      <c r="G2" s="191"/>
    </row>
    <row r="3" spans="1:7" s="192" customFormat="1" ht="18" customHeight="1" thickBot="1">
      <c r="A3" s="195" t="s">
        <v>58</v>
      </c>
      <c r="B3" s="196">
        <f ca="1">ROUND(B2*10000/'数据-汇总表'!E3,0)</f>
        <v>36320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182</v>
      </c>
      <c r="D10" s="795">
        <f>'数据-汇总表'!E6</f>
        <v>9096.41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182</v>
      </c>
      <c r="D19" s="204">
        <f>'数据-汇总表'!E3</f>
        <v>9096.41</v>
      </c>
      <c r="E19" s="203">
        <f>'数据-取费表'!B31</f>
        <v>200</v>
      </c>
      <c r="F19" s="223"/>
      <c r="G19" s="1" t="s">
        <v>436</v>
      </c>
    </row>
    <row r="20" spans="1:7" s="206" customFormat="1" ht="13.5" customHeight="1">
      <c r="A20" s="731" t="s">
        <v>419</v>
      </c>
      <c r="B20" s="202" t="s">
        <v>77</v>
      </c>
      <c r="C20" s="224">
        <f>ROUND((C5+C19)*F20,0)</f>
        <v>624</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1482</v>
      </c>
      <c r="D22" s="227">
        <f ca="1">C26</f>
        <v>1E-3</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13</v>
      </c>
      <c r="D24" s="230"/>
      <c r="E24" s="230"/>
      <c r="F24" s="231"/>
      <c r="G24" s="232" t="s">
        <v>82</v>
      </c>
    </row>
    <row r="25" spans="1:7" s="206" customFormat="1" ht="24">
      <c r="A25" s="734" t="s">
        <v>348</v>
      </c>
      <c r="B25" s="207" t="s">
        <v>420</v>
      </c>
      <c r="C25" s="1042">
        <f ca="1">ROUND(IF('数据-取费表'!B22&lt;=1,C20*F22*'数据-取费表'!B23/2,C20*(POWER((1+F22),'数据-取费表'!B23/2)-1)),0)</f>
        <v>22</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3212</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3212</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28626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3881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3457</v>
      </c>
      <c r="D34" s="209"/>
      <c r="E34" s="212"/>
      <c r="F34" s="249">
        <f>IF('数据-取费表'!B24=0,1,'数据-取费表'!N16)</f>
        <v>1</v>
      </c>
      <c r="G34" s="211" t="s">
        <v>89</v>
      </c>
    </row>
    <row r="35" spans="1:7" ht="13.5" customHeight="1">
      <c r="A35" s="734" t="s">
        <v>351</v>
      </c>
      <c r="B35" s="207" t="s">
        <v>33</v>
      </c>
      <c r="C35" s="212">
        <f>ROUND(C34*F35,0)</f>
        <v>173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182</v>
      </c>
      <c r="D37" s="209">
        <f>'数据-汇总表'!E3</f>
        <v>9096.41</v>
      </c>
      <c r="E37" s="241">
        <f>'数据-取费表'!B35</f>
        <v>200</v>
      </c>
      <c r="F37" s="251"/>
      <c r="G37" s="253" t="s">
        <v>92</v>
      </c>
    </row>
    <row r="38" spans="1:7" ht="13.5" customHeight="1">
      <c r="A38" s="734" t="s">
        <v>354</v>
      </c>
      <c r="B38" s="207" t="s">
        <v>36</v>
      </c>
      <c r="C38" s="212">
        <f>ROUND(C34*F38,0)</f>
        <v>69</v>
      </c>
      <c r="D38" s="212"/>
      <c r="E38" s="212"/>
      <c r="F38" s="251">
        <f>'数据-取费表'!B36</f>
        <v>0.02</v>
      </c>
      <c r="G38" s="211" t="s">
        <v>90</v>
      </c>
    </row>
    <row r="39" spans="1:7" s="206" customFormat="1" ht="13.5" customHeight="1">
      <c r="A39" s="731" t="s">
        <v>338</v>
      </c>
      <c r="B39" s="202" t="s">
        <v>77</v>
      </c>
      <c r="C39" s="224">
        <f>ROUND(C33*F20,0)</f>
        <v>116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138</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134</v>
      </c>
      <c r="D42" s="230"/>
      <c r="E42" s="230"/>
      <c r="F42" s="231"/>
      <c r="G42" s="3390" t="s">
        <v>94</v>
      </c>
    </row>
    <row r="43" spans="1:7" ht="13.5" customHeight="1">
      <c r="A43" s="734" t="s">
        <v>347</v>
      </c>
      <c r="B43" s="207" t="s">
        <v>426</v>
      </c>
      <c r="C43" s="230">
        <f ca="1">ROUND(IF('数据-取费表'!B22&lt;=1,C39*F22*'数据-取费表'!B21/2,C39*(POWER((1+F22),'数据-取费表'!B21/2)-1)),0)</f>
        <v>4</v>
      </c>
      <c r="D43" s="230"/>
      <c r="E43" s="230"/>
      <c r="F43" s="231"/>
      <c r="G43" s="3391"/>
    </row>
    <row r="44" spans="1:7" ht="13.5" customHeight="1">
      <c r="A44" s="734" t="s">
        <v>348</v>
      </c>
      <c r="B44" s="207" t="s">
        <v>428</v>
      </c>
      <c r="C44" s="230">
        <f ca="1">ROUND(IF('数据-取费表'!B22&lt;=1,C40*F22*'数据-取费表'!B21/2,C40*(POWER((1+F22),'数据-取费表'!B21/2)-1)),4)</f>
        <v>1E-3</v>
      </c>
      <c r="D44" s="230"/>
      <c r="E44" s="230"/>
      <c r="F44" s="231"/>
      <c r="G44" s="3392"/>
    </row>
    <row r="45" spans="1:7" s="206" customFormat="1" ht="13.5" customHeight="1">
      <c r="A45" s="731" t="s">
        <v>341</v>
      </c>
      <c r="B45" s="236" t="s">
        <v>85</v>
      </c>
      <c r="C45" s="237">
        <f>C46</f>
        <v>600</v>
      </c>
      <c r="D45" s="227">
        <f>C47</f>
        <v>4.4999999999999997E-3</v>
      </c>
      <c r="E45" s="228" t="s">
        <v>102</v>
      </c>
      <c r="F45" s="238"/>
      <c r="G45" s="239" t="s">
        <v>434</v>
      </c>
    </row>
    <row r="46" spans="1:7" s="206" customFormat="1" ht="13.5" customHeight="1">
      <c r="A46" s="734" t="s">
        <v>349</v>
      </c>
      <c r="B46" s="240" t="s">
        <v>427</v>
      </c>
      <c r="C46" s="241">
        <f>ROUND((C33+C39)*F27,0)</f>
        <v>600</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5191</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4412</v>
      </c>
      <c r="D51" s="224"/>
      <c r="E51" s="224"/>
      <c r="F51" s="256"/>
      <c r="G51" s="226" t="s">
        <v>37</v>
      </c>
    </row>
    <row r="52" spans="1:7" s="200" customFormat="1" ht="16.5" thickBot="1">
      <c r="A52" s="257" t="s">
        <v>38</v>
      </c>
      <c r="B52" s="258"/>
      <c r="C52" s="259">
        <f ca="1">C31+C51</f>
        <v>33038</v>
      </c>
      <c r="D52" s="258"/>
      <c r="E52" s="258"/>
      <c r="F52" s="258"/>
      <c r="G52" s="260"/>
    </row>
    <row r="55" spans="1:7" ht="15">
      <c r="B55" s="262" t="s">
        <v>39</v>
      </c>
      <c r="C55" s="263"/>
    </row>
    <row r="56" spans="1:7">
      <c r="B56" s="265" t="s">
        <v>40</v>
      </c>
      <c r="C56" s="266">
        <f ca="1">ROUND(C51/C52,3)</f>
        <v>0.13400000000000001</v>
      </c>
    </row>
    <row r="57" spans="1:7">
      <c r="B57" s="265" t="s">
        <v>41</v>
      </c>
      <c r="C57" s="267">
        <f ca="1">1-C56</f>
        <v>0.86599999999999999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84" t="s">
        <v>2829</v>
      </c>
      <c r="B1" s="3484"/>
      <c r="C1" s="3484"/>
      <c r="D1" s="3484"/>
      <c r="E1" s="3484"/>
      <c r="F1" s="3484"/>
      <c r="G1" s="3485"/>
      <c r="I1" s="2934" t="s">
        <v>2830</v>
      </c>
      <c r="J1" s="2935" t="s">
        <v>2831</v>
      </c>
      <c r="K1" s="2935" t="s">
        <v>2832</v>
      </c>
      <c r="L1" s="2935" t="s">
        <v>2833</v>
      </c>
      <c r="M1" s="2935" t="s">
        <v>2834</v>
      </c>
      <c r="N1" s="2935" t="s">
        <v>2835</v>
      </c>
      <c r="O1" s="2935" t="s">
        <v>2836</v>
      </c>
      <c r="P1" s="2935" t="s">
        <v>2837</v>
      </c>
      <c r="Q1" s="2935" t="s">
        <v>2838</v>
      </c>
      <c r="R1" s="2935" t="s">
        <v>2839</v>
      </c>
      <c r="S1" s="2935" t="s">
        <v>2840</v>
      </c>
      <c r="T1" s="2936" t="s">
        <v>2841</v>
      </c>
    </row>
    <row r="2" spans="1:20" ht="12" thickBot="1">
      <c r="A2" s="2937" t="s">
        <v>2842</v>
      </c>
      <c r="B2" s="2937"/>
      <c r="C2" s="2937"/>
      <c r="D2" s="2937"/>
      <c r="E2" s="2937"/>
      <c r="F2" s="2937"/>
      <c r="G2" s="2938" t="s">
        <v>2843</v>
      </c>
      <c r="I2" s="2939" t="s">
        <v>2844</v>
      </c>
      <c r="J2" s="2939" t="s">
        <v>2845</v>
      </c>
      <c r="K2" s="2939" t="s">
        <v>2846</v>
      </c>
      <c r="L2" s="2939" t="s">
        <v>2847</v>
      </c>
      <c r="M2" s="2939" t="s">
        <v>2848</v>
      </c>
      <c r="N2" s="2939" t="s">
        <v>2849</v>
      </c>
      <c r="O2" s="2939" t="s">
        <v>2850</v>
      </c>
      <c r="P2" s="2939" t="s">
        <v>2851</v>
      </c>
      <c r="Q2" s="2939" t="s">
        <v>2852</v>
      </c>
      <c r="R2" s="2939" t="s">
        <v>2853</v>
      </c>
      <c r="S2" s="2939" t="s">
        <v>2854</v>
      </c>
      <c r="T2" s="2939" t="s">
        <v>2855</v>
      </c>
    </row>
    <row r="3" spans="1:20" s="2945" customFormat="1">
      <c r="A3" s="3482" t="s">
        <v>2856</v>
      </c>
      <c r="B3" s="2940"/>
      <c r="C3" s="2941" t="s">
        <v>2801</v>
      </c>
      <c r="D3" s="2941" t="s">
        <v>2857</v>
      </c>
      <c r="E3" s="2941" t="s">
        <v>2803</v>
      </c>
      <c r="F3" s="2941" t="s">
        <v>2858</v>
      </c>
      <c r="G3" s="2941" t="s">
        <v>2621</v>
      </c>
      <c r="H3" s="2942"/>
      <c r="I3" s="2943" t="s">
        <v>2859</v>
      </c>
      <c r="J3" s="2944" t="s">
        <v>128</v>
      </c>
      <c r="K3" s="2944" t="s">
        <v>129</v>
      </c>
      <c r="L3" s="2943" t="s">
        <v>130</v>
      </c>
      <c r="M3" s="2943" t="s">
        <v>131</v>
      </c>
      <c r="N3" s="2943" t="s">
        <v>132</v>
      </c>
      <c r="O3" s="2943" t="s">
        <v>133</v>
      </c>
      <c r="P3" s="2943" t="s">
        <v>134</v>
      </c>
      <c r="Q3" s="2943" t="s">
        <v>135</v>
      </c>
      <c r="R3" s="2943" t="s">
        <v>136</v>
      </c>
      <c r="S3" s="2943" t="s">
        <v>2860</v>
      </c>
      <c r="T3" s="2943" t="s">
        <v>2861</v>
      </c>
    </row>
    <row r="4" spans="1:20" s="2945" customFormat="1" ht="12" thickBot="1">
      <c r="A4" s="3483"/>
      <c r="B4" s="2946" t="s">
        <v>2862</v>
      </c>
      <c r="C4" s="2946" t="s">
        <v>2863</v>
      </c>
      <c r="D4" s="2946" t="s">
        <v>2863</v>
      </c>
      <c r="E4" s="2946" t="s">
        <v>2863</v>
      </c>
      <c r="F4" s="2947" t="s">
        <v>2863</v>
      </c>
      <c r="G4" s="2947" t="s">
        <v>2863</v>
      </c>
      <c r="H4" s="2942"/>
      <c r="I4" s="2944" t="s">
        <v>137</v>
      </c>
      <c r="J4" s="2944" t="s">
        <v>111</v>
      </c>
      <c r="K4" s="2944" t="s">
        <v>138</v>
      </c>
      <c r="L4" s="2943" t="s">
        <v>139</v>
      </c>
      <c r="M4" s="2943" t="s">
        <v>140</v>
      </c>
      <c r="N4" s="2943" t="s">
        <v>141</v>
      </c>
      <c r="O4" s="2943" t="s">
        <v>142</v>
      </c>
      <c r="P4" s="2943" t="s">
        <v>143</v>
      </c>
      <c r="Q4" s="2943" t="s">
        <v>2864</v>
      </c>
      <c r="R4" s="2943" t="s">
        <v>2865</v>
      </c>
      <c r="S4" s="2943" t="s">
        <v>2866</v>
      </c>
      <c r="T4" s="2943" t="s">
        <v>2867</v>
      </c>
    </row>
    <row r="5" spans="1:20">
      <c r="A5" s="2948" t="s">
        <v>2830</v>
      </c>
      <c r="B5" s="2939" t="s">
        <v>2844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2868</v>
      </c>
      <c r="R5" s="2943" t="s">
        <v>2869</v>
      </c>
      <c r="S5" s="2943" t="s">
        <v>153</v>
      </c>
      <c r="T5" s="2943" t="s">
        <v>2870</v>
      </c>
    </row>
    <row r="6" spans="1:20" ht="12" thickBot="1">
      <c r="A6" s="2943" t="s">
        <v>144</v>
      </c>
      <c r="B6" s="2943" t="s">
        <v>2859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2871</v>
      </c>
      <c r="Q6" s="2943" t="s">
        <v>2872</v>
      </c>
      <c r="R6" s="2943" t="s">
        <v>161</v>
      </c>
      <c r="S6" s="2943" t="s">
        <v>2873</v>
      </c>
      <c r="T6" s="2943" t="s">
        <v>2874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2875</v>
      </c>
      <c r="Q7" s="2943" t="s">
        <v>2876</v>
      </c>
      <c r="R7" s="2943" t="s">
        <v>2877</v>
      </c>
      <c r="S7" s="2943" t="s">
        <v>2878</v>
      </c>
      <c r="T7" s="2943" t="s">
        <v>2879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2880</v>
      </c>
      <c r="Q8" s="2943" t="s">
        <v>174</v>
      </c>
      <c r="R8" s="2943" t="s">
        <v>2881</v>
      </c>
      <c r="S8" s="2943" t="s">
        <v>2882</v>
      </c>
      <c r="T8" s="2950" t="s">
        <v>2883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2884</v>
      </c>
      <c r="Q9" s="2943" t="s">
        <v>182</v>
      </c>
      <c r="R9" s="2943" t="s">
        <v>183</v>
      </c>
      <c r="S9" s="2943" t="s">
        <v>200</v>
      </c>
    </row>
    <row r="10" spans="1:20">
      <c r="A10" s="2948" t="s">
        <v>184</v>
      </c>
      <c r="B10" s="2939" t="s">
        <v>2845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2886</v>
      </c>
      <c r="P11" s="2943" t="s">
        <v>191</v>
      </c>
      <c r="Q11" s="2943" t="s">
        <v>199</v>
      </c>
      <c r="R11" s="2943" t="s">
        <v>2887</v>
      </c>
      <c r="S11" s="2943" t="s">
        <v>2888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2889</v>
      </c>
      <c r="P12" s="2943" t="s">
        <v>2890</v>
      </c>
      <c r="Q12" s="2943" t="s">
        <v>2891</v>
      </c>
      <c r="R12" s="2943" t="s">
        <v>2892</v>
      </c>
      <c r="S12" s="2943" t="s">
        <v>2893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2895</v>
      </c>
      <c r="K14" s="2944" t="s">
        <v>215</v>
      </c>
      <c r="L14" s="2943" t="s">
        <v>216</v>
      </c>
      <c r="M14" s="2943" t="s">
        <v>217</v>
      </c>
      <c r="N14" s="2943" t="s">
        <v>218</v>
      </c>
      <c r="O14" s="2943" t="s">
        <v>240</v>
      </c>
      <c r="P14" s="2943" t="s">
        <v>213</v>
      </c>
      <c r="Q14" s="2943" t="s">
        <v>2896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2897</v>
      </c>
      <c r="P15" s="2943" t="s">
        <v>2898</v>
      </c>
      <c r="Q15" s="2943" t="s">
        <v>242</v>
      </c>
      <c r="R15" s="2943" t="s">
        <v>2899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2900</v>
      </c>
      <c r="P16" s="2943" t="s">
        <v>227</v>
      </c>
      <c r="Q16" s="2943" t="s">
        <v>250</v>
      </c>
      <c r="R16" s="2943" t="s">
        <v>207</v>
      </c>
      <c r="S16" s="2943" t="s">
        <v>2901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2902</v>
      </c>
      <c r="P17" s="2943" t="s">
        <v>2903</v>
      </c>
      <c r="Q17" s="2943" t="s">
        <v>256</v>
      </c>
      <c r="R17" s="2943" t="s">
        <v>2904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2905</v>
      </c>
      <c r="P18" s="2943" t="s">
        <v>241</v>
      </c>
      <c r="Q18" s="2943" t="s">
        <v>2906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2907</v>
      </c>
      <c r="P19" s="2943" t="s">
        <v>249</v>
      </c>
      <c r="Q19" s="2943" t="s">
        <v>2908</v>
      </c>
      <c r="R19" s="2943" t="s">
        <v>265</v>
      </c>
      <c r="S19" s="2943" t="s">
        <v>2909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2910</v>
      </c>
      <c r="P20" s="2943" t="s">
        <v>2911</v>
      </c>
      <c r="Q20" s="2943" t="s">
        <v>290</v>
      </c>
      <c r="R20" s="2943" t="s">
        <v>2912</v>
      </c>
      <c r="S20" s="2943" t="s">
        <v>277</v>
      </c>
    </row>
    <row r="21" spans="1:19" ht="14.25" customHeight="1" thickBot="1">
      <c r="A21" s="2943" t="s">
        <v>184</v>
      </c>
      <c r="B21" s="2944" t="s">
        <v>208</v>
      </c>
      <c r="C21" s="2943">
        <v>32370</v>
      </c>
      <c r="D21" s="2943">
        <v>26730</v>
      </c>
      <c r="E21" s="2943">
        <v>26640</v>
      </c>
      <c r="F21" s="2943"/>
      <c r="G21" s="2943">
        <v>19440</v>
      </c>
      <c r="J21" s="2950" t="s">
        <v>2913</v>
      </c>
      <c r="K21" s="2944" t="s">
        <v>267</v>
      </c>
      <c r="L21" s="2943" t="s">
        <v>268</v>
      </c>
      <c r="M21" s="2943" t="s">
        <v>269</v>
      </c>
      <c r="N21" s="2943" t="s">
        <v>270</v>
      </c>
      <c r="O21" s="2943" t="s">
        <v>264</v>
      </c>
      <c r="P21" s="2943" t="s">
        <v>283</v>
      </c>
      <c r="Q21" s="2943" t="s">
        <v>293</v>
      </c>
      <c r="R21" s="2943" t="s">
        <v>2914</v>
      </c>
      <c r="S21" s="2950" t="s">
        <v>2915</v>
      </c>
    </row>
    <row r="22" spans="1:19" ht="14.25" customHeight="1">
      <c r="A22" s="2943" t="s">
        <v>184</v>
      </c>
      <c r="B22" s="2944" t="s">
        <v>2895</v>
      </c>
      <c r="C22" s="2943">
        <v>29830</v>
      </c>
      <c r="D22" s="2943">
        <v>27600</v>
      </c>
      <c r="E22" s="2943">
        <v>28150</v>
      </c>
      <c r="F22" s="2943"/>
      <c r="G22" s="2943">
        <v>20080</v>
      </c>
      <c r="K22" s="2944" t="s">
        <v>2916</v>
      </c>
      <c r="L22" s="2943" t="s">
        <v>272</v>
      </c>
      <c r="M22" s="2943" t="s">
        <v>273</v>
      </c>
      <c r="N22" s="2943" t="s">
        <v>274</v>
      </c>
      <c r="O22" s="2943" t="s">
        <v>2917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2918</v>
      </c>
      <c r="L23" s="2943" t="s">
        <v>278</v>
      </c>
      <c r="M23" s="2943" t="s">
        <v>279</v>
      </c>
      <c r="N23" s="2943" t="s">
        <v>2919</v>
      </c>
      <c r="O23" s="2943" t="s">
        <v>2920</v>
      </c>
      <c r="P23" s="2943" t="s">
        <v>289</v>
      </c>
      <c r="Q23" s="2943" t="s">
        <v>298</v>
      </c>
      <c r="R23" s="2943" t="s">
        <v>2921</v>
      </c>
    </row>
    <row r="24" spans="1:19" ht="14.25" customHeight="1">
      <c r="A24" s="2943" t="s">
        <v>184</v>
      </c>
      <c r="B24" s="2944" t="s">
        <v>230</v>
      </c>
      <c r="C24" s="2943">
        <v>27930</v>
      </c>
      <c r="D24" s="2943">
        <v>32260</v>
      </c>
      <c r="E24" s="2943">
        <v>32120</v>
      </c>
      <c r="F24" s="2943"/>
      <c r="G24" s="2943">
        <v>23470</v>
      </c>
      <c r="K24" s="2944" t="s">
        <v>2922</v>
      </c>
      <c r="L24" s="2943" t="s">
        <v>281</v>
      </c>
      <c r="M24" s="2943" t="s">
        <v>282</v>
      </c>
      <c r="N24" s="2943" t="s">
        <v>2923</v>
      </c>
      <c r="O24" s="2943" t="s">
        <v>285</v>
      </c>
      <c r="P24" s="2943" t="s">
        <v>2924</v>
      </c>
      <c r="Q24" s="2952" t="s">
        <v>2925</v>
      </c>
      <c r="R24" s="2943" t="s">
        <v>2926</v>
      </c>
    </row>
    <row r="25" spans="1:19" ht="14.25" customHeight="1">
      <c r="A25" s="2943" t="s">
        <v>184</v>
      </c>
      <c r="B25" s="2944" t="s">
        <v>235</v>
      </c>
      <c r="C25" s="2943">
        <v>32230</v>
      </c>
      <c r="D25" s="2943">
        <v>29640</v>
      </c>
      <c r="E25" s="2943">
        <v>29510</v>
      </c>
      <c r="F25" s="2943"/>
      <c r="G25" s="2943">
        <v>21560</v>
      </c>
      <c r="K25" s="2944" t="s">
        <v>2927</v>
      </c>
      <c r="L25" s="2943" t="s">
        <v>2928</v>
      </c>
      <c r="M25" s="2943" t="s">
        <v>284</v>
      </c>
      <c r="N25" s="2943" t="s">
        <v>292</v>
      </c>
      <c r="O25" s="2943" t="s">
        <v>288</v>
      </c>
      <c r="P25" s="2943" t="s">
        <v>275</v>
      </c>
      <c r="Q25" s="2952" t="s">
        <v>271</v>
      </c>
      <c r="R25" s="2943" t="s">
        <v>2929</v>
      </c>
    </row>
    <row r="26" spans="1:19" ht="14.25" customHeight="1" thickBot="1">
      <c r="A26" s="2943" t="s">
        <v>184</v>
      </c>
      <c r="B26" s="2944" t="s">
        <v>244</v>
      </c>
      <c r="C26" s="2943">
        <v>31690</v>
      </c>
      <c r="D26" s="2943">
        <v>27650</v>
      </c>
      <c r="E26" s="2943">
        <v>28200</v>
      </c>
      <c r="F26" s="2943"/>
      <c r="G26" s="2943">
        <v>20110</v>
      </c>
      <c r="K26" s="2949" t="s">
        <v>2930</v>
      </c>
      <c r="L26" s="2943" t="s">
        <v>2931</v>
      </c>
      <c r="M26" s="2943" t="s">
        <v>287</v>
      </c>
      <c r="N26" s="2943" t="s">
        <v>294</v>
      </c>
      <c r="O26" s="2943" t="s">
        <v>2932</v>
      </c>
      <c r="P26" s="2943" t="s">
        <v>2933</v>
      </c>
      <c r="Q26" s="2952" t="s">
        <v>276</v>
      </c>
      <c r="R26" s="2943" t="s">
        <v>2934</v>
      </c>
    </row>
    <row r="27" spans="1:19" ht="14.25" customHeight="1">
      <c r="A27" s="2943" t="s">
        <v>184</v>
      </c>
      <c r="B27" s="2944" t="s">
        <v>251</v>
      </c>
      <c r="C27" s="2943">
        <v>29610</v>
      </c>
      <c r="D27" s="2943">
        <v>27770</v>
      </c>
      <c r="E27" s="2943">
        <v>28300</v>
      </c>
      <c r="F27" s="2943"/>
      <c r="G27" s="2943">
        <v>20210</v>
      </c>
      <c r="L27" s="2943" t="s">
        <v>2935</v>
      </c>
      <c r="M27" s="2943" t="s">
        <v>291</v>
      </c>
      <c r="N27" s="2943" t="s">
        <v>297</v>
      </c>
      <c r="O27" s="2943" t="s">
        <v>2936</v>
      </c>
      <c r="P27" s="2943" t="s">
        <v>2937</v>
      </c>
      <c r="Q27" s="2943" t="s">
        <v>2938</v>
      </c>
      <c r="R27" s="2943" t="s">
        <v>2939</v>
      </c>
    </row>
    <row r="28" spans="1:19" ht="14.25" customHeight="1">
      <c r="A28" s="2943" t="s">
        <v>184</v>
      </c>
      <c r="B28" s="2944" t="s">
        <v>259</v>
      </c>
      <c r="C28" s="2943"/>
      <c r="D28" s="2943">
        <v>31520</v>
      </c>
      <c r="E28" s="2943">
        <v>31410</v>
      </c>
      <c r="F28" s="2943"/>
      <c r="G28" s="2943">
        <v>22940</v>
      </c>
      <c r="L28" s="2943" t="s">
        <v>2940</v>
      </c>
      <c r="M28" s="2943" t="s">
        <v>2941</v>
      </c>
      <c r="N28" s="2943" t="s">
        <v>2942</v>
      </c>
      <c r="O28" s="2943" t="s">
        <v>2943</v>
      </c>
      <c r="P28" s="2943" t="s">
        <v>2944</v>
      </c>
      <c r="Q28" s="2943" t="s">
        <v>2945</v>
      </c>
      <c r="R28" s="2943" t="s">
        <v>2946</v>
      </c>
    </row>
    <row r="29" spans="1:19" ht="14.25" customHeight="1" thickBot="1">
      <c r="A29" s="2951" t="s">
        <v>184</v>
      </c>
      <c r="B29" s="2953" t="s">
        <v>2913</v>
      </c>
      <c r="C29" s="2954"/>
      <c r="D29" s="2954">
        <v>29460</v>
      </c>
      <c r="E29" s="2954">
        <v>28640</v>
      </c>
      <c r="F29" s="2954"/>
      <c r="G29" s="2954">
        <v>21430</v>
      </c>
      <c r="L29" s="2943" t="s">
        <v>2947</v>
      </c>
      <c r="M29" s="2943" t="s">
        <v>2948</v>
      </c>
      <c r="N29" s="2943" t="s">
        <v>2949</v>
      </c>
      <c r="O29" s="2943" t="s">
        <v>2950</v>
      </c>
      <c r="P29" s="2943" t="s">
        <v>2951</v>
      </c>
      <c r="Q29" s="2943" t="s">
        <v>2952</v>
      </c>
      <c r="R29" s="2943" t="s">
        <v>280</v>
      </c>
    </row>
    <row r="30" spans="1:19" ht="14.25" customHeight="1">
      <c r="A30" s="2948" t="s">
        <v>296</v>
      </c>
      <c r="B30" s="2939" t="s">
        <v>2846</v>
      </c>
      <c r="C30" s="2939">
        <v>26890</v>
      </c>
      <c r="D30" s="2939">
        <v>26770</v>
      </c>
      <c r="E30" s="2939">
        <v>25700</v>
      </c>
      <c r="F30" s="2939">
        <v>8180</v>
      </c>
      <c r="G30" s="2955">
        <v>18740</v>
      </c>
      <c r="L30" s="2943" t="s">
        <v>2953</v>
      </c>
      <c r="M30" s="2943" t="s">
        <v>2954</v>
      </c>
      <c r="N30" s="2943" t="s">
        <v>2955</v>
      </c>
      <c r="O30" s="2943" t="s">
        <v>2956</v>
      </c>
      <c r="P30" s="2943" t="s">
        <v>2957</v>
      </c>
      <c r="Q30" s="2943" t="s">
        <v>2958</v>
      </c>
      <c r="R30" s="2943" t="s">
        <v>2959</v>
      </c>
    </row>
    <row r="31" spans="1:19" ht="14.25" customHeight="1">
      <c r="A31" s="2943" t="s">
        <v>296</v>
      </c>
      <c r="B31" s="2944" t="s">
        <v>129</v>
      </c>
      <c r="C31" s="2943">
        <v>24550</v>
      </c>
      <c r="D31" s="2943">
        <v>23990</v>
      </c>
      <c r="E31" s="2943">
        <v>22930</v>
      </c>
      <c r="F31" s="2943">
        <v>7470</v>
      </c>
      <c r="G31" s="2956">
        <v>16790</v>
      </c>
      <c r="L31" s="2943" t="s">
        <v>2960</v>
      </c>
      <c r="M31" s="2943" t="s">
        <v>2961</v>
      </c>
      <c r="N31" s="2943" t="s">
        <v>2962</v>
      </c>
      <c r="O31" s="2943" t="s">
        <v>2963</v>
      </c>
      <c r="P31" s="2943" t="s">
        <v>2964</v>
      </c>
      <c r="Q31" s="2943" t="s">
        <v>2965</v>
      </c>
      <c r="R31" s="2943" t="s">
        <v>2966</v>
      </c>
    </row>
    <row r="32" spans="1:19" ht="14.25" customHeight="1" thickBot="1">
      <c r="A32" s="2943" t="s">
        <v>296</v>
      </c>
      <c r="B32" s="2944" t="s">
        <v>138</v>
      </c>
      <c r="C32" s="2943">
        <v>27210</v>
      </c>
      <c r="D32" s="2943">
        <v>23240</v>
      </c>
      <c r="E32" s="2943">
        <v>23260</v>
      </c>
      <c r="F32" s="2943">
        <v>7130</v>
      </c>
      <c r="G32" s="2956">
        <v>16270</v>
      </c>
      <c r="L32" s="2943" t="s">
        <v>2967</v>
      </c>
      <c r="M32" s="2943" t="s">
        <v>2968</v>
      </c>
      <c r="N32" s="2943" t="s">
        <v>300</v>
      </c>
      <c r="O32" s="2943" t="s">
        <v>2969</v>
      </c>
      <c r="P32" s="2943" t="s">
        <v>299</v>
      </c>
      <c r="Q32" s="2943" t="s">
        <v>2970</v>
      </c>
      <c r="R32" s="2950" t="s">
        <v>2971</v>
      </c>
    </row>
    <row r="33" spans="1:17" ht="14.25" customHeight="1" thickBot="1">
      <c r="A33" s="2943" t="s">
        <v>296</v>
      </c>
      <c r="B33" s="2944" t="s">
        <v>147</v>
      </c>
      <c r="C33" s="2943">
        <v>27300</v>
      </c>
      <c r="D33" s="2943">
        <v>22980</v>
      </c>
      <c r="E33" s="2943">
        <v>24260</v>
      </c>
      <c r="F33" s="2943">
        <v>5860</v>
      </c>
      <c r="G33" s="2956">
        <v>16090</v>
      </c>
      <c r="L33" s="2950" t="s">
        <v>2972</v>
      </c>
      <c r="M33" s="2943" t="s">
        <v>2973</v>
      </c>
      <c r="N33" s="2943" t="s">
        <v>301</v>
      </c>
      <c r="O33" s="2943" t="s">
        <v>2974</v>
      </c>
      <c r="P33" s="2943" t="s">
        <v>2975</v>
      </c>
      <c r="Q33" s="2943" t="s">
        <v>2976</v>
      </c>
    </row>
    <row r="34" spans="1:17" ht="14.25" customHeight="1">
      <c r="A34" s="2943" t="s">
        <v>296</v>
      </c>
      <c r="B34" s="2944" t="s">
        <v>156</v>
      </c>
      <c r="C34" s="2943">
        <v>23090</v>
      </c>
      <c r="D34" s="2943">
        <v>23390</v>
      </c>
      <c r="E34" s="2943">
        <v>23510</v>
      </c>
      <c r="F34" s="2943">
        <v>6700</v>
      </c>
      <c r="G34" s="2956">
        <v>16370</v>
      </c>
      <c r="M34" s="2943" t="s">
        <v>2977</v>
      </c>
      <c r="N34" s="2943" t="s">
        <v>302</v>
      </c>
      <c r="O34" s="2943" t="s">
        <v>2978</v>
      </c>
      <c r="P34" s="2943" t="s">
        <v>2979</v>
      </c>
      <c r="Q34" s="2943" t="s">
        <v>2980</v>
      </c>
    </row>
    <row r="35" spans="1:17" ht="14.25" customHeight="1">
      <c r="A35" s="2943" t="s">
        <v>296</v>
      </c>
      <c r="B35" s="2944" t="s">
        <v>163</v>
      </c>
      <c r="C35" s="2943">
        <v>27270</v>
      </c>
      <c r="D35" s="2943">
        <v>24270</v>
      </c>
      <c r="E35" s="2943">
        <v>24950</v>
      </c>
      <c r="F35" s="2943">
        <v>6600</v>
      </c>
      <c r="G35" s="2956">
        <v>16990</v>
      </c>
      <c r="M35" s="2943" t="s">
        <v>2981</v>
      </c>
      <c r="N35" s="2943" t="s">
        <v>2982</v>
      </c>
      <c r="O35" s="2943" t="s">
        <v>2983</v>
      </c>
      <c r="P35" s="2943" t="s">
        <v>2984</v>
      </c>
      <c r="Q35" s="2943" t="s">
        <v>2985</v>
      </c>
    </row>
    <row r="36" spans="1:17" ht="14.25" customHeight="1">
      <c r="A36" s="2943" t="s">
        <v>296</v>
      </c>
      <c r="B36" s="2944" t="s">
        <v>169</v>
      </c>
      <c r="C36" s="2943">
        <v>23490</v>
      </c>
      <c r="D36" s="2943">
        <v>23020</v>
      </c>
      <c r="E36" s="2943">
        <v>25230</v>
      </c>
      <c r="F36" s="2943">
        <v>6780</v>
      </c>
      <c r="G36" s="2956">
        <v>16120</v>
      </c>
      <c r="M36" s="2943" t="s">
        <v>2986</v>
      </c>
      <c r="N36" s="2943" t="s">
        <v>2987</v>
      </c>
      <c r="O36" s="2943" t="s">
        <v>2988</v>
      </c>
      <c r="P36" s="2943" t="s">
        <v>2989</v>
      </c>
      <c r="Q36" s="2943" t="s">
        <v>2990</v>
      </c>
    </row>
    <row r="37" spans="1:17" ht="14.25" customHeight="1">
      <c r="A37" s="2943" t="s">
        <v>296</v>
      </c>
      <c r="B37" s="2944" t="s">
        <v>176</v>
      </c>
      <c r="C37" s="2943">
        <v>24380</v>
      </c>
      <c r="D37" s="2943">
        <v>22240</v>
      </c>
      <c r="E37" s="2943">
        <v>25980</v>
      </c>
      <c r="F37" s="2943">
        <v>8160</v>
      </c>
      <c r="G37" s="2956">
        <v>15570</v>
      </c>
      <c r="M37" s="2943" t="s">
        <v>2991</v>
      </c>
      <c r="N37" s="2943" t="s">
        <v>2992</v>
      </c>
      <c r="O37" s="2943" t="s">
        <v>2993</v>
      </c>
      <c r="P37" s="2943" t="s">
        <v>2994</v>
      </c>
      <c r="Q37" s="2943" t="s">
        <v>2995</v>
      </c>
    </row>
    <row r="38" spans="1:17" ht="14.25" customHeight="1">
      <c r="A38" s="2943" t="s">
        <v>296</v>
      </c>
      <c r="B38" s="2944" t="s">
        <v>186</v>
      </c>
      <c r="C38" s="2943">
        <v>23120</v>
      </c>
      <c r="D38" s="2943">
        <v>24630</v>
      </c>
      <c r="E38" s="2943">
        <v>25030</v>
      </c>
      <c r="F38" s="2943">
        <v>7710</v>
      </c>
      <c r="G38" s="2956">
        <v>17240</v>
      </c>
      <c r="M38" s="2943" t="s">
        <v>2996</v>
      </c>
      <c r="N38" s="2943" t="s">
        <v>2997</v>
      </c>
      <c r="O38" s="2943" t="s">
        <v>2998</v>
      </c>
      <c r="P38" s="2943" t="s">
        <v>2999</v>
      </c>
      <c r="Q38" s="2943" t="s">
        <v>3000</v>
      </c>
    </row>
    <row r="39" spans="1:17" ht="14.25" customHeight="1">
      <c r="A39" s="2943" t="s">
        <v>296</v>
      </c>
      <c r="B39" s="2944" t="s">
        <v>195</v>
      </c>
      <c r="C39" s="2943">
        <v>22330</v>
      </c>
      <c r="D39" s="2943">
        <v>21140</v>
      </c>
      <c r="E39" s="2943">
        <v>23970</v>
      </c>
      <c r="F39" s="2943">
        <v>7940</v>
      </c>
      <c r="G39" s="2956">
        <v>14790</v>
      </c>
      <c r="M39" s="2943" t="s">
        <v>3001</v>
      </c>
      <c r="N39" s="2943" t="s">
        <v>3002</v>
      </c>
      <c r="O39" s="2943" t="s">
        <v>3003</v>
      </c>
      <c r="P39" s="2943" t="s">
        <v>3004</v>
      </c>
      <c r="Q39" s="2943" t="s">
        <v>3005</v>
      </c>
    </row>
    <row r="40" spans="1:17" ht="14.25" customHeight="1">
      <c r="A40" s="2943" t="s">
        <v>296</v>
      </c>
      <c r="B40" s="2944" t="s">
        <v>202</v>
      </c>
      <c r="C40" s="2943">
        <v>24740</v>
      </c>
      <c r="D40" s="2943">
        <v>24690</v>
      </c>
      <c r="E40" s="2943">
        <v>22610</v>
      </c>
      <c r="F40" s="2943"/>
      <c r="G40" s="2956">
        <v>17280</v>
      </c>
      <c r="M40" s="2943" t="s">
        <v>3006</v>
      </c>
      <c r="N40" s="2943" t="s">
        <v>3007</v>
      </c>
      <c r="O40" s="2943" t="s">
        <v>3008</v>
      </c>
      <c r="P40" s="2943" t="s">
        <v>3009</v>
      </c>
      <c r="Q40" s="2943" t="s">
        <v>3010</v>
      </c>
    </row>
    <row r="41" spans="1:17" ht="14.25" customHeight="1" thickBot="1">
      <c r="A41" s="2943" t="s">
        <v>296</v>
      </c>
      <c r="B41" s="2944" t="s">
        <v>209</v>
      </c>
      <c r="C41" s="2943">
        <v>21220</v>
      </c>
      <c r="D41" s="2943">
        <v>21120</v>
      </c>
      <c r="E41" s="2943">
        <v>22590</v>
      </c>
      <c r="F41" s="2943"/>
      <c r="G41" s="2956">
        <v>14780</v>
      </c>
      <c r="M41" s="2950" t="s">
        <v>3011</v>
      </c>
      <c r="N41" s="2943" t="s">
        <v>3012</v>
      </c>
      <c r="O41" s="2943" t="s">
        <v>3013</v>
      </c>
      <c r="P41" s="2943" t="s">
        <v>3014</v>
      </c>
      <c r="Q41" s="2943" t="s">
        <v>3015</v>
      </c>
    </row>
    <row r="42" spans="1:17" ht="14.25" customHeight="1">
      <c r="A42" s="2943" t="s">
        <v>296</v>
      </c>
      <c r="B42" s="2944" t="s">
        <v>215</v>
      </c>
      <c r="C42" s="2943">
        <v>24800</v>
      </c>
      <c r="D42" s="2943">
        <v>22280</v>
      </c>
      <c r="E42" s="2943">
        <v>24350</v>
      </c>
      <c r="F42" s="2943"/>
      <c r="G42" s="2956">
        <v>15590</v>
      </c>
      <c r="N42" s="2943" t="s">
        <v>3016</v>
      </c>
      <c r="O42" s="2943" t="s">
        <v>3017</v>
      </c>
      <c r="P42" s="2943" t="s">
        <v>3018</v>
      </c>
      <c r="Q42" s="2943" t="s">
        <v>3019</v>
      </c>
    </row>
    <row r="43" spans="1:17" ht="14.25" customHeight="1">
      <c r="A43" s="2943" t="s">
        <v>3020</v>
      </c>
      <c r="B43" s="2944" t="s">
        <v>223</v>
      </c>
      <c r="C43" s="2943">
        <v>21210</v>
      </c>
      <c r="D43" s="2943">
        <v>21160</v>
      </c>
      <c r="E43" s="2943">
        <v>22650</v>
      </c>
      <c r="F43" s="2943"/>
      <c r="G43" s="2956">
        <v>14800</v>
      </c>
      <c r="N43" s="2943" t="s">
        <v>3021</v>
      </c>
      <c r="O43" s="2943" t="s">
        <v>3022</v>
      </c>
      <c r="P43" s="2943" t="s">
        <v>3023</v>
      </c>
      <c r="Q43" s="2943" t="s">
        <v>3024</v>
      </c>
    </row>
    <row r="44" spans="1:17" ht="14.25" customHeight="1" thickBot="1">
      <c r="A44" s="2943" t="s">
        <v>296</v>
      </c>
      <c r="B44" s="2944" t="s">
        <v>231</v>
      </c>
      <c r="C44" s="2943">
        <v>22370</v>
      </c>
      <c r="D44" s="2943">
        <v>23140</v>
      </c>
      <c r="E44" s="2943">
        <v>25090</v>
      </c>
      <c r="F44" s="2943"/>
      <c r="G44" s="2956">
        <v>16190</v>
      </c>
      <c r="N44" s="2943" t="s">
        <v>3025</v>
      </c>
      <c r="O44" s="2943" t="s">
        <v>3026</v>
      </c>
      <c r="P44" s="2950" t="s">
        <v>3027</v>
      </c>
      <c r="Q44" s="2943" t="s">
        <v>3028</v>
      </c>
    </row>
    <row r="45" spans="1:17" ht="14.25" customHeight="1" thickBot="1">
      <c r="A45" s="2943" t="s">
        <v>296</v>
      </c>
      <c r="B45" s="2944" t="s">
        <v>236</v>
      </c>
      <c r="C45" s="2943">
        <v>21240</v>
      </c>
      <c r="D45" s="2943">
        <v>27050</v>
      </c>
      <c r="E45" s="2943">
        <v>28000</v>
      </c>
      <c r="F45" s="2943"/>
      <c r="G45" s="2956">
        <v>18940</v>
      </c>
      <c r="N45" s="2943" t="s">
        <v>3029</v>
      </c>
      <c r="O45" s="2950" t="s">
        <v>3030</v>
      </c>
      <c r="Q45" s="2943" t="s">
        <v>3031</v>
      </c>
    </row>
    <row r="46" spans="1:17" ht="14.25" customHeight="1">
      <c r="A46" s="2943" t="s">
        <v>296</v>
      </c>
      <c r="B46" s="2944" t="s">
        <v>245</v>
      </c>
      <c r="C46" s="2943">
        <v>23240</v>
      </c>
      <c r="D46" s="2943">
        <v>23000</v>
      </c>
      <c r="E46" s="2943">
        <v>24980</v>
      </c>
      <c r="F46" s="2943"/>
      <c r="G46" s="2956">
        <v>16100</v>
      </c>
      <c r="N46" s="2943" t="s">
        <v>3032</v>
      </c>
      <c r="Q46" s="2943" t="s">
        <v>3033</v>
      </c>
    </row>
    <row r="47" spans="1:17" ht="14.25" customHeight="1">
      <c r="A47" s="2943" t="s">
        <v>296</v>
      </c>
      <c r="B47" s="2944" t="s">
        <v>252</v>
      </c>
      <c r="C47" s="2943">
        <v>27150</v>
      </c>
      <c r="D47" s="2943">
        <v>23310</v>
      </c>
      <c r="E47" s="2943">
        <v>25150</v>
      </c>
      <c r="F47" s="2943"/>
      <c r="G47" s="2956">
        <v>16310</v>
      </c>
      <c r="N47" s="2943" t="s">
        <v>3034</v>
      </c>
      <c r="Q47" s="2943" t="s">
        <v>3035</v>
      </c>
    </row>
    <row r="48" spans="1:17" ht="14.25" customHeight="1">
      <c r="A48" s="2943" t="s">
        <v>296</v>
      </c>
      <c r="B48" s="2944" t="s">
        <v>260</v>
      </c>
      <c r="C48" s="2943">
        <v>23100</v>
      </c>
      <c r="D48" s="2943">
        <v>21110</v>
      </c>
      <c r="E48" s="2943">
        <v>23080</v>
      </c>
      <c r="F48" s="2943"/>
      <c r="G48" s="2956">
        <v>14780</v>
      </c>
      <c r="N48" s="2943" t="s">
        <v>3036</v>
      </c>
      <c r="Q48" s="2943" t="s">
        <v>3037</v>
      </c>
    </row>
    <row r="49" spans="1:17" ht="14.25" customHeight="1">
      <c r="A49" s="2943" t="s">
        <v>296</v>
      </c>
      <c r="B49" s="2944" t="s">
        <v>267</v>
      </c>
      <c r="C49" s="2943">
        <v>23400</v>
      </c>
      <c r="D49" s="2943">
        <v>22920</v>
      </c>
      <c r="E49" s="2943">
        <v>24900</v>
      </c>
      <c r="F49" s="2943"/>
      <c r="G49" s="2956">
        <v>16040</v>
      </c>
      <c r="N49" s="2943" t="s">
        <v>3038</v>
      </c>
      <c r="Q49" s="2943" t="s">
        <v>3039</v>
      </c>
    </row>
    <row r="50" spans="1:17" ht="14.25" customHeight="1">
      <c r="A50" s="2943" t="s">
        <v>296</v>
      </c>
      <c r="B50" s="2944" t="s">
        <v>2916</v>
      </c>
      <c r="C50" s="2943">
        <v>21200</v>
      </c>
      <c r="D50" s="2943">
        <v>26540</v>
      </c>
      <c r="E50" s="2943">
        <v>23200</v>
      </c>
      <c r="F50" s="2943"/>
      <c r="G50" s="2956">
        <v>18580</v>
      </c>
      <c r="N50" s="2943" t="s">
        <v>3040</v>
      </c>
      <c r="Q50" s="2944" t="s">
        <v>3041</v>
      </c>
    </row>
    <row r="51" spans="1:17" ht="14.25" customHeight="1" thickBot="1">
      <c r="A51" s="2943" t="s">
        <v>296</v>
      </c>
      <c r="B51" s="2944" t="s">
        <v>2918</v>
      </c>
      <c r="C51" s="2943">
        <v>23000</v>
      </c>
      <c r="D51" s="2943">
        <v>23460</v>
      </c>
      <c r="E51" s="2943">
        <v>25290</v>
      </c>
      <c r="F51" s="2943"/>
      <c r="G51" s="2956">
        <v>16420</v>
      </c>
      <c r="N51" s="2943" t="s">
        <v>3042</v>
      </c>
      <c r="Q51" s="2950" t="s">
        <v>3043</v>
      </c>
    </row>
    <row r="52" spans="1:17" ht="14.25" customHeight="1">
      <c r="A52" s="2943" t="s">
        <v>296</v>
      </c>
      <c r="B52" s="2944" t="s">
        <v>2922</v>
      </c>
      <c r="C52" s="2943">
        <v>26660</v>
      </c>
      <c r="D52" s="2943">
        <v>22350</v>
      </c>
      <c r="E52" s="2943">
        <v>22920</v>
      </c>
      <c r="F52" s="2943"/>
      <c r="G52" s="2956">
        <v>15640</v>
      </c>
      <c r="N52" s="2943" t="s">
        <v>3044</v>
      </c>
    </row>
    <row r="53" spans="1:17" ht="14.25" customHeight="1">
      <c r="A53" s="2943" t="s">
        <v>296</v>
      </c>
      <c r="B53" s="2944" t="s">
        <v>2927</v>
      </c>
      <c r="C53" s="2943">
        <v>23580</v>
      </c>
      <c r="D53" s="2943"/>
      <c r="E53" s="2943">
        <v>24280</v>
      </c>
      <c r="F53" s="2943"/>
      <c r="G53" s="2956"/>
      <c r="N53" s="2943" t="s">
        <v>3045</v>
      </c>
    </row>
    <row r="54" spans="1:17" ht="14.25" customHeight="1" thickBot="1">
      <c r="A54" s="2957" t="s">
        <v>296</v>
      </c>
      <c r="B54" s="2949" t="s">
        <v>2930</v>
      </c>
      <c r="C54" s="2950">
        <v>22460</v>
      </c>
      <c r="D54" s="2950"/>
      <c r="E54" s="2950"/>
      <c r="F54" s="2950"/>
      <c r="G54" s="2958"/>
      <c r="N54" s="2943" t="s">
        <v>3046</v>
      </c>
    </row>
    <row r="55" spans="1:17" ht="14.25" customHeight="1">
      <c r="A55" s="2948" t="s">
        <v>110</v>
      </c>
      <c r="B55" s="2939" t="s">
        <v>3047</v>
      </c>
      <c r="C55" s="2943">
        <v>21970</v>
      </c>
      <c r="D55" s="2943">
        <v>20370</v>
      </c>
      <c r="E55" s="2943">
        <v>20180</v>
      </c>
      <c r="F55" s="2943">
        <v>5730</v>
      </c>
      <c r="G55" s="2943">
        <v>13820</v>
      </c>
      <c r="N55" s="2943" t="s">
        <v>3048</v>
      </c>
    </row>
    <row r="56" spans="1:17" ht="14.25" customHeight="1">
      <c r="A56" s="2943" t="s">
        <v>110</v>
      </c>
      <c r="B56" s="2943" t="s">
        <v>130</v>
      </c>
      <c r="C56" s="2943">
        <v>20470</v>
      </c>
      <c r="D56" s="2943">
        <v>20700</v>
      </c>
      <c r="E56" s="2943">
        <v>20380</v>
      </c>
      <c r="F56" s="2943">
        <v>4760</v>
      </c>
      <c r="G56" s="2943">
        <v>14050</v>
      </c>
      <c r="N56" s="2943" t="s">
        <v>3049</v>
      </c>
    </row>
    <row r="57" spans="1:17" ht="14.25" customHeight="1">
      <c r="A57" s="2943" t="s">
        <v>110</v>
      </c>
      <c r="B57" s="2943" t="s">
        <v>139</v>
      </c>
      <c r="C57" s="2943">
        <v>20790</v>
      </c>
      <c r="D57" s="2943">
        <v>21370</v>
      </c>
      <c r="E57" s="2943">
        <v>20890</v>
      </c>
      <c r="F57" s="2943">
        <v>4910</v>
      </c>
      <c r="G57" s="2943">
        <v>14510</v>
      </c>
      <c r="N57" s="2943" t="s">
        <v>3050</v>
      </c>
    </row>
    <row r="58" spans="1:17" ht="14.25" customHeight="1">
      <c r="A58" s="2943" t="s">
        <v>110</v>
      </c>
      <c r="B58" s="2943" t="s">
        <v>148</v>
      </c>
      <c r="C58" s="2943">
        <v>21460</v>
      </c>
      <c r="D58" s="2943">
        <v>20920</v>
      </c>
      <c r="E58" s="2943">
        <v>23410</v>
      </c>
      <c r="F58" s="2943">
        <v>5100</v>
      </c>
      <c r="G58" s="2943">
        <v>14200</v>
      </c>
      <c r="N58" s="2943" t="s">
        <v>3051</v>
      </c>
    </row>
    <row r="59" spans="1:17" ht="14.25" customHeight="1">
      <c r="A59" s="2943" t="s">
        <v>110</v>
      </c>
      <c r="B59" s="2943" t="s">
        <v>157</v>
      </c>
      <c r="C59" s="2943">
        <v>21000</v>
      </c>
      <c r="D59" s="2943">
        <v>21550</v>
      </c>
      <c r="E59" s="2943">
        <v>21150</v>
      </c>
      <c r="F59" s="2943">
        <v>5250</v>
      </c>
      <c r="G59" s="2943">
        <v>14630</v>
      </c>
      <c r="N59" s="2943" t="s">
        <v>3052</v>
      </c>
    </row>
    <row r="60" spans="1:17" ht="14.25" customHeight="1">
      <c r="A60" s="2943" t="s">
        <v>110</v>
      </c>
      <c r="B60" s="2943" t="s">
        <v>164</v>
      </c>
      <c r="C60" s="2943">
        <v>21640</v>
      </c>
      <c r="D60" s="2943">
        <v>21260</v>
      </c>
      <c r="E60" s="2943">
        <v>24040</v>
      </c>
      <c r="F60" s="2943">
        <v>4470</v>
      </c>
      <c r="G60" s="2943">
        <v>14430</v>
      </c>
      <c r="N60" s="2943" t="s">
        <v>3053</v>
      </c>
    </row>
    <row r="61" spans="1:17" ht="14.25" customHeight="1">
      <c r="A61" s="2943" t="s">
        <v>110</v>
      </c>
      <c r="B61" s="2943" t="s">
        <v>170</v>
      </c>
      <c r="C61" s="2943">
        <v>21330</v>
      </c>
      <c r="D61" s="2943">
        <v>18640</v>
      </c>
      <c r="E61" s="2943">
        <v>21190</v>
      </c>
      <c r="F61" s="2943">
        <v>4180</v>
      </c>
      <c r="G61" s="2943">
        <v>12650</v>
      </c>
      <c r="N61" s="2943" t="s">
        <v>3054</v>
      </c>
    </row>
    <row r="62" spans="1:17" ht="14.25" customHeight="1">
      <c r="A62" s="2943" t="s">
        <v>110</v>
      </c>
      <c r="B62" s="2943" t="s">
        <v>177</v>
      </c>
      <c r="C62" s="2943">
        <v>18710</v>
      </c>
      <c r="D62" s="2943">
        <v>19400</v>
      </c>
      <c r="E62" s="2943">
        <v>23750</v>
      </c>
      <c r="F62" s="2943">
        <v>4860</v>
      </c>
      <c r="G62" s="2943">
        <v>13170</v>
      </c>
      <c r="N62" s="2943" t="s">
        <v>3055</v>
      </c>
    </row>
    <row r="63" spans="1:17" ht="14.25" customHeight="1">
      <c r="A63" s="2943" t="s">
        <v>110</v>
      </c>
      <c r="B63" s="2943" t="s">
        <v>187</v>
      </c>
      <c r="C63" s="2943">
        <v>19480</v>
      </c>
      <c r="D63" s="2943">
        <v>16830</v>
      </c>
      <c r="E63" s="2943">
        <v>21590</v>
      </c>
      <c r="F63" s="2943">
        <v>4560</v>
      </c>
      <c r="G63" s="2943">
        <v>11420</v>
      </c>
      <c r="N63" s="2943" t="s">
        <v>3056</v>
      </c>
    </row>
    <row r="64" spans="1:17" ht="14.25" customHeight="1" thickBot="1">
      <c r="A64" s="2943" t="s">
        <v>110</v>
      </c>
      <c r="B64" s="2943" t="s">
        <v>196</v>
      </c>
      <c r="C64" s="2943">
        <v>16920</v>
      </c>
      <c r="D64" s="2943">
        <v>19190</v>
      </c>
      <c r="E64" s="2943">
        <v>22200</v>
      </c>
      <c r="F64" s="2943">
        <v>4390</v>
      </c>
      <c r="G64" s="2943">
        <v>13030</v>
      </c>
      <c r="N64" s="2950" t="s">
        <v>3057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2928</v>
      </c>
      <c r="C78" s="2943">
        <v>19820</v>
      </c>
      <c r="D78" s="2943">
        <v>19780</v>
      </c>
      <c r="E78" s="2943">
        <v>18560</v>
      </c>
      <c r="F78" s="2943"/>
      <c r="G78" s="2943">
        <v>13430</v>
      </c>
    </row>
    <row r="79" spans="1:7" s="2777" customFormat="1" ht="14.25" customHeight="1">
      <c r="A79" s="2943" t="s">
        <v>110</v>
      </c>
      <c r="B79" s="2943" t="s">
        <v>2931</v>
      </c>
      <c r="C79" s="2943">
        <v>21660</v>
      </c>
      <c r="D79" s="2943">
        <v>18000</v>
      </c>
      <c r="E79" s="2943">
        <v>22570</v>
      </c>
      <c r="F79" s="2943"/>
      <c r="G79" s="2943">
        <v>12220</v>
      </c>
    </row>
    <row r="80" spans="1:7" s="2777" customFormat="1" ht="14.25" customHeight="1">
      <c r="A80" s="2943" t="s">
        <v>110</v>
      </c>
      <c r="B80" s="2943" t="s">
        <v>2935</v>
      </c>
      <c r="C80" s="2943">
        <v>19850</v>
      </c>
      <c r="D80" s="2943"/>
      <c r="E80" s="2943">
        <v>21700</v>
      </c>
      <c r="F80" s="2943"/>
      <c r="G80" s="2943"/>
    </row>
    <row r="81" spans="1:7" s="2777" customFormat="1" ht="14.25" customHeight="1">
      <c r="A81" s="2943" t="s">
        <v>110</v>
      </c>
      <c r="B81" s="2943" t="s">
        <v>2940</v>
      </c>
      <c r="C81" s="2943">
        <v>18080</v>
      </c>
      <c r="D81" s="2943"/>
      <c r="E81" s="2943">
        <v>20900</v>
      </c>
      <c r="F81" s="2943"/>
      <c r="G81" s="2943"/>
    </row>
    <row r="82" spans="1:7" s="2777" customFormat="1" ht="14.25" customHeight="1">
      <c r="A82" s="2943" t="s">
        <v>110</v>
      </c>
      <c r="B82" s="2943" t="s">
        <v>2947</v>
      </c>
      <c r="C82" s="2943"/>
      <c r="D82" s="2943"/>
      <c r="E82" s="2943">
        <v>20840</v>
      </c>
      <c r="F82" s="2943"/>
      <c r="G82" s="2943"/>
    </row>
    <row r="83" spans="1:7" s="2777" customFormat="1" ht="14.25" customHeight="1">
      <c r="A83" s="2943" t="s">
        <v>110</v>
      </c>
      <c r="B83" s="2943" t="s">
        <v>3058</v>
      </c>
      <c r="C83" s="2943"/>
      <c r="D83" s="2943"/>
      <c r="E83" s="2943"/>
      <c r="F83" s="2943">
        <v>4770</v>
      </c>
      <c r="G83" s="2943"/>
    </row>
    <row r="84" spans="1:7" s="2777" customFormat="1" ht="14.25" customHeight="1">
      <c r="A84" s="2943" t="s">
        <v>110</v>
      </c>
      <c r="B84" s="2943" t="s">
        <v>3059</v>
      </c>
      <c r="C84" s="2943"/>
      <c r="D84" s="2943"/>
      <c r="E84" s="2943"/>
      <c r="F84" s="2943">
        <v>4600</v>
      </c>
      <c r="G84" s="2943"/>
    </row>
    <row r="85" spans="1:7" s="2777" customFormat="1" ht="14.25" customHeight="1">
      <c r="A85" s="2943" t="s">
        <v>110</v>
      </c>
      <c r="B85" s="2943" t="s">
        <v>3060</v>
      </c>
      <c r="C85" s="2943"/>
      <c r="D85" s="2943"/>
      <c r="E85" s="2943"/>
      <c r="F85" s="2943">
        <v>4680</v>
      </c>
      <c r="G85" s="2943"/>
    </row>
    <row r="86" spans="1:7" s="2777" customFormat="1" ht="14.25" customHeight="1" thickBot="1">
      <c r="A86" s="2951" t="s">
        <v>110</v>
      </c>
      <c r="B86" s="2953" t="s">
        <v>3061</v>
      </c>
      <c r="C86" s="2954">
        <v>16610</v>
      </c>
      <c r="D86" s="2954">
        <v>16540</v>
      </c>
      <c r="E86" s="2954">
        <v>18850</v>
      </c>
      <c r="F86" s="2954"/>
      <c r="G86" s="2954">
        <v>11220</v>
      </c>
    </row>
    <row r="87" spans="1:7" s="2777" customFormat="1" ht="14.25" customHeight="1">
      <c r="A87" s="2948" t="s">
        <v>303</v>
      </c>
      <c r="B87" s="2939" t="s">
        <v>3062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2941</v>
      </c>
      <c r="C113" s="2943">
        <v>15520</v>
      </c>
      <c r="D113" s="2943">
        <v>15450</v>
      </c>
      <c r="E113" s="2943"/>
      <c r="F113" s="2943"/>
      <c r="G113" s="2956">
        <v>10210</v>
      </c>
    </row>
    <row r="114" spans="1:7" s="2777" customFormat="1" ht="14.25" customHeight="1">
      <c r="A114" s="2943" t="s">
        <v>303</v>
      </c>
      <c r="B114" s="2943" t="s">
        <v>2948</v>
      </c>
      <c r="C114" s="2943">
        <v>13110</v>
      </c>
      <c r="D114" s="2943">
        <v>13050</v>
      </c>
      <c r="E114" s="2943"/>
      <c r="F114" s="2943"/>
      <c r="G114" s="2956">
        <v>8620</v>
      </c>
    </row>
    <row r="115" spans="1:7" s="2777" customFormat="1" ht="14.25" customHeight="1">
      <c r="A115" s="2943" t="s">
        <v>303</v>
      </c>
      <c r="B115" s="2943" t="s">
        <v>2954</v>
      </c>
      <c r="C115" s="2943">
        <v>12460</v>
      </c>
      <c r="D115" s="2943">
        <v>12390</v>
      </c>
      <c r="E115" s="2943"/>
      <c r="F115" s="2943"/>
      <c r="G115" s="2956">
        <v>8190</v>
      </c>
    </row>
    <row r="116" spans="1:7" s="2777" customFormat="1" ht="14.25" customHeight="1">
      <c r="A116" s="2943" t="s">
        <v>303</v>
      </c>
      <c r="B116" s="2943" t="s">
        <v>2961</v>
      </c>
      <c r="C116" s="2943">
        <v>13580</v>
      </c>
      <c r="D116" s="2943">
        <v>13520</v>
      </c>
      <c r="E116" s="2943"/>
      <c r="F116" s="2943"/>
      <c r="G116" s="2956">
        <v>8930</v>
      </c>
    </row>
    <row r="117" spans="1:7" s="2777" customFormat="1" ht="14.25" customHeight="1">
      <c r="A117" s="2943" t="s">
        <v>303</v>
      </c>
      <c r="B117" s="2943" t="s">
        <v>2968</v>
      </c>
      <c r="C117" s="2943">
        <v>17120</v>
      </c>
      <c r="D117" s="2943">
        <v>17040</v>
      </c>
      <c r="E117" s="2943"/>
      <c r="F117" s="2943"/>
      <c r="G117" s="2956">
        <v>11260</v>
      </c>
    </row>
    <row r="118" spans="1:7" s="2777" customFormat="1" ht="14.25" customHeight="1">
      <c r="A118" s="2943" t="s">
        <v>303</v>
      </c>
      <c r="B118" s="2943" t="s">
        <v>2973</v>
      </c>
      <c r="C118" s="2943">
        <v>14860</v>
      </c>
      <c r="D118" s="2943">
        <v>14790</v>
      </c>
      <c r="E118" s="2943"/>
      <c r="F118" s="2943"/>
      <c r="G118" s="2956">
        <v>9780</v>
      </c>
    </row>
    <row r="119" spans="1:7" s="2777" customFormat="1" ht="14.25" customHeight="1">
      <c r="A119" s="2943" t="s">
        <v>303</v>
      </c>
      <c r="B119" s="2943" t="s">
        <v>2977</v>
      </c>
      <c r="C119" s="2943">
        <v>16470</v>
      </c>
      <c r="D119" s="2943">
        <v>16400</v>
      </c>
      <c r="E119" s="2943"/>
      <c r="F119" s="2943"/>
      <c r="G119" s="2956">
        <v>10840</v>
      </c>
    </row>
    <row r="120" spans="1:7" s="2777" customFormat="1" ht="14.25" customHeight="1">
      <c r="A120" s="2943" t="s">
        <v>303</v>
      </c>
      <c r="B120" s="2943" t="s">
        <v>3063</v>
      </c>
      <c r="C120" s="2943"/>
      <c r="D120" s="2943"/>
      <c r="E120" s="2943"/>
      <c r="F120" s="2943">
        <v>4160</v>
      </c>
      <c r="G120" s="2956"/>
    </row>
    <row r="121" spans="1:7" s="2777" customFormat="1" ht="14.25" customHeight="1">
      <c r="A121" s="2943" t="s">
        <v>303</v>
      </c>
      <c r="B121" s="2943" t="s">
        <v>3064</v>
      </c>
      <c r="C121" s="2943"/>
      <c r="D121" s="2943"/>
      <c r="E121" s="2943"/>
      <c r="F121" s="2943">
        <v>3880</v>
      </c>
      <c r="G121" s="2956"/>
    </row>
    <row r="122" spans="1:7" s="2777" customFormat="1" ht="14.25" customHeight="1">
      <c r="A122" s="2943" t="s">
        <v>303</v>
      </c>
      <c r="B122" s="2943" t="s">
        <v>3065</v>
      </c>
      <c r="C122" s="2943">
        <v>13750</v>
      </c>
      <c r="D122" s="2943">
        <v>13680</v>
      </c>
      <c r="E122" s="2943">
        <v>16460</v>
      </c>
      <c r="F122" s="2943">
        <v>2880</v>
      </c>
      <c r="G122" s="2956">
        <v>9040</v>
      </c>
    </row>
    <row r="123" spans="1:7" s="2777" customFormat="1" ht="14.25" customHeight="1">
      <c r="A123" s="2943" t="s">
        <v>303</v>
      </c>
      <c r="B123" s="2943" t="s">
        <v>2996</v>
      </c>
      <c r="C123" s="2943">
        <v>13590</v>
      </c>
      <c r="D123" s="2943">
        <v>13520</v>
      </c>
      <c r="E123" s="2943">
        <v>16290</v>
      </c>
      <c r="F123" s="2943">
        <v>2790</v>
      </c>
      <c r="G123" s="2956">
        <v>8930</v>
      </c>
    </row>
    <row r="124" spans="1:7" s="2777" customFormat="1" ht="14.25" customHeight="1">
      <c r="A124" s="2943" t="s">
        <v>303</v>
      </c>
      <c r="B124" s="2943" t="s">
        <v>3001</v>
      </c>
      <c r="C124" s="2943">
        <v>13400</v>
      </c>
      <c r="D124" s="2943">
        <v>13320</v>
      </c>
      <c r="E124" s="2943">
        <v>16100</v>
      </c>
      <c r="F124" s="2943">
        <v>2320</v>
      </c>
      <c r="G124" s="2956">
        <v>8800</v>
      </c>
    </row>
    <row r="125" spans="1:7" s="2777" customFormat="1" ht="14.25" customHeight="1">
      <c r="A125" s="2943" t="s">
        <v>303</v>
      </c>
      <c r="B125" s="2943" t="s">
        <v>3006</v>
      </c>
      <c r="C125" s="2943">
        <v>12860</v>
      </c>
      <c r="D125" s="2943">
        <v>12790</v>
      </c>
      <c r="E125" s="2943">
        <v>15370</v>
      </c>
      <c r="F125" s="2943">
        <v>2280</v>
      </c>
      <c r="G125" s="2956">
        <v>8450</v>
      </c>
    </row>
    <row r="126" spans="1:7" s="2777" customFormat="1" ht="14.25" customHeight="1" thickBot="1">
      <c r="A126" s="2957" t="s">
        <v>303</v>
      </c>
      <c r="B126" s="2950" t="s">
        <v>3011</v>
      </c>
      <c r="C126" s="2950">
        <v>12960</v>
      </c>
      <c r="D126" s="2950">
        <v>12890</v>
      </c>
      <c r="E126" s="2950">
        <v>15530</v>
      </c>
      <c r="F126" s="2950">
        <v>2910</v>
      </c>
      <c r="G126" s="2958">
        <v>8520</v>
      </c>
    </row>
    <row r="127" spans="1:7" s="2777" customFormat="1" ht="14.25" customHeight="1">
      <c r="A127" s="2948" t="s">
        <v>29</v>
      </c>
      <c r="B127" s="2939" t="s">
        <v>3066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3067</v>
      </c>
      <c r="C148" s="2943">
        <v>10370</v>
      </c>
      <c r="D148" s="2943">
        <v>10310</v>
      </c>
      <c r="E148" s="2943">
        <v>12970</v>
      </c>
      <c r="F148" s="2943"/>
      <c r="G148" s="2943">
        <v>6630</v>
      </c>
    </row>
    <row r="149" spans="1:7" s="2777" customFormat="1" ht="14.25" customHeight="1">
      <c r="A149" s="2943" t="s">
        <v>29</v>
      </c>
      <c r="B149" s="2943" t="s">
        <v>3068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2942</v>
      </c>
      <c r="C153" s="2943">
        <v>10880</v>
      </c>
      <c r="D153" s="2943">
        <v>10820</v>
      </c>
      <c r="E153" s="2943">
        <v>13660</v>
      </c>
      <c r="F153" s="2943">
        <v>2260</v>
      </c>
      <c r="G153" s="2943">
        <v>6970</v>
      </c>
    </row>
    <row r="154" spans="1:7" s="2777" customFormat="1" ht="14.25" customHeight="1">
      <c r="A154" s="2943" t="s">
        <v>29</v>
      </c>
      <c r="B154" s="2943" t="s">
        <v>3069</v>
      </c>
      <c r="C154" s="2943">
        <v>11220</v>
      </c>
      <c r="D154" s="2943">
        <v>11160</v>
      </c>
      <c r="E154" s="2943">
        <v>14130</v>
      </c>
      <c r="F154" s="2943">
        <v>2230</v>
      </c>
      <c r="G154" s="2943">
        <v>7180</v>
      </c>
    </row>
    <row r="155" spans="1:7" s="2777" customFormat="1" ht="14.25" customHeight="1">
      <c r="A155" s="2943" t="s">
        <v>29</v>
      </c>
      <c r="B155" s="2943" t="s">
        <v>2955</v>
      </c>
      <c r="C155" s="2943">
        <v>10430</v>
      </c>
      <c r="D155" s="2943">
        <v>10380</v>
      </c>
      <c r="E155" s="2943">
        <v>13140</v>
      </c>
      <c r="F155" s="2943">
        <v>2080</v>
      </c>
      <c r="G155" s="2943">
        <v>6650</v>
      </c>
    </row>
    <row r="156" spans="1:7" s="2777" customFormat="1" ht="14.25" customHeight="1">
      <c r="A156" s="2943" t="s">
        <v>29</v>
      </c>
      <c r="B156" s="2943" t="s">
        <v>3070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3071</v>
      </c>
      <c r="C160" s="2943">
        <v>11180</v>
      </c>
      <c r="D160" s="2943">
        <v>11140</v>
      </c>
      <c r="E160" s="2943">
        <v>14050</v>
      </c>
      <c r="F160" s="2943">
        <v>2270</v>
      </c>
      <c r="G160" s="2943">
        <v>7170</v>
      </c>
    </row>
    <row r="161" spans="1:7" s="2777" customFormat="1" ht="14.25" customHeight="1">
      <c r="A161" s="2943" t="s">
        <v>29</v>
      </c>
      <c r="B161" s="2943" t="s">
        <v>2987</v>
      </c>
      <c r="C161" s="2943">
        <v>11160</v>
      </c>
      <c r="D161" s="2943">
        <v>11120</v>
      </c>
      <c r="E161" s="2943">
        <v>14020</v>
      </c>
      <c r="F161" s="2943">
        <v>2150</v>
      </c>
      <c r="G161" s="2943">
        <v>7160</v>
      </c>
    </row>
    <row r="162" spans="1:7" s="2777" customFormat="1" ht="14.25" customHeight="1">
      <c r="A162" s="2943" t="s">
        <v>29</v>
      </c>
      <c r="B162" s="2943" t="s">
        <v>2992</v>
      </c>
      <c r="C162" s="2943">
        <v>9620</v>
      </c>
      <c r="D162" s="2943">
        <v>9570</v>
      </c>
      <c r="E162" s="2943">
        <v>12320</v>
      </c>
      <c r="F162" s="2943">
        <v>2010</v>
      </c>
      <c r="G162" s="2943">
        <v>6160</v>
      </c>
    </row>
    <row r="163" spans="1:7" s="2777" customFormat="1" ht="14.25" customHeight="1">
      <c r="A163" s="2943" t="s">
        <v>29</v>
      </c>
      <c r="B163" s="2943" t="s">
        <v>2997</v>
      </c>
      <c r="C163" s="2943">
        <v>9320</v>
      </c>
      <c r="D163" s="2943">
        <v>9270</v>
      </c>
      <c r="E163" s="2943">
        <v>11790</v>
      </c>
      <c r="F163" s="2943">
        <v>1920</v>
      </c>
      <c r="G163" s="2943">
        <v>5960</v>
      </c>
    </row>
    <row r="164" spans="1:7" s="2777" customFormat="1" ht="14.25" customHeight="1">
      <c r="A164" s="2943" t="s">
        <v>29</v>
      </c>
      <c r="B164" s="2943" t="s">
        <v>3002</v>
      </c>
      <c r="C164" s="2943"/>
      <c r="D164" s="2943"/>
      <c r="E164" s="2943"/>
      <c r="F164" s="2943">
        <v>1980</v>
      </c>
      <c r="G164" s="2943"/>
    </row>
    <row r="165" spans="1:7" s="2777" customFormat="1" ht="14.25" customHeight="1">
      <c r="A165" s="2943" t="s">
        <v>29</v>
      </c>
      <c r="B165" s="2943" t="s">
        <v>3072</v>
      </c>
      <c r="C165" s="2943">
        <v>11060</v>
      </c>
      <c r="D165" s="2943">
        <v>11030</v>
      </c>
      <c r="E165" s="2943">
        <v>13850</v>
      </c>
      <c r="F165" s="2943">
        <v>2170</v>
      </c>
      <c r="G165" s="2943">
        <v>7090</v>
      </c>
    </row>
    <row r="166" spans="1:7" s="2777" customFormat="1" ht="14.25" customHeight="1">
      <c r="A166" s="2943" t="s">
        <v>29</v>
      </c>
      <c r="B166" s="2943" t="s">
        <v>3012</v>
      </c>
      <c r="C166" s="2943">
        <v>11050</v>
      </c>
      <c r="D166" s="2943">
        <v>11010</v>
      </c>
      <c r="E166" s="2943">
        <v>13920</v>
      </c>
      <c r="F166" s="2943">
        <v>2140</v>
      </c>
      <c r="G166" s="2943">
        <v>7080</v>
      </c>
    </row>
    <row r="167" spans="1:7" s="2777" customFormat="1" ht="14.25" customHeight="1">
      <c r="A167" s="2943" t="s">
        <v>29</v>
      </c>
      <c r="B167" s="2943" t="s">
        <v>3016</v>
      </c>
      <c r="C167" s="2943">
        <v>10930</v>
      </c>
      <c r="D167" s="2943">
        <v>10890</v>
      </c>
      <c r="E167" s="2943">
        <v>13790</v>
      </c>
      <c r="F167" s="2943">
        <v>2010</v>
      </c>
      <c r="G167" s="2943">
        <v>7000</v>
      </c>
    </row>
    <row r="168" spans="1:7" s="2777" customFormat="1" ht="14.25" customHeight="1">
      <c r="A168" s="2943" t="s">
        <v>29</v>
      </c>
      <c r="B168" s="2943" t="s">
        <v>3021</v>
      </c>
      <c r="C168" s="2943">
        <v>9420</v>
      </c>
      <c r="D168" s="2943">
        <v>9380</v>
      </c>
      <c r="E168" s="2943">
        <v>11970</v>
      </c>
      <c r="F168" s="2943"/>
      <c r="G168" s="2943">
        <v>6040</v>
      </c>
    </row>
    <row r="169" spans="1:7" s="2777" customFormat="1" ht="14.25" customHeight="1">
      <c r="A169" s="2943" t="s">
        <v>29</v>
      </c>
      <c r="B169" s="2943" t="s">
        <v>3073</v>
      </c>
      <c r="C169" s="2943"/>
      <c r="D169" s="2943"/>
      <c r="E169" s="2943"/>
      <c r="F169" s="2943">
        <v>2880</v>
      </c>
      <c r="G169" s="2943"/>
    </row>
    <row r="170" spans="1:7" s="2777" customFormat="1" ht="14.25" customHeight="1">
      <c r="A170" s="2943" t="s">
        <v>29</v>
      </c>
      <c r="B170" s="2943" t="s">
        <v>3029</v>
      </c>
      <c r="C170" s="2943"/>
      <c r="D170" s="2943"/>
      <c r="E170" s="2943"/>
      <c r="F170" s="2943">
        <v>2880</v>
      </c>
      <c r="G170" s="2943"/>
    </row>
    <row r="171" spans="1:7" s="2777" customFormat="1" ht="14.25" customHeight="1">
      <c r="A171" s="2943" t="s">
        <v>29</v>
      </c>
      <c r="B171" s="2943" t="s">
        <v>3032</v>
      </c>
      <c r="C171" s="2943"/>
      <c r="D171" s="2943"/>
      <c r="E171" s="2943"/>
      <c r="F171" s="2943">
        <v>2880</v>
      </c>
      <c r="G171" s="2943"/>
    </row>
    <row r="172" spans="1:7" s="2777" customFormat="1" ht="14.25" customHeight="1">
      <c r="A172" s="2943" t="s">
        <v>29</v>
      </c>
      <c r="B172" s="2943" t="s">
        <v>3034</v>
      </c>
      <c r="C172" s="2943"/>
      <c r="D172" s="2943"/>
      <c r="E172" s="2943"/>
      <c r="F172" s="2943">
        <v>2880</v>
      </c>
      <c r="G172" s="2943"/>
    </row>
    <row r="173" spans="1:7" s="2777" customFormat="1" ht="14.25" customHeight="1">
      <c r="A173" s="2943" t="s">
        <v>29</v>
      </c>
      <c r="B173" s="2943" t="s">
        <v>3036</v>
      </c>
      <c r="C173" s="2943"/>
      <c r="D173" s="2943"/>
      <c r="E173" s="2943"/>
      <c r="F173" s="2943">
        <v>2150</v>
      </c>
      <c r="G173" s="2943"/>
    </row>
    <row r="174" spans="1:7" s="2777" customFormat="1" ht="14.25" customHeight="1">
      <c r="A174" s="2943" t="s">
        <v>29</v>
      </c>
      <c r="B174" s="2943" t="s">
        <v>3038</v>
      </c>
      <c r="C174" s="2943"/>
      <c r="D174" s="2943"/>
      <c r="E174" s="2943"/>
      <c r="F174" s="2943">
        <v>2030</v>
      </c>
      <c r="G174" s="2943"/>
    </row>
    <row r="175" spans="1:7" s="2777" customFormat="1" ht="14.25" customHeight="1">
      <c r="A175" s="2943" t="s">
        <v>29</v>
      </c>
      <c r="B175" s="2943" t="s">
        <v>3040</v>
      </c>
      <c r="C175" s="2943"/>
      <c r="D175" s="2943"/>
      <c r="E175" s="2943"/>
      <c r="F175" s="2943">
        <v>2780</v>
      </c>
      <c r="G175" s="2943"/>
    </row>
    <row r="176" spans="1:7" s="2777" customFormat="1" ht="14.25" customHeight="1">
      <c r="A176" s="2943" t="s">
        <v>29</v>
      </c>
      <c r="B176" s="2943" t="s">
        <v>3042</v>
      </c>
      <c r="C176" s="2943"/>
      <c r="D176" s="2943"/>
      <c r="E176" s="2943"/>
      <c r="F176" s="2943">
        <v>2780</v>
      </c>
      <c r="G176" s="2943"/>
    </row>
    <row r="177" spans="1:7" s="2777" customFormat="1" ht="14.25" customHeight="1">
      <c r="A177" s="2943" t="s">
        <v>29</v>
      </c>
      <c r="B177" s="2943" t="s">
        <v>3074</v>
      </c>
      <c r="C177" s="2943"/>
      <c r="D177" s="2943"/>
      <c r="E177" s="2943"/>
      <c r="F177" s="2943">
        <v>2780</v>
      </c>
      <c r="G177" s="2943"/>
    </row>
    <row r="178" spans="1:7" s="2777" customFormat="1" ht="14.25" customHeight="1">
      <c r="A178" s="2943" t="s">
        <v>29</v>
      </c>
      <c r="B178" s="2943" t="s">
        <v>3075</v>
      </c>
      <c r="C178" s="2943"/>
      <c r="D178" s="2943"/>
      <c r="E178" s="2943"/>
      <c r="F178" s="2943">
        <v>2060</v>
      </c>
      <c r="G178" s="2943"/>
    </row>
    <row r="179" spans="1:7" s="2777" customFormat="1" ht="14.25" customHeight="1">
      <c r="A179" s="2943" t="s">
        <v>29</v>
      </c>
      <c r="B179" s="2943" t="s">
        <v>3076</v>
      </c>
      <c r="C179" s="2943"/>
      <c r="D179" s="2943"/>
      <c r="E179" s="2943"/>
      <c r="F179" s="2943">
        <v>2120</v>
      </c>
      <c r="G179" s="2943"/>
    </row>
    <row r="180" spans="1:7" s="2777" customFormat="1" ht="14.25" customHeight="1">
      <c r="A180" s="2943" t="s">
        <v>29</v>
      </c>
      <c r="B180" s="2943" t="s">
        <v>3048</v>
      </c>
      <c r="C180" s="2943"/>
      <c r="D180" s="2943"/>
      <c r="E180" s="2943"/>
      <c r="F180" s="2943">
        <v>2340</v>
      </c>
      <c r="G180" s="2943"/>
    </row>
    <row r="181" spans="1:7" s="2777" customFormat="1" ht="14.25" customHeight="1">
      <c r="A181" s="2943" t="s">
        <v>29</v>
      </c>
      <c r="B181" s="2943" t="s">
        <v>3049</v>
      </c>
      <c r="C181" s="2943"/>
      <c r="D181" s="2943"/>
      <c r="E181" s="2943"/>
      <c r="F181" s="2943">
        <v>2340</v>
      </c>
      <c r="G181" s="2943"/>
    </row>
    <row r="182" spans="1:7" s="2777" customFormat="1" ht="14.25" customHeight="1">
      <c r="A182" s="2943" t="s">
        <v>29</v>
      </c>
      <c r="B182" s="2943" t="s">
        <v>3050</v>
      </c>
      <c r="C182" s="2943"/>
      <c r="D182" s="2943"/>
      <c r="E182" s="2943"/>
      <c r="F182" s="2943">
        <v>2340</v>
      </c>
      <c r="G182" s="2943"/>
    </row>
    <row r="183" spans="1:7" s="2777" customFormat="1" ht="14.25" customHeight="1">
      <c r="A183" s="2943" t="s">
        <v>29</v>
      </c>
      <c r="B183" s="2943" t="s">
        <v>3051</v>
      </c>
      <c r="C183" s="2943"/>
      <c r="D183" s="2943"/>
      <c r="E183" s="2943"/>
      <c r="F183" s="2943">
        <v>2340</v>
      </c>
      <c r="G183" s="2943"/>
    </row>
    <row r="184" spans="1:7" s="2777" customFormat="1" ht="14.25" customHeight="1">
      <c r="A184" s="2943" t="s">
        <v>29</v>
      </c>
      <c r="B184" s="2943" t="s">
        <v>3052</v>
      </c>
      <c r="C184" s="2943"/>
      <c r="D184" s="2943"/>
      <c r="E184" s="2943"/>
      <c r="F184" s="2943">
        <v>2340</v>
      </c>
      <c r="G184" s="2943"/>
    </row>
    <row r="185" spans="1:7" s="2777" customFormat="1" ht="14.25" customHeight="1">
      <c r="A185" s="2943" t="s">
        <v>29</v>
      </c>
      <c r="B185" s="2943" t="s">
        <v>3053</v>
      </c>
      <c r="C185" s="2943"/>
      <c r="D185" s="2943"/>
      <c r="E185" s="2943"/>
      <c r="F185" s="2943">
        <v>2530</v>
      </c>
      <c r="G185" s="2943"/>
    </row>
    <row r="186" spans="1:7" s="2777" customFormat="1" ht="14.25" customHeight="1">
      <c r="A186" s="2943" t="s">
        <v>29</v>
      </c>
      <c r="B186" s="2943" t="s">
        <v>3054</v>
      </c>
      <c r="C186" s="2943"/>
      <c r="D186" s="2943"/>
      <c r="E186" s="2943"/>
      <c r="F186" s="2943">
        <v>2550</v>
      </c>
      <c r="G186" s="2943"/>
    </row>
    <row r="187" spans="1:7" s="2777" customFormat="1" ht="14.25" customHeight="1">
      <c r="A187" s="2943" t="s">
        <v>29</v>
      </c>
      <c r="B187" s="2943" t="s">
        <v>3055</v>
      </c>
      <c r="C187" s="2943"/>
      <c r="D187" s="2943"/>
      <c r="E187" s="2943"/>
      <c r="F187" s="2943">
        <v>2070</v>
      </c>
      <c r="G187" s="2943"/>
    </row>
    <row r="188" spans="1:7" s="2777" customFormat="1" ht="14.25" customHeight="1">
      <c r="A188" s="2943" t="s">
        <v>29</v>
      </c>
      <c r="B188" s="2943" t="s">
        <v>3056</v>
      </c>
      <c r="C188" s="2943"/>
      <c r="D188" s="2943"/>
      <c r="E188" s="2943"/>
      <c r="F188" s="2943">
        <v>2340</v>
      </c>
      <c r="G188" s="2943"/>
    </row>
    <row r="189" spans="1:7" s="2777" customFormat="1" ht="14.25" customHeight="1" thickBot="1">
      <c r="A189" s="2951" t="s">
        <v>29</v>
      </c>
      <c r="B189" s="2954" t="s">
        <v>3057</v>
      </c>
      <c r="C189" s="2954"/>
      <c r="D189" s="2954"/>
      <c r="E189" s="2954"/>
      <c r="F189" s="2954">
        <v>2050</v>
      </c>
      <c r="G189" s="2954"/>
    </row>
    <row r="190" spans="1:7" s="2777" customFormat="1" ht="14.25" customHeight="1">
      <c r="A190" s="2948" t="s">
        <v>304</v>
      </c>
      <c r="B190" s="2939" t="s">
        <v>3077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3078</v>
      </c>
      <c r="C199" s="2943">
        <v>8690</v>
      </c>
      <c r="D199" s="2943">
        <v>8630</v>
      </c>
      <c r="E199" s="2943">
        <v>11350</v>
      </c>
      <c r="F199" s="2943">
        <v>1600</v>
      </c>
      <c r="G199" s="2956">
        <v>5450</v>
      </c>
    </row>
    <row r="200" spans="1:7" s="2777" customFormat="1" ht="14.25" customHeight="1">
      <c r="A200" s="2943" t="s">
        <v>304</v>
      </c>
      <c r="B200" s="2943" t="s">
        <v>2889</v>
      </c>
      <c r="C200" s="2943"/>
      <c r="D200" s="2943"/>
      <c r="E200" s="2943"/>
      <c r="F200" s="2943">
        <v>1510</v>
      </c>
      <c r="G200" s="2956"/>
    </row>
    <row r="201" spans="1:7" s="2777" customFormat="1" ht="14.25" customHeight="1">
      <c r="A201" s="2943" t="s">
        <v>304</v>
      </c>
      <c r="B201" s="2943" t="s">
        <v>3079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3080</v>
      </c>
      <c r="C203" s="2943">
        <v>8130</v>
      </c>
      <c r="D203" s="2943">
        <v>8070</v>
      </c>
      <c r="E203" s="2943">
        <v>10820</v>
      </c>
      <c r="F203" s="2943">
        <v>1690</v>
      </c>
      <c r="G203" s="2956">
        <v>5100</v>
      </c>
    </row>
    <row r="204" spans="1:7" s="2777" customFormat="1" ht="14.25" customHeight="1">
      <c r="A204" s="2943" t="s">
        <v>304</v>
      </c>
      <c r="B204" s="2943" t="s">
        <v>2900</v>
      </c>
      <c r="C204" s="2943">
        <v>8350</v>
      </c>
      <c r="D204" s="2943">
        <v>8290</v>
      </c>
      <c r="E204" s="2943">
        <v>11080</v>
      </c>
      <c r="F204" s="2943">
        <v>1450</v>
      </c>
      <c r="G204" s="2956">
        <v>5240</v>
      </c>
    </row>
    <row r="205" spans="1:7" s="2777" customFormat="1" ht="14.25" customHeight="1">
      <c r="A205" s="2943" t="s">
        <v>304</v>
      </c>
      <c r="B205" s="2943" t="s">
        <v>2902</v>
      </c>
      <c r="C205" s="2943">
        <v>7190</v>
      </c>
      <c r="D205" s="2943">
        <v>7130</v>
      </c>
      <c r="E205" s="2943">
        <v>9490</v>
      </c>
      <c r="F205" s="2943">
        <v>1470</v>
      </c>
      <c r="G205" s="2956">
        <v>4510</v>
      </c>
    </row>
    <row r="206" spans="1:7" s="2777" customFormat="1" ht="14.25" customHeight="1">
      <c r="A206" s="2943" t="s">
        <v>304</v>
      </c>
      <c r="B206" s="2943" t="s">
        <v>2905</v>
      </c>
      <c r="C206" s="2943">
        <v>7000</v>
      </c>
      <c r="D206" s="2943">
        <v>6950</v>
      </c>
      <c r="E206" s="2943">
        <v>9170</v>
      </c>
      <c r="F206" s="2943">
        <v>1400</v>
      </c>
      <c r="G206" s="2956">
        <v>4380</v>
      </c>
    </row>
    <row r="207" spans="1:7" s="2777" customFormat="1" ht="14.25" customHeight="1">
      <c r="A207" s="2943" t="s">
        <v>304</v>
      </c>
      <c r="B207" s="2943" t="s">
        <v>2907</v>
      </c>
      <c r="C207" s="2943">
        <v>6950</v>
      </c>
      <c r="D207" s="2943">
        <v>6900</v>
      </c>
      <c r="E207" s="2943">
        <v>9110</v>
      </c>
      <c r="F207" s="2943">
        <v>1790</v>
      </c>
      <c r="G207" s="2956">
        <v>4360</v>
      </c>
    </row>
    <row r="208" spans="1:7" s="2777" customFormat="1" ht="14.25" customHeight="1">
      <c r="A208" s="2943" t="s">
        <v>304</v>
      </c>
      <c r="B208" s="2943" t="s">
        <v>3081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2917</v>
      </c>
      <c r="C210" s="2943">
        <v>8710</v>
      </c>
      <c r="D210" s="2943">
        <v>8660</v>
      </c>
      <c r="E210" s="2943">
        <v>11440</v>
      </c>
      <c r="F210" s="2943">
        <v>1740</v>
      </c>
      <c r="G210" s="2956">
        <v>5470</v>
      </c>
    </row>
    <row r="211" spans="1:7" s="2777" customFormat="1" ht="14.25" customHeight="1">
      <c r="A211" s="2943" t="s">
        <v>304</v>
      </c>
      <c r="B211" s="2943" t="s">
        <v>3082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3083</v>
      </c>
      <c r="C214" s="2943">
        <v>8090</v>
      </c>
      <c r="D214" s="2943">
        <v>8030</v>
      </c>
      <c r="E214" s="2943">
        <v>10780</v>
      </c>
      <c r="F214" s="2943">
        <v>1570</v>
      </c>
      <c r="G214" s="2956">
        <v>5070</v>
      </c>
    </row>
    <row r="215" spans="1:7" s="2777" customFormat="1" ht="14.25" customHeight="1">
      <c r="A215" s="2943" t="s">
        <v>304</v>
      </c>
      <c r="B215" s="2943" t="s">
        <v>3084</v>
      </c>
      <c r="C215" s="2943">
        <v>7950</v>
      </c>
      <c r="D215" s="2943">
        <v>7900</v>
      </c>
      <c r="E215" s="2943">
        <v>10560</v>
      </c>
      <c r="F215" s="2943">
        <v>1630</v>
      </c>
      <c r="G215" s="2956">
        <v>4990</v>
      </c>
    </row>
    <row r="216" spans="1:7" s="2777" customFormat="1" ht="14.25" customHeight="1">
      <c r="A216" s="2943" t="s">
        <v>304</v>
      </c>
      <c r="B216" s="2943" t="s">
        <v>3085</v>
      </c>
      <c r="C216" s="2943">
        <v>8490</v>
      </c>
      <c r="D216" s="2943">
        <v>8440</v>
      </c>
      <c r="E216" s="2943">
        <v>11260</v>
      </c>
      <c r="F216" s="2943">
        <v>1690</v>
      </c>
      <c r="G216" s="2956">
        <v>5330</v>
      </c>
    </row>
    <row r="217" spans="1:7" s="2777" customFormat="1" ht="14.25" customHeight="1">
      <c r="A217" s="2943" t="s">
        <v>304</v>
      </c>
      <c r="B217" s="2943" t="s">
        <v>2950</v>
      </c>
      <c r="C217" s="2943">
        <v>8200</v>
      </c>
      <c r="D217" s="2943">
        <v>8150</v>
      </c>
      <c r="E217" s="2943">
        <v>10910</v>
      </c>
      <c r="F217" s="2943">
        <v>1670</v>
      </c>
      <c r="G217" s="2956">
        <v>5150</v>
      </c>
    </row>
    <row r="218" spans="1:7" s="2777" customFormat="1" ht="14.25" customHeight="1">
      <c r="A218" s="2943" t="s">
        <v>304</v>
      </c>
      <c r="B218" s="2943" t="s">
        <v>3086</v>
      </c>
      <c r="C218" s="2943"/>
      <c r="D218" s="2943"/>
      <c r="E218" s="2943"/>
      <c r="F218" s="2943">
        <v>2040</v>
      </c>
      <c r="G218" s="2956"/>
    </row>
    <row r="219" spans="1:7" s="2777" customFormat="1" ht="14.25" customHeight="1">
      <c r="A219" s="2943" t="s">
        <v>304</v>
      </c>
      <c r="B219" s="2943" t="s">
        <v>3087</v>
      </c>
      <c r="C219" s="2943"/>
      <c r="D219" s="2943"/>
      <c r="E219" s="2943"/>
      <c r="F219" s="2943">
        <v>2040</v>
      </c>
      <c r="G219" s="2956"/>
    </row>
    <row r="220" spans="1:7" s="2777" customFormat="1" ht="14.25" customHeight="1">
      <c r="A220" s="2943" t="s">
        <v>304</v>
      </c>
      <c r="B220" s="2943" t="s">
        <v>3088</v>
      </c>
      <c r="C220" s="2943"/>
      <c r="D220" s="2943"/>
      <c r="E220" s="2943"/>
      <c r="F220" s="2943">
        <v>2040</v>
      </c>
      <c r="G220" s="2956"/>
    </row>
    <row r="221" spans="1:7" s="2777" customFormat="1" ht="14.25" customHeight="1">
      <c r="A221" s="2943" t="s">
        <v>304</v>
      </c>
      <c r="B221" s="2943" t="s">
        <v>3089</v>
      </c>
      <c r="C221" s="2943"/>
      <c r="D221" s="2943"/>
      <c r="E221" s="2943"/>
      <c r="F221" s="2943">
        <v>2040</v>
      </c>
      <c r="G221" s="2956"/>
    </row>
    <row r="222" spans="1:7" s="2777" customFormat="1" ht="14.25" customHeight="1">
      <c r="A222" s="2943" t="s">
        <v>304</v>
      </c>
      <c r="B222" s="2943" t="s">
        <v>3090</v>
      </c>
      <c r="C222" s="2943"/>
      <c r="D222" s="2943"/>
      <c r="E222" s="2943"/>
      <c r="F222" s="2943">
        <v>2040</v>
      </c>
      <c r="G222" s="2956"/>
    </row>
    <row r="223" spans="1:7" s="2777" customFormat="1" ht="14.25" customHeight="1">
      <c r="A223" s="2943" t="s">
        <v>304</v>
      </c>
      <c r="B223" s="2943" t="s">
        <v>3091</v>
      </c>
      <c r="C223" s="2943"/>
      <c r="D223" s="2943"/>
      <c r="E223" s="2943"/>
      <c r="F223" s="2943">
        <v>1930</v>
      </c>
      <c r="G223" s="2956"/>
    </row>
    <row r="224" spans="1:7" s="2777" customFormat="1" ht="14.25" customHeight="1">
      <c r="A224" s="2943" t="s">
        <v>304</v>
      </c>
      <c r="B224" s="2943" t="s">
        <v>3092</v>
      </c>
      <c r="C224" s="2943"/>
      <c r="D224" s="2943"/>
      <c r="E224" s="2943"/>
      <c r="F224" s="2943">
        <v>1930</v>
      </c>
      <c r="G224" s="2956"/>
    </row>
    <row r="225" spans="1:7" s="2777" customFormat="1" ht="14.25" customHeight="1">
      <c r="A225" s="2943" t="s">
        <v>304</v>
      </c>
      <c r="B225" s="2943" t="s">
        <v>3093</v>
      </c>
      <c r="C225" s="2943"/>
      <c r="D225" s="2943"/>
      <c r="E225" s="2943"/>
      <c r="F225" s="2943">
        <v>1930</v>
      </c>
      <c r="G225" s="2956"/>
    </row>
    <row r="226" spans="1:7" s="2777" customFormat="1" ht="14.25" customHeight="1">
      <c r="A226" s="2943" t="s">
        <v>304</v>
      </c>
      <c r="B226" s="2943" t="s">
        <v>3094</v>
      </c>
      <c r="C226" s="2943"/>
      <c r="D226" s="2943"/>
      <c r="E226" s="2943"/>
      <c r="F226" s="2943">
        <v>1700</v>
      </c>
      <c r="G226" s="2956"/>
    </row>
    <row r="227" spans="1:7" s="2777" customFormat="1" ht="14.25" customHeight="1">
      <c r="A227" s="2943" t="s">
        <v>304</v>
      </c>
      <c r="B227" s="2943" t="s">
        <v>3095</v>
      </c>
      <c r="C227" s="2943"/>
      <c r="D227" s="2943"/>
      <c r="E227" s="2943"/>
      <c r="F227" s="2943">
        <v>1520</v>
      </c>
      <c r="G227" s="2956"/>
    </row>
    <row r="228" spans="1:7" s="2777" customFormat="1" ht="14.25" customHeight="1">
      <c r="A228" s="2943" t="s">
        <v>304</v>
      </c>
      <c r="B228" s="2943" t="s">
        <v>3096</v>
      </c>
      <c r="C228" s="2943"/>
      <c r="D228" s="2943"/>
      <c r="E228" s="2943"/>
      <c r="F228" s="2943">
        <v>1520</v>
      </c>
      <c r="G228" s="2956"/>
    </row>
    <row r="229" spans="1:7" s="2777" customFormat="1" ht="14.25" customHeight="1">
      <c r="A229" s="2943" t="s">
        <v>304</v>
      </c>
      <c r="B229" s="2943" t="s">
        <v>3013</v>
      </c>
      <c r="C229" s="2943"/>
      <c r="D229" s="2943"/>
      <c r="E229" s="2943"/>
      <c r="F229" s="2943">
        <v>1520</v>
      </c>
      <c r="G229" s="2956"/>
    </row>
    <row r="230" spans="1:7" s="2777" customFormat="1" ht="14.25" customHeight="1">
      <c r="A230" s="2943" t="s">
        <v>304</v>
      </c>
      <c r="B230" s="2943" t="s">
        <v>3097</v>
      </c>
      <c r="C230" s="2943"/>
      <c r="D230" s="2943"/>
      <c r="E230" s="2943"/>
      <c r="F230" s="2943">
        <v>1820</v>
      </c>
      <c r="G230" s="2956"/>
    </row>
    <row r="231" spans="1:7" s="2777" customFormat="1" ht="14.25" customHeight="1">
      <c r="A231" s="2943" t="s">
        <v>304</v>
      </c>
      <c r="B231" s="2943" t="s">
        <v>3098</v>
      </c>
      <c r="C231" s="2943"/>
      <c r="D231" s="2943"/>
      <c r="E231" s="2943"/>
      <c r="F231" s="2943">
        <v>1760</v>
      </c>
      <c r="G231" s="2956"/>
    </row>
    <row r="232" spans="1:7" s="2777" customFormat="1" ht="14.25" customHeight="1">
      <c r="A232" s="2943" t="s">
        <v>304</v>
      </c>
      <c r="B232" s="2943" t="s">
        <v>3099</v>
      </c>
      <c r="C232" s="2943"/>
      <c r="D232" s="2943"/>
      <c r="E232" s="2943"/>
      <c r="F232" s="2943">
        <v>1840</v>
      </c>
      <c r="G232" s="2956"/>
    </row>
    <row r="233" spans="1:7" s="2777" customFormat="1" ht="14.25" customHeight="1" thickBot="1">
      <c r="A233" s="2957" t="s">
        <v>304</v>
      </c>
      <c r="B233" s="2950" t="s">
        <v>3030</v>
      </c>
      <c r="C233" s="2950"/>
      <c r="D233" s="2950"/>
      <c r="E233" s="2950"/>
      <c r="F233" s="2950">
        <v>1770</v>
      </c>
      <c r="G233" s="2958"/>
    </row>
    <row r="234" spans="1:7" s="2777" customFormat="1" ht="14.25" customHeight="1">
      <c r="A234" s="2948" t="s">
        <v>305</v>
      </c>
      <c r="B234" s="2939" t="s">
        <v>3100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2871</v>
      </c>
      <c r="C238" s="2943">
        <v>6920</v>
      </c>
      <c r="D238" s="2943">
        <v>6890</v>
      </c>
      <c r="E238" s="2943">
        <v>8640</v>
      </c>
      <c r="F238" s="2943">
        <v>1310</v>
      </c>
      <c r="G238" s="2943">
        <v>4230</v>
      </c>
    </row>
    <row r="239" spans="1:7" s="2777" customFormat="1" ht="14.25" customHeight="1">
      <c r="A239" s="2943" t="s">
        <v>305</v>
      </c>
      <c r="B239" s="2943" t="s">
        <v>3101</v>
      </c>
      <c r="C239" s="2943">
        <v>6780</v>
      </c>
      <c r="D239" s="2943">
        <v>6750</v>
      </c>
      <c r="E239" s="2943">
        <v>8440</v>
      </c>
      <c r="F239" s="2943">
        <v>1160</v>
      </c>
      <c r="G239" s="2943">
        <v>4140</v>
      </c>
    </row>
    <row r="240" spans="1:7" s="2777" customFormat="1" ht="14.25" customHeight="1">
      <c r="A240" s="2943" t="s">
        <v>305</v>
      </c>
      <c r="B240" s="2943" t="s">
        <v>3102</v>
      </c>
      <c r="C240" s="2943">
        <v>5420</v>
      </c>
      <c r="D240" s="2943">
        <v>5380</v>
      </c>
      <c r="E240" s="2943">
        <v>6640</v>
      </c>
      <c r="F240" s="2943">
        <v>1020</v>
      </c>
      <c r="G240" s="2943">
        <v>3300</v>
      </c>
    </row>
    <row r="241" spans="1:7" s="2777" customFormat="1" ht="14.25" customHeight="1">
      <c r="A241" s="2943" t="s">
        <v>305</v>
      </c>
      <c r="B241" s="2943" t="s">
        <v>3103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2933</v>
      </c>
      <c r="C258" s="2943">
        <v>6190</v>
      </c>
      <c r="D258" s="2943">
        <v>6160</v>
      </c>
      <c r="E258" s="2943">
        <v>7680</v>
      </c>
      <c r="F258" s="2943">
        <v>1170</v>
      </c>
      <c r="G258" s="2943">
        <v>3780</v>
      </c>
    </row>
    <row r="259" spans="1:7" s="2777" customFormat="1" ht="14.25" customHeight="1">
      <c r="A259" s="2943" t="s">
        <v>305</v>
      </c>
      <c r="B259" s="2943" t="s">
        <v>3109</v>
      </c>
      <c r="C259" s="2943">
        <v>7610</v>
      </c>
      <c r="D259" s="2943">
        <v>7570</v>
      </c>
      <c r="E259" s="2943">
        <v>9350</v>
      </c>
      <c r="F259" s="2943">
        <v>1350</v>
      </c>
      <c r="G259" s="2943">
        <v>4650</v>
      </c>
    </row>
    <row r="260" spans="1:7" s="2777" customFormat="1" ht="14.25" customHeight="1">
      <c r="A260" s="2943" t="s">
        <v>305</v>
      </c>
      <c r="B260" s="2943" t="s">
        <v>3110</v>
      </c>
      <c r="C260" s="2943">
        <v>6920</v>
      </c>
      <c r="D260" s="2943">
        <v>6880</v>
      </c>
      <c r="E260" s="2943">
        <v>8380</v>
      </c>
      <c r="F260" s="2943">
        <v>1160</v>
      </c>
      <c r="G260" s="2943">
        <v>4220</v>
      </c>
    </row>
    <row r="261" spans="1:7" s="2777" customFormat="1" ht="14.25" customHeight="1">
      <c r="A261" s="2943" t="s">
        <v>305</v>
      </c>
      <c r="B261" s="2943" t="s">
        <v>3111</v>
      </c>
      <c r="C261" s="2943">
        <v>6850</v>
      </c>
      <c r="D261" s="2943">
        <v>6810</v>
      </c>
      <c r="E261" s="2943">
        <v>8290</v>
      </c>
      <c r="F261" s="2943">
        <v>1130</v>
      </c>
      <c r="G261" s="2943">
        <v>4180</v>
      </c>
    </row>
    <row r="262" spans="1:7" s="2777" customFormat="1" ht="14.25" customHeight="1">
      <c r="A262" s="2943" t="s">
        <v>305</v>
      </c>
      <c r="B262" s="2943" t="s">
        <v>3112</v>
      </c>
      <c r="C262" s="2943">
        <v>5860</v>
      </c>
      <c r="D262" s="2943">
        <v>5820</v>
      </c>
      <c r="E262" s="2943">
        <v>7640</v>
      </c>
      <c r="F262" s="2943">
        <v>1070</v>
      </c>
      <c r="G262" s="2943">
        <v>3570</v>
      </c>
    </row>
    <row r="263" spans="1:7" s="2777" customFormat="1" ht="14.25" customHeight="1">
      <c r="A263" s="2943" t="s">
        <v>305</v>
      </c>
      <c r="B263" s="2943" t="s">
        <v>3113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3114</v>
      </c>
      <c r="C265" s="2943"/>
      <c r="D265" s="2943"/>
      <c r="E265" s="2943"/>
      <c r="F265" s="2943">
        <v>1500</v>
      </c>
      <c r="G265" s="2943"/>
    </row>
    <row r="266" spans="1:7" s="2777" customFormat="1" ht="14.25" customHeight="1">
      <c r="A266" s="2943" t="s">
        <v>305</v>
      </c>
      <c r="B266" s="2943" t="s">
        <v>3115</v>
      </c>
      <c r="C266" s="2943"/>
      <c r="D266" s="2943"/>
      <c r="E266" s="2943"/>
      <c r="F266" s="2943">
        <v>1500</v>
      </c>
      <c r="G266" s="2943"/>
    </row>
    <row r="267" spans="1:7" s="2777" customFormat="1" ht="14.25" customHeight="1">
      <c r="A267" s="2943" t="s">
        <v>305</v>
      </c>
      <c r="B267" s="2943" t="s">
        <v>3116</v>
      </c>
      <c r="C267" s="2943"/>
      <c r="D267" s="2943"/>
      <c r="E267" s="2943"/>
      <c r="F267" s="2943">
        <v>1500</v>
      </c>
      <c r="G267" s="2943"/>
    </row>
    <row r="268" spans="1:7" s="2777" customFormat="1" ht="14.25" customHeight="1">
      <c r="A268" s="2943" t="s">
        <v>305</v>
      </c>
      <c r="B268" s="2943" t="s">
        <v>3117</v>
      </c>
      <c r="C268" s="2943"/>
      <c r="D268" s="2943"/>
      <c r="E268" s="2943"/>
      <c r="F268" s="2943">
        <v>1290</v>
      </c>
      <c r="G268" s="2943"/>
    </row>
    <row r="269" spans="1:7" s="2777" customFormat="1" ht="14.25" customHeight="1">
      <c r="A269" s="2943" t="s">
        <v>305</v>
      </c>
      <c r="B269" s="2943" t="s">
        <v>3118</v>
      </c>
      <c r="C269" s="2943"/>
      <c r="D269" s="2943"/>
      <c r="E269" s="2943"/>
      <c r="F269" s="2943">
        <v>1150</v>
      </c>
      <c r="G269" s="2943"/>
    </row>
    <row r="270" spans="1:7" s="2777" customFormat="1" ht="14.25" customHeight="1">
      <c r="A270" s="2943" t="s">
        <v>305</v>
      </c>
      <c r="B270" s="2943" t="s">
        <v>3119</v>
      </c>
      <c r="C270" s="2943"/>
      <c r="D270" s="2943"/>
      <c r="E270" s="2943"/>
      <c r="F270" s="2943">
        <v>1380</v>
      </c>
      <c r="G270" s="2943"/>
    </row>
    <row r="271" spans="1:7" s="2777" customFormat="1" ht="14.25" customHeight="1">
      <c r="A271" s="2943" t="s">
        <v>305</v>
      </c>
      <c r="B271" s="2943" t="s">
        <v>3120</v>
      </c>
      <c r="C271" s="2943"/>
      <c r="D271" s="2943"/>
      <c r="E271" s="2943"/>
      <c r="F271" s="2943">
        <v>1460</v>
      </c>
      <c r="G271" s="2943"/>
    </row>
    <row r="272" spans="1:7" s="2777" customFormat="1" ht="14.25" customHeight="1">
      <c r="A272" s="2943" t="s">
        <v>305</v>
      </c>
      <c r="B272" s="2943" t="s">
        <v>3121</v>
      </c>
      <c r="C272" s="2943"/>
      <c r="D272" s="2943"/>
      <c r="E272" s="2943"/>
      <c r="F272" s="2943">
        <v>1460</v>
      </c>
      <c r="G272" s="2943"/>
    </row>
    <row r="273" spans="1:7" s="2777" customFormat="1" ht="14.25" customHeight="1">
      <c r="A273" s="2943" t="s">
        <v>305</v>
      </c>
      <c r="B273" s="2943" t="s">
        <v>3014</v>
      </c>
      <c r="C273" s="2943"/>
      <c r="D273" s="2943"/>
      <c r="E273" s="2943"/>
      <c r="F273" s="2943">
        <v>1490</v>
      </c>
      <c r="G273" s="2943"/>
    </row>
    <row r="274" spans="1:7" s="2777" customFormat="1" ht="14.25" customHeight="1">
      <c r="A274" s="2943" t="s">
        <v>305</v>
      </c>
      <c r="B274" s="2943" t="s">
        <v>3122</v>
      </c>
      <c r="C274" s="2943"/>
      <c r="D274" s="2943"/>
      <c r="E274" s="2943"/>
      <c r="F274" s="2943">
        <v>1490</v>
      </c>
      <c r="G274" s="2943"/>
    </row>
    <row r="275" spans="1:7" s="2777" customFormat="1" ht="14.25" customHeight="1">
      <c r="A275" s="2943" t="s">
        <v>305</v>
      </c>
      <c r="B275" s="2943" t="s">
        <v>3123</v>
      </c>
      <c r="C275" s="2943"/>
      <c r="D275" s="2943"/>
      <c r="E275" s="2943"/>
      <c r="F275" s="2943">
        <v>1220</v>
      </c>
      <c r="G275" s="2943"/>
    </row>
    <row r="276" spans="1:7" s="2777" customFormat="1" ht="14.25" customHeight="1" thickBot="1">
      <c r="A276" s="2951" t="s">
        <v>305</v>
      </c>
      <c r="B276" s="2953" t="s">
        <v>3124</v>
      </c>
      <c r="C276" s="2954"/>
      <c r="D276" s="2954"/>
      <c r="E276" s="2954"/>
      <c r="F276" s="2954">
        <v>1380</v>
      </c>
      <c r="G276" s="2954"/>
    </row>
    <row r="277" spans="1:7" s="2777" customFormat="1" ht="14.25" customHeight="1">
      <c r="A277" s="2948" t="s">
        <v>306</v>
      </c>
      <c r="B277" s="2939" t="s">
        <v>3125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3126</v>
      </c>
      <c r="C279" s="2943">
        <v>4760</v>
      </c>
      <c r="D279" s="2943">
        <v>4720</v>
      </c>
      <c r="E279" s="2943">
        <v>5540</v>
      </c>
      <c r="F279" s="2943">
        <v>810</v>
      </c>
      <c r="G279" s="2956">
        <v>2850</v>
      </c>
    </row>
    <row r="280" spans="1:7" s="2777" customFormat="1" ht="14.25" customHeight="1">
      <c r="A280" s="2943" t="s">
        <v>306</v>
      </c>
      <c r="B280" s="2943" t="s">
        <v>3127</v>
      </c>
      <c r="C280" s="2943">
        <v>4010</v>
      </c>
      <c r="D280" s="2943">
        <v>3950</v>
      </c>
      <c r="E280" s="2943">
        <v>4710</v>
      </c>
      <c r="F280" s="2943">
        <v>800</v>
      </c>
      <c r="G280" s="2956">
        <v>2390</v>
      </c>
    </row>
    <row r="281" spans="1:7" s="2777" customFormat="1" ht="14.25" customHeight="1">
      <c r="A281" s="2943" t="s">
        <v>306</v>
      </c>
      <c r="B281" s="2943" t="s">
        <v>3128</v>
      </c>
      <c r="C281" s="2943">
        <v>4480</v>
      </c>
      <c r="D281" s="2943">
        <v>4420</v>
      </c>
      <c r="E281" s="2943">
        <v>5230</v>
      </c>
      <c r="F281" s="2943">
        <v>870</v>
      </c>
      <c r="G281" s="2956">
        <v>2660</v>
      </c>
    </row>
    <row r="282" spans="1:7" s="2777" customFormat="1" ht="14.25" customHeight="1">
      <c r="A282" s="2943" t="s">
        <v>306</v>
      </c>
      <c r="B282" s="2943" t="s">
        <v>3129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2906</v>
      </c>
      <c r="C293" s="2943">
        <v>5320</v>
      </c>
      <c r="D293" s="2943">
        <v>5270</v>
      </c>
      <c r="E293" s="2943">
        <v>6160</v>
      </c>
      <c r="F293" s="2943">
        <v>990</v>
      </c>
      <c r="G293" s="2956">
        <v>3170</v>
      </c>
    </row>
    <row r="294" spans="1:7" s="2777" customFormat="1" ht="14.25" customHeight="1">
      <c r="A294" s="2943" t="s">
        <v>306</v>
      </c>
      <c r="B294" s="2943" t="s">
        <v>3132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3133</v>
      </c>
      <c r="C302" s="2943">
        <v>5520</v>
      </c>
      <c r="D302" s="2943">
        <v>5470</v>
      </c>
      <c r="E302" s="2943">
        <v>6410</v>
      </c>
      <c r="F302" s="2943">
        <v>950</v>
      </c>
      <c r="G302" s="2956">
        <v>3300</v>
      </c>
    </row>
    <row r="303" spans="1:7" s="2777" customFormat="1" ht="14.25" customHeight="1">
      <c r="A303" s="2943" t="s">
        <v>306</v>
      </c>
      <c r="B303" s="2943" t="s">
        <v>2945</v>
      </c>
      <c r="C303" s="2943">
        <v>5630</v>
      </c>
      <c r="D303" s="2943">
        <v>5590</v>
      </c>
      <c r="E303" s="2943">
        <v>6550</v>
      </c>
      <c r="F303" s="2943">
        <v>1010</v>
      </c>
      <c r="G303" s="2956">
        <v>3370</v>
      </c>
    </row>
    <row r="304" spans="1:7" s="2777" customFormat="1" ht="14.25" customHeight="1">
      <c r="A304" s="2943" t="s">
        <v>306</v>
      </c>
      <c r="B304" s="2943" t="s">
        <v>2952</v>
      </c>
      <c r="C304" s="2943">
        <v>5680</v>
      </c>
      <c r="D304" s="2943">
        <v>5620</v>
      </c>
      <c r="E304" s="2943">
        <v>6620</v>
      </c>
      <c r="F304" s="2943">
        <v>1050</v>
      </c>
      <c r="G304" s="2956">
        <v>3390</v>
      </c>
    </row>
    <row r="305" spans="1:7" s="2777" customFormat="1" ht="14.25" customHeight="1">
      <c r="A305" s="2943" t="s">
        <v>306</v>
      </c>
      <c r="B305" s="2943" t="s">
        <v>2958</v>
      </c>
      <c r="C305" s="2943">
        <v>5590</v>
      </c>
      <c r="D305" s="2943">
        <v>5530</v>
      </c>
      <c r="E305" s="2943">
        <v>6460</v>
      </c>
      <c r="F305" s="2943">
        <v>900</v>
      </c>
      <c r="G305" s="2956">
        <v>3340</v>
      </c>
    </row>
    <row r="306" spans="1:7" s="2777" customFormat="1" ht="14.25" customHeight="1">
      <c r="A306" s="2943" t="s">
        <v>306</v>
      </c>
      <c r="B306" s="2943" t="s">
        <v>3134</v>
      </c>
      <c r="C306" s="2943">
        <v>5560</v>
      </c>
      <c r="D306" s="2943">
        <v>5510</v>
      </c>
      <c r="E306" s="2943">
        <v>6440</v>
      </c>
      <c r="F306" s="2943">
        <v>900</v>
      </c>
      <c r="G306" s="2956">
        <v>3320</v>
      </c>
    </row>
    <row r="307" spans="1:7" s="2777" customFormat="1" ht="14.25" customHeight="1">
      <c r="A307" s="2943" t="s">
        <v>306</v>
      </c>
      <c r="B307" s="2943" t="s">
        <v>2970</v>
      </c>
      <c r="C307" s="2943">
        <v>5650</v>
      </c>
      <c r="D307" s="2943">
        <v>5600</v>
      </c>
      <c r="E307" s="2943">
        <v>6590</v>
      </c>
      <c r="F307" s="2943">
        <v>930</v>
      </c>
      <c r="G307" s="2956">
        <v>3380</v>
      </c>
    </row>
    <row r="308" spans="1:7" s="2777" customFormat="1" ht="14.25" customHeight="1">
      <c r="A308" s="2943" t="s">
        <v>306</v>
      </c>
      <c r="B308" s="2943" t="s">
        <v>3135</v>
      </c>
      <c r="C308" s="2943">
        <v>5620</v>
      </c>
      <c r="D308" s="2943">
        <v>5580</v>
      </c>
      <c r="E308" s="2943">
        <v>6540</v>
      </c>
      <c r="F308" s="2943">
        <v>910</v>
      </c>
      <c r="G308" s="2956">
        <v>3370</v>
      </c>
    </row>
    <row r="309" spans="1:7" s="2777" customFormat="1" ht="14.25" customHeight="1">
      <c r="A309" s="2943" t="s">
        <v>306</v>
      </c>
      <c r="B309" s="2943" t="s">
        <v>3136</v>
      </c>
      <c r="C309" s="2943">
        <v>5060</v>
      </c>
      <c r="D309" s="2943">
        <v>5020</v>
      </c>
      <c r="E309" s="2943">
        <v>6370</v>
      </c>
      <c r="F309" s="2943">
        <v>800</v>
      </c>
      <c r="G309" s="2956">
        <v>3020</v>
      </c>
    </row>
    <row r="310" spans="1:7" s="2777" customFormat="1" ht="14.25" customHeight="1">
      <c r="A310" s="2943" t="s">
        <v>306</v>
      </c>
      <c r="B310" s="2943" t="s">
        <v>2985</v>
      </c>
      <c r="C310" s="2943">
        <v>5150</v>
      </c>
      <c r="D310" s="2943">
        <v>5110</v>
      </c>
      <c r="E310" s="2943">
        <v>6500</v>
      </c>
      <c r="F310" s="2943">
        <v>880</v>
      </c>
      <c r="G310" s="2956">
        <v>3080</v>
      </c>
    </row>
    <row r="311" spans="1:7" s="2777" customFormat="1" ht="14.25" customHeight="1">
      <c r="A311" s="2943" t="s">
        <v>306</v>
      </c>
      <c r="B311" s="2943" t="s">
        <v>3137</v>
      </c>
      <c r="C311" s="2943">
        <v>4750</v>
      </c>
      <c r="D311" s="2943">
        <v>4710</v>
      </c>
      <c r="E311" s="2943">
        <v>5510</v>
      </c>
      <c r="F311" s="2943">
        <v>880</v>
      </c>
      <c r="G311" s="2956">
        <v>2840</v>
      </c>
    </row>
    <row r="312" spans="1:7" s="2777" customFormat="1" ht="14.25" customHeight="1">
      <c r="A312" s="2943" t="s">
        <v>306</v>
      </c>
      <c r="B312" s="2943" t="s">
        <v>2995</v>
      </c>
      <c r="C312" s="2943">
        <v>4690</v>
      </c>
      <c r="D312" s="2943">
        <v>4640</v>
      </c>
      <c r="E312" s="2943">
        <v>5420</v>
      </c>
      <c r="F312" s="2943">
        <v>800</v>
      </c>
      <c r="G312" s="2956">
        <v>2800</v>
      </c>
    </row>
    <row r="313" spans="1:7" s="2777" customFormat="1" ht="14.25" customHeight="1">
      <c r="A313" s="2943" t="s">
        <v>306</v>
      </c>
      <c r="B313" s="2943" t="s">
        <v>3000</v>
      </c>
      <c r="C313" s="2943">
        <v>4810</v>
      </c>
      <c r="D313" s="2943">
        <v>4760</v>
      </c>
      <c r="E313" s="2943">
        <v>5550</v>
      </c>
      <c r="F313" s="2943">
        <v>920</v>
      </c>
      <c r="G313" s="2956">
        <v>2870</v>
      </c>
    </row>
    <row r="314" spans="1:7" s="2777" customFormat="1" ht="14.25" customHeight="1">
      <c r="A314" s="2943" t="s">
        <v>306</v>
      </c>
      <c r="B314" s="2943" t="s">
        <v>3138</v>
      </c>
      <c r="C314" s="2943"/>
      <c r="D314" s="2943"/>
      <c r="E314" s="2943"/>
      <c r="F314" s="2943">
        <v>1020</v>
      </c>
      <c r="G314" s="2956"/>
    </row>
    <row r="315" spans="1:7" s="2777" customFormat="1" ht="14.25" customHeight="1">
      <c r="A315" s="2943" t="s">
        <v>306</v>
      </c>
      <c r="B315" s="2943" t="s">
        <v>3139</v>
      </c>
      <c r="C315" s="2943"/>
      <c r="D315" s="2943"/>
      <c r="E315" s="2943"/>
      <c r="F315" s="2943">
        <v>1050</v>
      </c>
      <c r="G315" s="2956"/>
    </row>
    <row r="316" spans="1:7" s="2777" customFormat="1" ht="14.25" customHeight="1">
      <c r="A316" s="2943" t="s">
        <v>306</v>
      </c>
      <c r="B316" s="2943" t="s">
        <v>3015</v>
      </c>
      <c r="C316" s="2943"/>
      <c r="D316" s="2943"/>
      <c r="E316" s="2943"/>
      <c r="F316" s="2943">
        <v>900</v>
      </c>
      <c r="G316" s="2956"/>
    </row>
    <row r="317" spans="1:7" s="2777" customFormat="1" ht="14.25" customHeight="1">
      <c r="A317" s="2943" t="s">
        <v>306</v>
      </c>
      <c r="B317" s="2943" t="s">
        <v>3140</v>
      </c>
      <c r="C317" s="2943"/>
      <c r="D317" s="2943"/>
      <c r="E317" s="2943"/>
      <c r="F317" s="2943">
        <v>920</v>
      </c>
      <c r="G317" s="2956"/>
    </row>
    <row r="318" spans="1:7" s="2777" customFormat="1" ht="14.25" customHeight="1">
      <c r="A318" s="2943" t="s">
        <v>306</v>
      </c>
      <c r="B318" s="2943" t="s">
        <v>3141</v>
      </c>
      <c r="C318" s="2943"/>
      <c r="D318" s="2943"/>
      <c r="E318" s="2943"/>
      <c r="F318" s="2943">
        <v>1080</v>
      </c>
      <c r="G318" s="2956"/>
    </row>
    <row r="319" spans="1:7" s="2777" customFormat="1" ht="14.25" customHeight="1">
      <c r="A319" s="2943" t="s">
        <v>306</v>
      </c>
      <c r="B319" s="2943" t="s">
        <v>3028</v>
      </c>
      <c r="C319" s="2943"/>
      <c r="D319" s="2943"/>
      <c r="E319" s="2943"/>
      <c r="F319" s="2943">
        <v>1020</v>
      </c>
      <c r="G319" s="2956"/>
    </row>
    <row r="320" spans="1:7" s="2777" customFormat="1" ht="14.25" customHeight="1">
      <c r="A320" s="2943" t="s">
        <v>306</v>
      </c>
      <c r="B320" s="2943" t="s">
        <v>3031</v>
      </c>
      <c r="C320" s="2943"/>
      <c r="D320" s="2943"/>
      <c r="E320" s="2943"/>
      <c r="F320" s="2943">
        <v>1050</v>
      </c>
      <c r="G320" s="2956"/>
    </row>
    <row r="321" spans="1:7" s="2777" customFormat="1" ht="14.25" customHeight="1">
      <c r="A321" s="2943" t="s">
        <v>306</v>
      </c>
      <c r="B321" s="2943" t="s">
        <v>3033</v>
      </c>
      <c r="C321" s="2943"/>
      <c r="D321" s="2943"/>
      <c r="E321" s="2943"/>
      <c r="F321" s="2943">
        <v>960</v>
      </c>
      <c r="G321" s="2956"/>
    </row>
    <row r="322" spans="1:7" s="2777" customFormat="1" ht="14.25" customHeight="1">
      <c r="A322" s="2943" t="s">
        <v>306</v>
      </c>
      <c r="B322" s="2943" t="s">
        <v>3035</v>
      </c>
      <c r="C322" s="2943"/>
      <c r="D322" s="2943"/>
      <c r="E322" s="2943"/>
      <c r="F322" s="2943">
        <v>960</v>
      </c>
      <c r="G322" s="2956"/>
    </row>
    <row r="323" spans="1:7" s="2777" customFormat="1" ht="14.25" customHeight="1">
      <c r="A323" s="2943" t="s">
        <v>306</v>
      </c>
      <c r="B323" s="2943" t="s">
        <v>3037</v>
      </c>
      <c r="C323" s="2943"/>
      <c r="D323" s="2943"/>
      <c r="E323" s="2943"/>
      <c r="F323" s="2943">
        <v>880</v>
      </c>
      <c r="G323" s="2956"/>
    </row>
    <row r="324" spans="1:7" s="2777" customFormat="1" ht="14.25" customHeight="1">
      <c r="A324" s="2943" t="s">
        <v>306</v>
      </c>
      <c r="B324" s="2943" t="s">
        <v>3039</v>
      </c>
      <c r="C324" s="2943"/>
      <c r="D324" s="2943"/>
      <c r="E324" s="2943"/>
      <c r="F324" s="2943">
        <v>930</v>
      </c>
      <c r="G324" s="2956"/>
    </row>
    <row r="325" spans="1:7" s="2777" customFormat="1" ht="14.25" customHeight="1">
      <c r="A325" s="2943" t="s">
        <v>306</v>
      </c>
      <c r="B325" s="2944" t="s">
        <v>3041</v>
      </c>
      <c r="C325" s="2943"/>
      <c r="D325" s="2943"/>
      <c r="E325" s="2943"/>
      <c r="F325" s="2943">
        <v>900</v>
      </c>
      <c r="G325" s="2956"/>
    </row>
    <row r="326" spans="1:7" s="2777" customFormat="1" ht="14.25" customHeight="1" thickBot="1">
      <c r="A326" s="2957" t="s">
        <v>306</v>
      </c>
      <c r="B326" s="2950" t="s">
        <v>3043</v>
      </c>
      <c r="C326" s="2950"/>
      <c r="D326" s="2950"/>
      <c r="E326" s="2950"/>
      <c r="F326" s="2950">
        <v>790</v>
      </c>
      <c r="G326" s="2958"/>
    </row>
    <row r="327" spans="1:7" s="2777" customFormat="1" ht="14.25" customHeight="1">
      <c r="A327" s="2948" t="s">
        <v>307</v>
      </c>
      <c r="B327" s="2939" t="s">
        <v>3142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3143</v>
      </c>
      <c r="C329" s="2943">
        <v>2730</v>
      </c>
      <c r="D329" s="2943">
        <v>2690</v>
      </c>
      <c r="E329" s="2943">
        <v>3100</v>
      </c>
      <c r="F329" s="2943">
        <v>660</v>
      </c>
      <c r="G329" s="2943">
        <v>1610</v>
      </c>
    </row>
    <row r="330" spans="1:7" s="2777" customFormat="1" ht="14.25" customHeight="1">
      <c r="A330" s="2943" t="s">
        <v>307</v>
      </c>
      <c r="B330" s="2943" t="s">
        <v>3144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2877</v>
      </c>
      <c r="C332" s="2943">
        <v>3520</v>
      </c>
      <c r="D332" s="2943">
        <v>3480</v>
      </c>
      <c r="E332" s="2943">
        <v>3830</v>
      </c>
      <c r="F332" s="2943">
        <v>720</v>
      </c>
      <c r="G332" s="2943">
        <v>2090</v>
      </c>
    </row>
    <row r="333" spans="1:7" s="2777" customFormat="1" ht="14.25" customHeight="1">
      <c r="A333" s="2943" t="s">
        <v>307</v>
      </c>
      <c r="B333" s="2943" t="s">
        <v>3145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2887</v>
      </c>
      <c r="C336" s="2943">
        <v>3570</v>
      </c>
      <c r="D336" s="2943">
        <v>3530</v>
      </c>
      <c r="E336" s="2943">
        <v>3880</v>
      </c>
      <c r="F336" s="2943">
        <v>770</v>
      </c>
      <c r="G336" s="2943">
        <v>2110</v>
      </c>
    </row>
    <row r="337" spans="1:10" s="2777" customFormat="1" ht="14.25" customHeight="1">
      <c r="A337" s="2943" t="s">
        <v>307</v>
      </c>
      <c r="B337" s="2943" t="s">
        <v>3146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2912</v>
      </c>
      <c r="C345" s="2943">
        <v>3190</v>
      </c>
      <c r="D345" s="2943">
        <v>3140</v>
      </c>
      <c r="E345" s="2943">
        <v>3450</v>
      </c>
      <c r="F345" s="2943">
        <v>720</v>
      </c>
      <c r="G345" s="2943">
        <v>1880</v>
      </c>
      <c r="J345" s="2777"/>
    </row>
    <row r="346" spans="1:10">
      <c r="A346" s="2943" t="s">
        <v>307</v>
      </c>
      <c r="B346" s="2943" t="s">
        <v>3149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2921</v>
      </c>
      <c r="C348" s="2943">
        <v>4000</v>
      </c>
      <c r="D348" s="2943">
        <v>3950</v>
      </c>
      <c r="E348" s="2943">
        <v>4430</v>
      </c>
      <c r="F348" s="2943">
        <v>760</v>
      </c>
      <c r="G348" s="2943">
        <v>2360</v>
      </c>
      <c r="J348" s="2777"/>
    </row>
    <row r="349" spans="1:10">
      <c r="A349" s="2943" t="s">
        <v>307</v>
      </c>
      <c r="B349" s="2943" t="s">
        <v>2926</v>
      </c>
      <c r="C349" s="2943">
        <v>3820</v>
      </c>
      <c r="D349" s="2943">
        <v>3780</v>
      </c>
      <c r="E349" s="2943">
        <v>4170</v>
      </c>
      <c r="F349" s="2943">
        <v>710</v>
      </c>
      <c r="G349" s="2943">
        <v>2260</v>
      </c>
      <c r="J349" s="2777"/>
    </row>
    <row r="350" spans="1:10">
      <c r="A350" s="2943" t="s">
        <v>307</v>
      </c>
      <c r="B350" s="2943" t="s">
        <v>3150</v>
      </c>
      <c r="C350" s="2943">
        <v>3760</v>
      </c>
      <c r="D350" s="2943">
        <v>3730</v>
      </c>
      <c r="E350" s="2943">
        <v>4100</v>
      </c>
      <c r="F350" s="2943">
        <v>800</v>
      </c>
      <c r="G350" s="2943">
        <v>2230</v>
      </c>
      <c r="J350" s="2777"/>
    </row>
    <row r="351" spans="1:10">
      <c r="A351" s="2943" t="s">
        <v>307</v>
      </c>
      <c r="B351" s="2943" t="s">
        <v>2934</v>
      </c>
      <c r="C351" s="2943">
        <v>3610</v>
      </c>
      <c r="D351" s="2943">
        <v>3580</v>
      </c>
      <c r="E351" s="2943">
        <v>3930</v>
      </c>
      <c r="F351" s="2943">
        <v>700</v>
      </c>
      <c r="G351" s="2943">
        <v>2140</v>
      </c>
      <c r="J351" s="2777"/>
    </row>
    <row r="352" spans="1:10">
      <c r="A352" s="2943" t="s">
        <v>307</v>
      </c>
      <c r="B352" s="2943" t="s">
        <v>2939</v>
      </c>
      <c r="C352" s="2943">
        <v>3670</v>
      </c>
      <c r="D352" s="2943">
        <v>3630</v>
      </c>
      <c r="E352" s="2943">
        <v>4000</v>
      </c>
      <c r="F352" s="2943">
        <v>750</v>
      </c>
      <c r="G352" s="2943">
        <v>2180</v>
      </c>
    </row>
    <row r="353" spans="1:7" s="2778" customFormat="1">
      <c r="A353" s="2943" t="s">
        <v>307</v>
      </c>
      <c r="B353" s="2943" t="s">
        <v>3151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2959</v>
      </c>
      <c r="C355" s="2943">
        <v>3650</v>
      </c>
      <c r="D355" s="2943">
        <v>3610</v>
      </c>
      <c r="E355" s="2943">
        <v>4200</v>
      </c>
      <c r="F355" s="2943">
        <v>640</v>
      </c>
      <c r="G355" s="2943">
        <v>2160</v>
      </c>
    </row>
    <row r="356" spans="1:7" s="2778" customFormat="1">
      <c r="A356" s="2943" t="s">
        <v>307</v>
      </c>
      <c r="B356" s="2943" t="s">
        <v>2966</v>
      </c>
      <c r="C356" s="2943">
        <v>3260</v>
      </c>
      <c r="D356" s="2943">
        <v>3230</v>
      </c>
      <c r="E356" s="2943">
        <v>3740</v>
      </c>
      <c r="F356" s="2943">
        <v>600</v>
      </c>
      <c r="G356" s="2943">
        <v>1930</v>
      </c>
    </row>
    <row r="357" spans="1:7" s="2778" customFormat="1" ht="12" thickBot="1">
      <c r="A357" s="2951" t="s">
        <v>307</v>
      </c>
      <c r="B357" s="2954" t="s">
        <v>3152</v>
      </c>
      <c r="C357" s="2954">
        <v>3690</v>
      </c>
      <c r="D357" s="2954">
        <v>3650</v>
      </c>
      <c r="E357" s="2954">
        <v>4020</v>
      </c>
      <c r="F357" s="2954">
        <v>700</v>
      </c>
      <c r="G357" s="2954">
        <v>2190</v>
      </c>
    </row>
    <row r="358" spans="1:7" s="2778" customFormat="1">
      <c r="A358" s="2948" t="s">
        <v>3153</v>
      </c>
      <c r="B358" s="2939" t="s">
        <v>3154</v>
      </c>
      <c r="C358" s="2939">
        <v>2080</v>
      </c>
      <c r="D358" s="2939">
        <v>2040</v>
      </c>
      <c r="E358" s="2939">
        <v>2010</v>
      </c>
      <c r="F358" s="2939">
        <v>530</v>
      </c>
      <c r="G358" s="2955">
        <v>1230</v>
      </c>
    </row>
    <row r="359" spans="1:7" s="2778" customFormat="1">
      <c r="A359" s="2943" t="s">
        <v>3153</v>
      </c>
      <c r="B359" s="2943" t="s">
        <v>3155</v>
      </c>
      <c r="C359" s="2943">
        <v>1850</v>
      </c>
      <c r="D359" s="2943">
        <v>1820</v>
      </c>
      <c r="E359" s="2943">
        <v>1780</v>
      </c>
      <c r="F359" s="2943">
        <v>520</v>
      </c>
      <c r="G359" s="2956">
        <v>1100</v>
      </c>
    </row>
    <row r="360" spans="1:7" s="2778" customFormat="1">
      <c r="A360" s="2943" t="s">
        <v>3153</v>
      </c>
      <c r="B360" s="2943" t="s">
        <v>3156</v>
      </c>
      <c r="C360" s="2943">
        <v>2020</v>
      </c>
      <c r="D360" s="2943">
        <v>1990</v>
      </c>
      <c r="E360" s="2943">
        <v>1950</v>
      </c>
      <c r="F360" s="2943">
        <v>500</v>
      </c>
      <c r="G360" s="2956">
        <v>1200</v>
      </c>
    </row>
    <row r="361" spans="1:7" s="2778" customFormat="1">
      <c r="A361" s="2943" t="s">
        <v>3153</v>
      </c>
      <c r="B361" s="2943" t="s">
        <v>153</v>
      </c>
      <c r="C361" s="2943">
        <v>2260</v>
      </c>
      <c r="D361" s="2943">
        <v>2220</v>
      </c>
      <c r="E361" s="2943">
        <v>2180</v>
      </c>
      <c r="F361" s="2943">
        <v>580</v>
      </c>
      <c r="G361" s="2956">
        <v>1340</v>
      </c>
    </row>
    <row r="362" spans="1:7" s="2778" customFormat="1">
      <c r="A362" s="2943" t="s">
        <v>3153</v>
      </c>
      <c r="B362" s="2943" t="s">
        <v>3157</v>
      </c>
      <c r="C362" s="2943">
        <v>2650</v>
      </c>
      <c r="D362" s="2943">
        <v>2610</v>
      </c>
      <c r="E362" s="2943">
        <v>2570</v>
      </c>
      <c r="F362" s="2943">
        <v>630</v>
      </c>
      <c r="G362" s="2956">
        <v>1570</v>
      </c>
    </row>
    <row r="363" spans="1:7" s="2778" customFormat="1">
      <c r="A363" s="2943" t="s">
        <v>3153</v>
      </c>
      <c r="B363" s="2943" t="s">
        <v>2878</v>
      </c>
      <c r="C363" s="2943">
        <v>2390</v>
      </c>
      <c r="D363" s="2943">
        <v>2360</v>
      </c>
      <c r="E363" s="2943">
        <v>2320</v>
      </c>
      <c r="F363" s="2943">
        <v>600</v>
      </c>
      <c r="G363" s="2956">
        <v>1420</v>
      </c>
    </row>
    <row r="364" spans="1:7" s="2778" customFormat="1">
      <c r="A364" s="2943" t="s">
        <v>3153</v>
      </c>
      <c r="B364" s="2943" t="s">
        <v>3158</v>
      </c>
      <c r="C364" s="2943">
        <v>2050</v>
      </c>
      <c r="D364" s="2943">
        <v>2030</v>
      </c>
      <c r="E364" s="2943">
        <v>1990</v>
      </c>
      <c r="F364" s="2943">
        <v>550</v>
      </c>
      <c r="G364" s="2956">
        <v>1220</v>
      </c>
    </row>
    <row r="365" spans="1:7" s="2778" customFormat="1">
      <c r="A365" s="2943" t="s">
        <v>3153</v>
      </c>
      <c r="B365" s="2943" t="s">
        <v>200</v>
      </c>
      <c r="C365" s="2943">
        <v>2140</v>
      </c>
      <c r="D365" s="2943">
        <v>2100</v>
      </c>
      <c r="E365" s="2943">
        <v>2060</v>
      </c>
      <c r="F365" s="2943">
        <v>540</v>
      </c>
      <c r="G365" s="2956">
        <v>1270</v>
      </c>
    </row>
    <row r="366" spans="1:7" s="2778" customFormat="1">
      <c r="A366" s="2943" t="s">
        <v>3153</v>
      </c>
      <c r="B366" s="2943" t="s">
        <v>2885</v>
      </c>
      <c r="C366" s="2943">
        <v>2410</v>
      </c>
      <c r="D366" s="2943">
        <v>2370</v>
      </c>
      <c r="E366" s="2943">
        <v>2330</v>
      </c>
      <c r="F366" s="2943">
        <v>570</v>
      </c>
      <c r="G366" s="2956">
        <v>1440</v>
      </c>
    </row>
    <row r="367" spans="1:7" s="2778" customFormat="1">
      <c r="A367" s="2943" t="s">
        <v>3153</v>
      </c>
      <c r="B367" s="2943" t="s">
        <v>3159</v>
      </c>
      <c r="C367" s="2943">
        <v>2300</v>
      </c>
      <c r="D367" s="2943">
        <v>2260</v>
      </c>
      <c r="E367" s="2943">
        <v>2220</v>
      </c>
      <c r="F367" s="2943">
        <v>560</v>
      </c>
      <c r="G367" s="2956">
        <v>1370</v>
      </c>
    </row>
    <row r="368" spans="1:7" s="2778" customFormat="1">
      <c r="A368" s="2943" t="s">
        <v>3153</v>
      </c>
      <c r="B368" s="2943" t="s">
        <v>3160</v>
      </c>
      <c r="C368" s="2943">
        <v>2430</v>
      </c>
      <c r="D368" s="2943">
        <v>2390</v>
      </c>
      <c r="E368" s="2943">
        <v>2350</v>
      </c>
      <c r="F368" s="2943">
        <v>570</v>
      </c>
      <c r="G368" s="2956">
        <v>1450</v>
      </c>
    </row>
    <row r="369" spans="1:7" s="2778" customFormat="1">
      <c r="A369" s="2943" t="s">
        <v>3153</v>
      </c>
      <c r="B369" s="2943" t="s">
        <v>214</v>
      </c>
      <c r="C369" s="2943">
        <v>2320</v>
      </c>
      <c r="D369" s="2943">
        <v>2290</v>
      </c>
      <c r="E369" s="2943">
        <v>2250</v>
      </c>
      <c r="F369" s="2943">
        <v>550</v>
      </c>
      <c r="G369" s="2956">
        <v>1380</v>
      </c>
    </row>
    <row r="370" spans="1:7" s="2778" customFormat="1">
      <c r="A370" s="2943" t="s">
        <v>3153</v>
      </c>
      <c r="B370" s="2943" t="s">
        <v>221</v>
      </c>
      <c r="C370" s="2943">
        <v>2190</v>
      </c>
      <c r="D370" s="2943">
        <v>2170</v>
      </c>
      <c r="E370" s="2943">
        <v>2130</v>
      </c>
      <c r="F370" s="2943">
        <v>530</v>
      </c>
      <c r="G370" s="2956">
        <v>1310</v>
      </c>
    </row>
    <row r="371" spans="1:7" s="2778" customFormat="1">
      <c r="A371" s="2943" t="s">
        <v>3153</v>
      </c>
      <c r="B371" s="2943" t="s">
        <v>229</v>
      </c>
      <c r="C371" s="2943">
        <v>2460</v>
      </c>
      <c r="D371" s="2943">
        <v>2420</v>
      </c>
      <c r="E371" s="2943">
        <v>2370</v>
      </c>
      <c r="F371" s="2943">
        <v>560</v>
      </c>
      <c r="G371" s="2956">
        <v>1470</v>
      </c>
    </row>
    <row r="372" spans="1:7" s="2778" customFormat="1">
      <c r="A372" s="2943" t="s">
        <v>3153</v>
      </c>
      <c r="B372" s="2943" t="s">
        <v>3161</v>
      </c>
      <c r="C372" s="2943">
        <v>2250</v>
      </c>
      <c r="D372" s="2943">
        <v>2210</v>
      </c>
      <c r="E372" s="2943">
        <v>2180</v>
      </c>
      <c r="F372" s="2943">
        <v>550</v>
      </c>
      <c r="G372" s="2956">
        <v>1340</v>
      </c>
    </row>
    <row r="373" spans="1:7" s="2778" customFormat="1">
      <c r="A373" s="2943" t="s">
        <v>3153</v>
      </c>
      <c r="B373" s="2943" t="s">
        <v>258</v>
      </c>
      <c r="C373" s="2943">
        <v>2210</v>
      </c>
      <c r="D373" s="2943">
        <v>2190</v>
      </c>
      <c r="E373" s="2943">
        <v>2150</v>
      </c>
      <c r="F373" s="2943">
        <v>530</v>
      </c>
      <c r="G373" s="2956">
        <v>1320</v>
      </c>
    </row>
    <row r="374" spans="1:7" s="2778" customFormat="1">
      <c r="A374" s="2943" t="s">
        <v>3153</v>
      </c>
      <c r="B374" s="2943" t="s">
        <v>266</v>
      </c>
      <c r="C374" s="2943">
        <v>2320</v>
      </c>
      <c r="D374" s="2943">
        <v>2280</v>
      </c>
      <c r="E374" s="2943">
        <v>2230</v>
      </c>
      <c r="F374" s="2943">
        <v>580</v>
      </c>
      <c r="G374" s="2956">
        <v>1380</v>
      </c>
    </row>
    <row r="375" spans="1:7" s="2778" customFormat="1">
      <c r="A375" s="2943" t="s">
        <v>3153</v>
      </c>
      <c r="B375" s="2943" t="s">
        <v>3162</v>
      </c>
      <c r="C375" s="2943">
        <v>2090</v>
      </c>
      <c r="D375" s="2943">
        <v>2050</v>
      </c>
      <c r="E375" s="2943">
        <v>2020</v>
      </c>
      <c r="F375" s="2943">
        <v>520</v>
      </c>
      <c r="G375" s="2956">
        <v>1240</v>
      </c>
    </row>
    <row r="376" spans="1:7" s="2778" customFormat="1">
      <c r="A376" s="2943" t="s">
        <v>3153</v>
      </c>
      <c r="B376" s="2943" t="s">
        <v>277</v>
      </c>
      <c r="C376" s="2943">
        <v>2010</v>
      </c>
      <c r="D376" s="2943">
        <v>1980</v>
      </c>
      <c r="E376" s="2943">
        <v>1940</v>
      </c>
      <c r="F376" s="2943">
        <v>540</v>
      </c>
      <c r="G376" s="2956">
        <v>1190</v>
      </c>
    </row>
    <row r="377" spans="1:7" s="2778" customFormat="1" ht="12" thickBot="1">
      <c r="A377" s="2951" t="s">
        <v>3153</v>
      </c>
      <c r="B377" s="2954" t="s">
        <v>2915</v>
      </c>
      <c r="C377" s="2954">
        <v>1930</v>
      </c>
      <c r="D377" s="2954">
        <v>1890</v>
      </c>
      <c r="E377" s="2954">
        <v>1860</v>
      </c>
      <c r="F377" s="2954">
        <v>530</v>
      </c>
      <c r="G377" s="2959">
        <v>1150</v>
      </c>
    </row>
    <row r="378" spans="1:7" s="2778" customFormat="1">
      <c r="A378" s="2960" t="s">
        <v>3163</v>
      </c>
      <c r="B378" s="2939" t="s">
        <v>3164</v>
      </c>
      <c r="C378" s="2939">
        <v>1520</v>
      </c>
      <c r="D378" s="2939">
        <v>1490</v>
      </c>
      <c r="E378" s="2939">
        <v>1460</v>
      </c>
      <c r="F378" s="2939">
        <v>460</v>
      </c>
      <c r="G378" s="2955">
        <v>940</v>
      </c>
    </row>
    <row r="379" spans="1:7" s="2778" customFormat="1">
      <c r="A379" s="2961" t="s">
        <v>3163</v>
      </c>
      <c r="B379" s="2943" t="s">
        <v>3165</v>
      </c>
      <c r="C379" s="2943">
        <v>1500</v>
      </c>
      <c r="D379" s="2943">
        <v>1470</v>
      </c>
      <c r="E379" s="2943">
        <v>1430</v>
      </c>
      <c r="F379" s="2943">
        <v>460</v>
      </c>
      <c r="G379" s="2956">
        <v>920</v>
      </c>
    </row>
    <row r="380" spans="1:7" s="2778" customFormat="1">
      <c r="A380" s="2961" t="s">
        <v>3163</v>
      </c>
      <c r="B380" s="2943" t="s">
        <v>3166</v>
      </c>
      <c r="C380" s="2943">
        <v>1620</v>
      </c>
      <c r="D380" s="2943">
        <v>1590</v>
      </c>
      <c r="E380" s="2943">
        <v>1560</v>
      </c>
      <c r="F380" s="2943">
        <v>480</v>
      </c>
      <c r="G380" s="2956">
        <v>1000</v>
      </c>
    </row>
    <row r="381" spans="1:7" s="2778" customFormat="1">
      <c r="A381" s="2961" t="s">
        <v>3163</v>
      </c>
      <c r="B381" s="2943" t="s">
        <v>3167</v>
      </c>
      <c r="C381" s="2943">
        <v>1460</v>
      </c>
      <c r="D381" s="2943">
        <v>1430</v>
      </c>
      <c r="E381" s="2943">
        <v>1390</v>
      </c>
      <c r="F381" s="2943">
        <v>450</v>
      </c>
      <c r="G381" s="2956">
        <v>900</v>
      </c>
    </row>
    <row r="382" spans="1:7" s="2778" customFormat="1">
      <c r="A382" s="2961" t="s">
        <v>3163</v>
      </c>
      <c r="B382" s="2943" t="s">
        <v>3168</v>
      </c>
      <c r="C382" s="2943">
        <v>1310</v>
      </c>
      <c r="D382" s="2943">
        <v>1280</v>
      </c>
      <c r="E382" s="2943">
        <v>1250</v>
      </c>
      <c r="F382" s="2943">
        <v>440</v>
      </c>
      <c r="G382" s="2956">
        <v>800</v>
      </c>
    </row>
    <row r="383" spans="1:7" s="2778" customFormat="1">
      <c r="A383" s="2961" t="s">
        <v>3163</v>
      </c>
      <c r="B383" s="2943" t="s">
        <v>3169</v>
      </c>
      <c r="C383" s="2943">
        <v>1260</v>
      </c>
      <c r="D383" s="2943">
        <v>1230</v>
      </c>
      <c r="E383" s="2943">
        <v>1200</v>
      </c>
      <c r="F383" s="2943">
        <v>420</v>
      </c>
      <c r="G383" s="2956">
        <v>770</v>
      </c>
    </row>
    <row r="384" spans="1:7" s="2778" customFormat="1" ht="12" thickBot="1">
      <c r="A384" s="2962" t="s">
        <v>3163</v>
      </c>
      <c r="B384" s="2950" t="s">
        <v>3170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86" t="s">
        <v>3171</v>
      </c>
      <c r="B1" s="3486"/>
    </row>
    <row r="2" spans="1:7" ht="14.25" thickBot="1">
      <c r="A2" s="2964"/>
      <c r="B2" s="2964"/>
    </row>
    <row r="3" spans="1:7" ht="14.25" thickBot="1">
      <c r="A3" s="2964"/>
      <c r="B3" s="2964"/>
      <c r="C3" s="2965" t="s">
        <v>2801</v>
      </c>
      <c r="D3" s="2965" t="s">
        <v>2857</v>
      </c>
      <c r="E3" s="2965" t="s">
        <v>2803</v>
      </c>
      <c r="F3" s="2965" t="s">
        <v>2858</v>
      </c>
      <c r="G3" s="2965" t="s">
        <v>2621</v>
      </c>
    </row>
    <row r="4" spans="1:7" ht="14.25" thickBot="1">
      <c r="A4" s="2966" t="s">
        <v>2856</v>
      </c>
      <c r="B4" s="2967" t="s">
        <v>2862</v>
      </c>
      <c r="C4" s="2965"/>
      <c r="D4" s="2965"/>
      <c r="E4" s="2965"/>
      <c r="F4" s="2965"/>
      <c r="G4" s="2965"/>
    </row>
    <row r="5" spans="1:7">
      <c r="A5" s="2968" t="s">
        <v>2830</v>
      </c>
      <c r="B5" s="2969" t="s">
        <v>2844</v>
      </c>
      <c r="C5" s="2970">
        <v>9.8000000000000004E-2</v>
      </c>
      <c r="D5" s="2970">
        <v>8.6999999999999994E-2</v>
      </c>
      <c r="E5" s="2970">
        <v>8.6999999999999994E-2</v>
      </c>
      <c r="F5" s="2970">
        <v>9.8000000000000004E-2</v>
      </c>
      <c r="G5" s="2971">
        <v>9.5000000000000001E-2</v>
      </c>
    </row>
    <row r="6" spans="1:7">
      <c r="A6" s="2972" t="s">
        <v>144</v>
      </c>
      <c r="B6" s="2973" t="s">
        <v>2859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2913</v>
      </c>
      <c r="C29" s="2982"/>
      <c r="D29" s="2978">
        <v>5.1999999999999998E-2</v>
      </c>
      <c r="E29" s="2978">
        <v>7.0000000000000007E-2</v>
      </c>
      <c r="F29" s="2982"/>
      <c r="G29" s="2980">
        <v>7.0999999999999994E-2</v>
      </c>
    </row>
    <row r="30" spans="1:7">
      <c r="A30" s="2983" t="s">
        <v>296</v>
      </c>
      <c r="B30" s="2969" t="s">
        <v>2846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2916</v>
      </c>
      <c r="C50" s="2974">
        <v>9.8000000000000004E-2</v>
      </c>
      <c r="D50" s="2974">
        <v>7.2999999999999995E-2</v>
      </c>
      <c r="E50" s="2974">
        <v>7.0999999999999994E-2</v>
      </c>
      <c r="F50" s="2985"/>
      <c r="G50" s="2975">
        <v>7.2999999999999995E-2</v>
      </c>
    </row>
    <row r="51" spans="1:7">
      <c r="A51" s="2984" t="s">
        <v>296</v>
      </c>
      <c r="B51" s="2973" t="s">
        <v>2918</v>
      </c>
      <c r="C51" s="2974">
        <v>9.9000000000000005E-2</v>
      </c>
      <c r="D51" s="2974">
        <v>8.5000000000000006E-2</v>
      </c>
      <c r="E51" s="2974">
        <v>6.3E-2</v>
      </c>
      <c r="F51" s="2985"/>
      <c r="G51" s="2975">
        <v>9.6000000000000002E-2</v>
      </c>
    </row>
    <row r="52" spans="1:7">
      <c r="A52" s="2984" t="s">
        <v>296</v>
      </c>
      <c r="B52" s="2973" t="s">
        <v>2922</v>
      </c>
      <c r="C52" s="2974">
        <v>7.3999999999999996E-2</v>
      </c>
      <c r="D52" s="2974">
        <v>9.6000000000000002E-2</v>
      </c>
      <c r="E52" s="2974">
        <v>0.05</v>
      </c>
      <c r="F52" s="2985"/>
      <c r="G52" s="2975">
        <v>9.8000000000000004E-2</v>
      </c>
    </row>
    <row r="53" spans="1:7">
      <c r="A53" s="2984" t="s">
        <v>296</v>
      </c>
      <c r="B53" s="2973" t="s">
        <v>2927</v>
      </c>
      <c r="C53" s="2974">
        <v>8.5999999999999993E-2</v>
      </c>
      <c r="D53" s="2985"/>
      <c r="E53" s="2974">
        <v>9.1999999999999998E-2</v>
      </c>
      <c r="F53" s="2985"/>
      <c r="G53" s="2986"/>
    </row>
    <row r="54" spans="1:7" ht="14.25" thickBot="1">
      <c r="A54" s="2987" t="s">
        <v>296</v>
      </c>
      <c r="B54" s="2977" t="s">
        <v>2930</v>
      </c>
      <c r="C54" s="2978">
        <v>9.6000000000000002E-2</v>
      </c>
      <c r="D54" s="2979"/>
      <c r="E54" s="2988"/>
      <c r="F54" s="2979"/>
      <c r="G54" s="2989"/>
    </row>
    <row r="55" spans="1:7">
      <c r="A55" s="2983" t="s">
        <v>110</v>
      </c>
      <c r="B55" s="2969" t="s">
        <v>2847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2928</v>
      </c>
      <c r="C78" s="2974">
        <v>0.1</v>
      </c>
      <c r="D78" s="2974">
        <v>8.5000000000000006E-2</v>
      </c>
      <c r="E78" s="2974">
        <v>9.6000000000000002E-2</v>
      </c>
      <c r="F78" s="2985"/>
      <c r="G78" s="2975">
        <v>9.6000000000000002E-2</v>
      </c>
    </row>
    <row r="79" spans="1:7">
      <c r="A79" s="2984" t="s">
        <v>110</v>
      </c>
      <c r="B79" s="2973" t="s">
        <v>2931</v>
      </c>
      <c r="C79" s="2974">
        <v>0.05</v>
      </c>
      <c r="D79" s="2974">
        <v>9.6000000000000002E-2</v>
      </c>
      <c r="E79" s="2974">
        <v>9.5000000000000001E-2</v>
      </c>
      <c r="F79" s="2985"/>
      <c r="G79" s="2975">
        <v>9.8000000000000004E-2</v>
      </c>
    </row>
    <row r="80" spans="1:7">
      <c r="A80" s="2984" t="s">
        <v>110</v>
      </c>
      <c r="B80" s="2973" t="s">
        <v>2935</v>
      </c>
      <c r="C80" s="2974">
        <v>8.5999999999999993E-2</v>
      </c>
      <c r="D80" s="2990"/>
      <c r="E80" s="2974">
        <v>0.1</v>
      </c>
      <c r="F80" s="2985"/>
      <c r="G80" s="2986"/>
    </row>
    <row r="81" spans="1:7">
      <c r="A81" s="2984" t="s">
        <v>110</v>
      </c>
      <c r="B81" s="2973" t="s">
        <v>2940</v>
      </c>
      <c r="C81" s="2974">
        <v>9.6000000000000002E-2</v>
      </c>
      <c r="D81" s="2985"/>
      <c r="E81" s="2974">
        <v>9.8000000000000004E-2</v>
      </c>
      <c r="F81" s="2985"/>
      <c r="G81" s="2986"/>
    </row>
    <row r="82" spans="1:7">
      <c r="A82" s="2984" t="s">
        <v>110</v>
      </c>
      <c r="B82" s="2973" t="s">
        <v>2947</v>
      </c>
      <c r="C82" s="2990"/>
      <c r="D82" s="2985"/>
      <c r="E82" s="2974">
        <v>7.6999999999999999E-2</v>
      </c>
      <c r="F82" s="2985"/>
      <c r="G82" s="2986"/>
    </row>
    <row r="83" spans="1:7">
      <c r="A83" s="2984" t="s">
        <v>110</v>
      </c>
      <c r="B83" s="2973" t="s">
        <v>2953</v>
      </c>
      <c r="C83" s="2985"/>
      <c r="D83" s="2985"/>
      <c r="E83" s="2985"/>
      <c r="F83" s="2974">
        <v>0.1</v>
      </c>
      <c r="G83" s="2991"/>
    </row>
    <row r="84" spans="1:7">
      <c r="A84" s="2984" t="s">
        <v>110</v>
      </c>
      <c r="B84" s="2973" t="s">
        <v>2960</v>
      </c>
      <c r="C84" s="2985"/>
      <c r="D84" s="2985"/>
      <c r="E84" s="2985"/>
      <c r="F84" s="2974">
        <v>0.1</v>
      </c>
      <c r="G84" s="2991"/>
    </row>
    <row r="85" spans="1:7">
      <c r="A85" s="2984" t="s">
        <v>110</v>
      </c>
      <c r="B85" s="2973" t="s">
        <v>2967</v>
      </c>
      <c r="C85" s="2985"/>
      <c r="D85" s="2985"/>
      <c r="E85" s="2985"/>
      <c r="F85" s="2974">
        <v>0.1</v>
      </c>
      <c r="G85" s="2991"/>
    </row>
    <row r="86" spans="1:7" ht="14.25" thickBot="1">
      <c r="A86" s="2987" t="s">
        <v>110</v>
      </c>
      <c r="B86" s="2977" t="s">
        <v>2972</v>
      </c>
      <c r="C86" s="2978">
        <v>9.8000000000000004E-2</v>
      </c>
      <c r="D86" s="2978">
        <v>9.8000000000000004E-2</v>
      </c>
      <c r="E86" s="2978">
        <v>9.6000000000000002E-2</v>
      </c>
      <c r="F86" s="2988"/>
      <c r="G86" s="2980">
        <v>0.1</v>
      </c>
    </row>
    <row r="87" spans="1:7">
      <c r="A87" s="2983" t="s">
        <v>303</v>
      </c>
      <c r="B87" s="2969" t="s">
        <v>2848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2941</v>
      </c>
      <c r="C113" s="2974">
        <v>0.1</v>
      </c>
      <c r="D113" s="2974">
        <v>0.1</v>
      </c>
      <c r="E113" s="2985"/>
      <c r="F113" s="2985"/>
      <c r="G113" s="2975">
        <v>0.1</v>
      </c>
    </row>
    <row r="114" spans="1:7">
      <c r="A114" s="2984" t="s">
        <v>303</v>
      </c>
      <c r="B114" s="2973" t="s">
        <v>2948</v>
      </c>
      <c r="C114" s="2974">
        <v>9.7000000000000003E-2</v>
      </c>
      <c r="D114" s="2974">
        <v>9.7000000000000003E-2</v>
      </c>
      <c r="E114" s="2985"/>
      <c r="F114" s="2985"/>
      <c r="G114" s="2975">
        <v>9.9000000000000005E-2</v>
      </c>
    </row>
    <row r="115" spans="1:7">
      <c r="A115" s="2984" t="s">
        <v>303</v>
      </c>
      <c r="B115" s="2973" t="s">
        <v>2954</v>
      </c>
      <c r="C115" s="2974">
        <v>0.1</v>
      </c>
      <c r="D115" s="2974">
        <v>0.1</v>
      </c>
      <c r="E115" s="2985"/>
      <c r="F115" s="2985"/>
      <c r="G115" s="2975">
        <v>0.1</v>
      </c>
    </row>
    <row r="116" spans="1:7">
      <c r="A116" s="2984" t="s">
        <v>303</v>
      </c>
      <c r="B116" s="2973" t="s">
        <v>2961</v>
      </c>
      <c r="C116" s="2974">
        <v>0.1</v>
      </c>
      <c r="D116" s="2974">
        <v>0.1</v>
      </c>
      <c r="E116" s="2985"/>
      <c r="F116" s="2985"/>
      <c r="G116" s="2975">
        <v>0.1</v>
      </c>
    </row>
    <row r="117" spans="1:7">
      <c r="A117" s="2984" t="s">
        <v>303</v>
      </c>
      <c r="B117" s="2973" t="s">
        <v>2968</v>
      </c>
      <c r="C117" s="2974">
        <v>9.7000000000000003E-2</v>
      </c>
      <c r="D117" s="2974">
        <v>9.7000000000000003E-2</v>
      </c>
      <c r="E117" s="2985"/>
      <c r="F117" s="2985"/>
      <c r="G117" s="2975">
        <v>9.7000000000000003E-2</v>
      </c>
    </row>
    <row r="118" spans="1:7">
      <c r="A118" s="2984" t="s">
        <v>303</v>
      </c>
      <c r="B118" s="2973" t="s">
        <v>2973</v>
      </c>
      <c r="C118" s="2974">
        <v>0.1</v>
      </c>
      <c r="D118" s="2974">
        <v>0.1</v>
      </c>
      <c r="E118" s="2985"/>
      <c r="F118" s="2985"/>
      <c r="G118" s="2975">
        <v>0.1</v>
      </c>
    </row>
    <row r="119" spans="1:7">
      <c r="A119" s="2984" t="s">
        <v>303</v>
      </c>
      <c r="B119" s="2973" t="s">
        <v>2977</v>
      </c>
      <c r="C119" s="2974">
        <v>5.0999999999999997E-2</v>
      </c>
      <c r="D119" s="2974">
        <v>5.1999999999999998E-2</v>
      </c>
      <c r="E119" s="2985"/>
      <c r="F119" s="2990"/>
      <c r="G119" s="2975">
        <v>0.06</v>
      </c>
    </row>
    <row r="120" spans="1:7">
      <c r="A120" s="2984" t="s">
        <v>303</v>
      </c>
      <c r="B120" s="2973" t="s">
        <v>2981</v>
      </c>
      <c r="C120" s="2985"/>
      <c r="D120" s="2985"/>
      <c r="E120" s="2985"/>
      <c r="F120" s="2974">
        <v>0.1</v>
      </c>
      <c r="G120" s="2991"/>
    </row>
    <row r="121" spans="1:7">
      <c r="A121" s="2984" t="s">
        <v>303</v>
      </c>
      <c r="B121" s="2973" t="s">
        <v>2986</v>
      </c>
      <c r="C121" s="2985"/>
      <c r="D121" s="2985"/>
      <c r="E121" s="2985"/>
      <c r="F121" s="2974">
        <v>0.1</v>
      </c>
      <c r="G121" s="2991"/>
    </row>
    <row r="122" spans="1:7">
      <c r="A122" s="2984" t="s">
        <v>303</v>
      </c>
      <c r="B122" s="2973" t="s">
        <v>2991</v>
      </c>
      <c r="C122" s="2974">
        <v>0.1</v>
      </c>
      <c r="D122" s="2974">
        <v>0.1</v>
      </c>
      <c r="E122" s="2974">
        <v>9.8000000000000004E-2</v>
      </c>
      <c r="F122" s="2974">
        <v>0.1</v>
      </c>
      <c r="G122" s="2975">
        <v>0.1</v>
      </c>
    </row>
    <row r="123" spans="1:7">
      <c r="A123" s="2984" t="s">
        <v>303</v>
      </c>
      <c r="B123" s="2973" t="s">
        <v>2996</v>
      </c>
      <c r="C123" s="2974">
        <v>0.1</v>
      </c>
      <c r="D123" s="2974">
        <v>0.1</v>
      </c>
      <c r="E123" s="2974">
        <v>9.8000000000000004E-2</v>
      </c>
      <c r="F123" s="2974">
        <v>0.1</v>
      </c>
      <c r="G123" s="2975">
        <v>0.1</v>
      </c>
    </row>
    <row r="124" spans="1:7">
      <c r="A124" s="2984" t="s">
        <v>303</v>
      </c>
      <c r="B124" s="2973" t="s">
        <v>3001</v>
      </c>
      <c r="C124" s="2974">
        <v>0.1</v>
      </c>
      <c r="D124" s="2974">
        <v>0.1</v>
      </c>
      <c r="E124" s="2974">
        <v>9.8000000000000004E-2</v>
      </c>
      <c r="F124" s="2990"/>
      <c r="G124" s="2975">
        <v>0.1</v>
      </c>
    </row>
    <row r="125" spans="1:7">
      <c r="A125" s="2984" t="s">
        <v>303</v>
      </c>
      <c r="B125" s="2973" t="s">
        <v>3006</v>
      </c>
      <c r="C125" s="2974">
        <v>9.8000000000000004E-2</v>
      </c>
      <c r="D125" s="2974">
        <v>9.8000000000000004E-2</v>
      </c>
      <c r="E125" s="2974">
        <v>9.6000000000000002E-2</v>
      </c>
      <c r="F125" s="2990"/>
      <c r="G125" s="2975">
        <v>0.1</v>
      </c>
    </row>
    <row r="126" spans="1:7" ht="14.25" thickBot="1">
      <c r="A126" s="2987" t="s">
        <v>303</v>
      </c>
      <c r="B126" s="2977" t="s">
        <v>3172</v>
      </c>
      <c r="C126" s="2978">
        <v>0.1</v>
      </c>
      <c r="D126" s="2978">
        <v>0.1</v>
      </c>
      <c r="E126" s="2978">
        <v>9.8000000000000004E-2</v>
      </c>
      <c r="F126" s="2978">
        <v>0.1</v>
      </c>
      <c r="G126" s="2980">
        <v>0.1</v>
      </c>
    </row>
    <row r="127" spans="1:7">
      <c r="A127" s="2983" t="s">
        <v>29</v>
      </c>
      <c r="B127" s="2969" t="s">
        <v>2849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2919</v>
      </c>
      <c r="C148" s="2974">
        <v>0.13</v>
      </c>
      <c r="D148" s="2974">
        <v>0.13</v>
      </c>
      <c r="E148" s="2974">
        <v>0.13</v>
      </c>
      <c r="F148" s="2985"/>
      <c r="G148" s="2975">
        <v>0.13</v>
      </c>
    </row>
    <row r="149" spans="1:7">
      <c r="A149" s="2984" t="s">
        <v>29</v>
      </c>
      <c r="B149" s="2973" t="s">
        <v>2923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2942</v>
      </c>
      <c r="C153" s="2974">
        <v>0.13</v>
      </c>
      <c r="D153" s="2974">
        <v>0.13</v>
      </c>
      <c r="E153" s="2974">
        <v>0.13</v>
      </c>
      <c r="F153" s="2974">
        <v>0.13</v>
      </c>
      <c r="G153" s="2975">
        <v>0.13</v>
      </c>
    </row>
    <row r="154" spans="1:7">
      <c r="A154" s="2984" t="s">
        <v>29</v>
      </c>
      <c r="B154" s="2973" t="s">
        <v>2949</v>
      </c>
      <c r="C154" s="2974">
        <v>0.121</v>
      </c>
      <c r="D154" s="2974">
        <v>0.121</v>
      </c>
      <c r="E154" s="2974">
        <v>0.105</v>
      </c>
      <c r="F154" s="2974">
        <v>0.121</v>
      </c>
      <c r="G154" s="2975">
        <v>0.123</v>
      </c>
    </row>
    <row r="155" spans="1:7">
      <c r="A155" s="2984" t="s">
        <v>29</v>
      </c>
      <c r="B155" s="2973" t="s">
        <v>2955</v>
      </c>
      <c r="C155" s="2974">
        <v>0.1</v>
      </c>
      <c r="D155" s="2974">
        <v>0.1</v>
      </c>
      <c r="E155" s="2974">
        <v>0.1</v>
      </c>
      <c r="F155" s="2974">
        <v>0.1</v>
      </c>
      <c r="G155" s="2975">
        <v>0.1</v>
      </c>
    </row>
    <row r="156" spans="1:7">
      <c r="A156" s="2984" t="s">
        <v>29</v>
      </c>
      <c r="B156" s="2973" t="s">
        <v>2962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2982</v>
      </c>
      <c r="C160" s="2974">
        <v>0.13</v>
      </c>
      <c r="D160" s="2974">
        <v>0.13</v>
      </c>
      <c r="E160" s="2974">
        <v>0.124</v>
      </c>
      <c r="F160" s="2974">
        <v>0.126</v>
      </c>
      <c r="G160" s="2975">
        <v>0.13</v>
      </c>
    </row>
    <row r="161" spans="1:7">
      <c r="A161" s="2984" t="s">
        <v>29</v>
      </c>
      <c r="B161" s="2973" t="s">
        <v>2987</v>
      </c>
      <c r="C161" s="2974">
        <v>0.13</v>
      </c>
      <c r="D161" s="2974">
        <v>0.13</v>
      </c>
      <c r="E161" s="2974">
        <v>0.124</v>
      </c>
      <c r="F161" s="2974">
        <v>0.127</v>
      </c>
      <c r="G161" s="2975">
        <v>0.13</v>
      </c>
    </row>
    <row r="162" spans="1:7">
      <c r="A162" s="2984" t="s">
        <v>29</v>
      </c>
      <c r="B162" s="2973" t="s">
        <v>2992</v>
      </c>
      <c r="C162" s="2974">
        <v>0.1</v>
      </c>
      <c r="D162" s="2974">
        <v>0.1</v>
      </c>
      <c r="E162" s="2974">
        <v>0.1</v>
      </c>
      <c r="F162" s="2974">
        <v>0.121</v>
      </c>
      <c r="G162" s="2975">
        <v>0.105</v>
      </c>
    </row>
    <row r="163" spans="1:7">
      <c r="A163" s="2984" t="s">
        <v>29</v>
      </c>
      <c r="B163" s="2973" t="s">
        <v>2997</v>
      </c>
      <c r="C163" s="2974">
        <v>0.1</v>
      </c>
      <c r="D163" s="2974">
        <v>0.1</v>
      </c>
      <c r="E163" s="2974">
        <v>0.1</v>
      </c>
      <c r="F163" s="2974">
        <v>0.1</v>
      </c>
      <c r="G163" s="2975">
        <v>0.1</v>
      </c>
    </row>
    <row r="164" spans="1:7">
      <c r="A164" s="2984" t="s">
        <v>29</v>
      </c>
      <c r="B164" s="2973" t="s">
        <v>3002</v>
      </c>
      <c r="C164" s="2990"/>
      <c r="D164" s="2990"/>
      <c r="E164" s="2990"/>
      <c r="F164" s="2974">
        <v>0.1</v>
      </c>
      <c r="G164" s="2986"/>
    </row>
    <row r="165" spans="1:7">
      <c r="A165" s="2984" t="s">
        <v>29</v>
      </c>
      <c r="B165" s="2973" t="s">
        <v>3173</v>
      </c>
      <c r="C165" s="2974">
        <v>0.126</v>
      </c>
      <c r="D165" s="2974">
        <v>0.126</v>
      </c>
      <c r="E165" s="2974">
        <v>0.11899999999999999</v>
      </c>
      <c r="F165" s="2974">
        <v>0.13</v>
      </c>
      <c r="G165" s="2975">
        <v>0.128</v>
      </c>
    </row>
    <row r="166" spans="1:7">
      <c r="A166" s="2984" t="s">
        <v>29</v>
      </c>
      <c r="B166" s="2973" t="s">
        <v>3012</v>
      </c>
      <c r="C166" s="2974">
        <v>0.129</v>
      </c>
      <c r="D166" s="2974">
        <v>0.129</v>
      </c>
      <c r="E166" s="2974">
        <v>0.123</v>
      </c>
      <c r="F166" s="2974">
        <v>0.128</v>
      </c>
      <c r="G166" s="2975">
        <v>0.13</v>
      </c>
    </row>
    <row r="167" spans="1:7">
      <c r="A167" s="2984" t="s">
        <v>29</v>
      </c>
      <c r="B167" s="2973" t="s">
        <v>3016</v>
      </c>
      <c r="C167" s="2974">
        <v>0.125</v>
      </c>
      <c r="D167" s="2974">
        <v>0.125</v>
      </c>
      <c r="E167" s="2974">
        <v>0.11700000000000001</v>
      </c>
      <c r="F167" s="2974">
        <v>0.13</v>
      </c>
      <c r="G167" s="2975">
        <v>0.126</v>
      </c>
    </row>
    <row r="168" spans="1:7">
      <c r="A168" s="2984" t="s">
        <v>29</v>
      </c>
      <c r="B168" s="2973" t="s">
        <v>3021</v>
      </c>
      <c r="C168" s="2974">
        <v>0.128</v>
      </c>
      <c r="D168" s="2974">
        <v>0.128</v>
      </c>
      <c r="E168" s="2974">
        <v>0.123</v>
      </c>
      <c r="F168" s="2985"/>
      <c r="G168" s="2975">
        <v>0.13</v>
      </c>
    </row>
    <row r="169" spans="1:7">
      <c r="A169" s="2984" t="s">
        <v>29</v>
      </c>
      <c r="B169" s="2973" t="s">
        <v>3174</v>
      </c>
      <c r="C169" s="2990"/>
      <c r="D169" s="2990"/>
      <c r="E169" s="2990"/>
      <c r="F169" s="2974">
        <v>0.05</v>
      </c>
      <c r="G169" s="2986"/>
    </row>
    <row r="170" spans="1:7">
      <c r="A170" s="2984" t="s">
        <v>29</v>
      </c>
      <c r="B170" s="2973" t="s">
        <v>3175</v>
      </c>
      <c r="C170" s="2990"/>
      <c r="D170" s="2990"/>
      <c r="E170" s="2990"/>
      <c r="F170" s="2974">
        <v>0.05</v>
      </c>
      <c r="G170" s="2986"/>
    </row>
    <row r="171" spans="1:7">
      <c r="A171" s="2984" t="s">
        <v>29</v>
      </c>
      <c r="B171" s="2973" t="s">
        <v>3176</v>
      </c>
      <c r="C171" s="2990"/>
      <c r="D171" s="2990"/>
      <c r="E171" s="2990"/>
      <c r="F171" s="2974">
        <v>0.05</v>
      </c>
      <c r="G171" s="2991"/>
    </row>
    <row r="172" spans="1:7">
      <c r="A172" s="2984" t="s">
        <v>29</v>
      </c>
      <c r="B172" s="2973" t="s">
        <v>3177</v>
      </c>
      <c r="C172" s="2990"/>
      <c r="D172" s="2990"/>
      <c r="E172" s="2990"/>
      <c r="F172" s="2974">
        <v>0.05</v>
      </c>
      <c r="G172" s="2991"/>
    </row>
    <row r="173" spans="1:7">
      <c r="A173" s="2984" t="s">
        <v>29</v>
      </c>
      <c r="B173" s="2973" t="s">
        <v>3178</v>
      </c>
      <c r="C173" s="2990"/>
      <c r="D173" s="2990"/>
      <c r="E173" s="2990"/>
      <c r="F173" s="2974">
        <v>0.05</v>
      </c>
      <c r="G173" s="2986"/>
    </row>
    <row r="174" spans="1:7">
      <c r="A174" s="2984" t="s">
        <v>29</v>
      </c>
      <c r="B174" s="2973" t="s">
        <v>3179</v>
      </c>
      <c r="C174" s="2990"/>
      <c r="D174" s="2990"/>
      <c r="E174" s="2990"/>
      <c r="F174" s="2974">
        <v>0.05</v>
      </c>
      <c r="G174" s="2986"/>
    </row>
    <row r="175" spans="1:7">
      <c r="A175" s="2984" t="s">
        <v>29</v>
      </c>
      <c r="B175" s="2973" t="s">
        <v>3180</v>
      </c>
      <c r="C175" s="2990"/>
      <c r="D175" s="2990"/>
      <c r="E175" s="2990"/>
      <c r="F175" s="2974">
        <v>0.05</v>
      </c>
      <c r="G175" s="2986"/>
    </row>
    <row r="176" spans="1:7">
      <c r="A176" s="2984" t="s">
        <v>29</v>
      </c>
      <c r="B176" s="2973" t="s">
        <v>3181</v>
      </c>
      <c r="C176" s="2990"/>
      <c r="D176" s="2990"/>
      <c r="E176" s="2990"/>
      <c r="F176" s="2974">
        <v>0.05</v>
      </c>
      <c r="G176" s="2986"/>
    </row>
    <row r="177" spans="1:7">
      <c r="A177" s="2984" t="s">
        <v>29</v>
      </c>
      <c r="B177" s="2973" t="s">
        <v>3182</v>
      </c>
      <c r="C177" s="2985"/>
      <c r="D177" s="2985"/>
      <c r="E177" s="2985"/>
      <c r="F177" s="2974">
        <v>0.05</v>
      </c>
      <c r="G177" s="2991"/>
    </row>
    <row r="178" spans="1:7">
      <c r="A178" s="2984" t="s">
        <v>29</v>
      </c>
      <c r="B178" s="2973" t="s">
        <v>3183</v>
      </c>
      <c r="C178" s="2985"/>
      <c r="D178" s="2985"/>
      <c r="E178" s="2985"/>
      <c r="F178" s="2974">
        <v>0.05</v>
      </c>
      <c r="G178" s="2991"/>
    </row>
    <row r="179" spans="1:7">
      <c r="A179" s="2984" t="s">
        <v>29</v>
      </c>
      <c r="B179" s="2973" t="s">
        <v>3184</v>
      </c>
      <c r="C179" s="2985"/>
      <c r="D179" s="2985"/>
      <c r="E179" s="2985"/>
      <c r="F179" s="2974">
        <v>0.05</v>
      </c>
      <c r="G179" s="2991"/>
    </row>
    <row r="180" spans="1:7">
      <c r="A180" s="2984" t="s">
        <v>29</v>
      </c>
      <c r="B180" s="2973" t="s">
        <v>3185</v>
      </c>
      <c r="C180" s="2985"/>
      <c r="D180" s="2985"/>
      <c r="E180" s="2985"/>
      <c r="F180" s="2974">
        <v>0.05</v>
      </c>
      <c r="G180" s="2991"/>
    </row>
    <row r="181" spans="1:7">
      <c r="A181" s="2984" t="s">
        <v>29</v>
      </c>
      <c r="B181" s="2973" t="s">
        <v>3186</v>
      </c>
      <c r="C181" s="2985"/>
      <c r="D181" s="2985"/>
      <c r="E181" s="2985"/>
      <c r="F181" s="2974">
        <v>0.05</v>
      </c>
      <c r="G181" s="2991"/>
    </row>
    <row r="182" spans="1:7">
      <c r="A182" s="2984" t="s">
        <v>29</v>
      </c>
      <c r="B182" s="2973" t="s">
        <v>3187</v>
      </c>
      <c r="C182" s="2985"/>
      <c r="D182" s="2985"/>
      <c r="E182" s="2985"/>
      <c r="F182" s="2974">
        <v>0.05</v>
      </c>
      <c r="G182" s="2991"/>
    </row>
    <row r="183" spans="1:7">
      <c r="A183" s="2984" t="s">
        <v>29</v>
      </c>
      <c r="B183" s="2973" t="s">
        <v>3188</v>
      </c>
      <c r="C183" s="2985"/>
      <c r="D183" s="2985"/>
      <c r="E183" s="2985"/>
      <c r="F183" s="2974">
        <v>0.05</v>
      </c>
      <c r="G183" s="2991"/>
    </row>
    <row r="184" spans="1:7">
      <c r="A184" s="2984" t="s">
        <v>29</v>
      </c>
      <c r="B184" s="2973" t="s">
        <v>3189</v>
      </c>
      <c r="C184" s="2985"/>
      <c r="D184" s="2985"/>
      <c r="E184" s="2985"/>
      <c r="F184" s="2974">
        <v>0.05</v>
      </c>
      <c r="G184" s="2991"/>
    </row>
    <row r="185" spans="1:7">
      <c r="A185" s="2984" t="s">
        <v>29</v>
      </c>
      <c r="B185" s="2973" t="s">
        <v>3190</v>
      </c>
      <c r="C185" s="2985"/>
      <c r="D185" s="2985"/>
      <c r="E185" s="2985"/>
      <c r="F185" s="2974">
        <v>0.05</v>
      </c>
      <c r="G185" s="2991"/>
    </row>
    <row r="186" spans="1:7">
      <c r="A186" s="2984" t="s">
        <v>29</v>
      </c>
      <c r="B186" s="2973" t="s">
        <v>3191</v>
      </c>
      <c r="C186" s="2985"/>
      <c r="D186" s="2985"/>
      <c r="E186" s="2985"/>
      <c r="F186" s="2974">
        <v>0.05</v>
      </c>
      <c r="G186" s="2991"/>
    </row>
    <row r="187" spans="1:7">
      <c r="A187" s="2984" t="s">
        <v>29</v>
      </c>
      <c r="B187" s="2973" t="s">
        <v>3192</v>
      </c>
      <c r="C187" s="2985"/>
      <c r="D187" s="2985"/>
      <c r="E187" s="2985"/>
      <c r="F187" s="2974">
        <v>0.05</v>
      </c>
      <c r="G187" s="2991"/>
    </row>
    <row r="188" spans="1:7">
      <c r="A188" s="2984" t="s">
        <v>29</v>
      </c>
      <c r="B188" s="2973" t="s">
        <v>3193</v>
      </c>
      <c r="C188" s="2985"/>
      <c r="D188" s="2985"/>
      <c r="E188" s="2985"/>
      <c r="F188" s="2974">
        <v>0.05</v>
      </c>
      <c r="G188" s="2991"/>
    </row>
    <row r="189" spans="1:7" ht="14.25" thickBot="1">
      <c r="A189" s="2987" t="s">
        <v>29</v>
      </c>
      <c r="B189" s="2977" t="s">
        <v>3194</v>
      </c>
      <c r="C189" s="2979"/>
      <c r="D189" s="2979"/>
      <c r="E189" s="2979"/>
      <c r="F189" s="2978">
        <v>0.05</v>
      </c>
      <c r="G189" s="2992"/>
    </row>
    <row r="190" spans="1:7">
      <c r="A190" s="2983" t="s">
        <v>304</v>
      </c>
      <c r="B190" s="2969" t="s">
        <v>2850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2886</v>
      </c>
      <c r="C199" s="2974">
        <v>0.13</v>
      </c>
      <c r="D199" s="2974">
        <v>0.13</v>
      </c>
      <c r="E199" s="2974">
        <v>0.13</v>
      </c>
      <c r="F199" s="2974">
        <v>0.13</v>
      </c>
      <c r="G199" s="2975">
        <v>0.13</v>
      </c>
    </row>
    <row r="200" spans="1:7">
      <c r="A200" s="2984" t="s">
        <v>304</v>
      </c>
      <c r="B200" s="2973" t="s">
        <v>2889</v>
      </c>
      <c r="C200" s="2990"/>
      <c r="D200" s="2990"/>
      <c r="E200" s="2990"/>
      <c r="F200" s="2974">
        <v>0.13</v>
      </c>
      <c r="G200" s="2986"/>
    </row>
    <row r="201" spans="1:7">
      <c r="A201" s="2984" t="s">
        <v>304</v>
      </c>
      <c r="B201" s="2973" t="s">
        <v>2894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2897</v>
      </c>
      <c r="C203" s="2974">
        <v>0.129</v>
      </c>
      <c r="D203" s="2974">
        <v>0.129</v>
      </c>
      <c r="E203" s="2974">
        <v>0.13</v>
      </c>
      <c r="F203" s="2974">
        <v>0.13</v>
      </c>
      <c r="G203" s="2975">
        <v>0.13</v>
      </c>
    </row>
    <row r="204" spans="1:7">
      <c r="A204" s="2984" t="s">
        <v>304</v>
      </c>
      <c r="B204" s="2973" t="s">
        <v>2900</v>
      </c>
      <c r="C204" s="2974">
        <v>0.129</v>
      </c>
      <c r="D204" s="2974">
        <v>0.129</v>
      </c>
      <c r="E204" s="2974">
        <v>0.123</v>
      </c>
      <c r="F204" s="2974">
        <v>0.13</v>
      </c>
      <c r="G204" s="2975">
        <v>0.13</v>
      </c>
    </row>
    <row r="205" spans="1:7">
      <c r="A205" s="2984" t="s">
        <v>304</v>
      </c>
      <c r="B205" s="2973" t="s">
        <v>2902</v>
      </c>
      <c r="C205" s="2974">
        <v>0.13</v>
      </c>
      <c r="D205" s="2974">
        <v>0.13</v>
      </c>
      <c r="E205" s="2974">
        <v>0.13</v>
      </c>
      <c r="F205" s="2974">
        <v>0.13</v>
      </c>
      <c r="G205" s="2975">
        <v>0.13</v>
      </c>
    </row>
    <row r="206" spans="1:7">
      <c r="A206" s="2984" t="s">
        <v>304</v>
      </c>
      <c r="B206" s="2973" t="s">
        <v>2905</v>
      </c>
      <c r="C206" s="2974">
        <v>0.13</v>
      </c>
      <c r="D206" s="2974">
        <v>0.13</v>
      </c>
      <c r="E206" s="2974">
        <v>0.13</v>
      </c>
      <c r="F206" s="2974">
        <v>0.128</v>
      </c>
      <c r="G206" s="2975">
        <v>0.13</v>
      </c>
    </row>
    <row r="207" spans="1:7">
      <c r="A207" s="2984" t="s">
        <v>304</v>
      </c>
      <c r="B207" s="2973" t="s">
        <v>2907</v>
      </c>
      <c r="C207" s="2974">
        <v>0.13</v>
      </c>
      <c r="D207" s="2974">
        <v>0.13</v>
      </c>
      <c r="E207" s="2974">
        <v>0.13</v>
      </c>
      <c r="F207" s="2974">
        <v>0.13</v>
      </c>
      <c r="G207" s="2975">
        <v>0.13</v>
      </c>
    </row>
    <row r="208" spans="1:7">
      <c r="A208" s="2984" t="s">
        <v>304</v>
      </c>
      <c r="B208" s="2973" t="s">
        <v>2910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2917</v>
      </c>
      <c r="C210" s="2974">
        <v>0.121</v>
      </c>
      <c r="D210" s="2974">
        <v>0.121</v>
      </c>
      <c r="E210" s="2974">
        <v>0.125</v>
      </c>
      <c r="F210" s="2974">
        <v>0.13</v>
      </c>
      <c r="G210" s="2975">
        <v>0.123</v>
      </c>
    </row>
    <row r="211" spans="1:7">
      <c r="A211" s="2984" t="s">
        <v>304</v>
      </c>
      <c r="B211" s="2973" t="s">
        <v>2920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2932</v>
      </c>
      <c r="C214" s="2974">
        <v>0.128</v>
      </c>
      <c r="D214" s="2974">
        <v>0.128</v>
      </c>
      <c r="E214" s="2974">
        <v>0.13</v>
      </c>
      <c r="F214" s="2974">
        <v>0.13</v>
      </c>
      <c r="G214" s="2975">
        <v>0.13</v>
      </c>
    </row>
    <row r="215" spans="1:7">
      <c r="A215" s="2984" t="s">
        <v>304</v>
      </c>
      <c r="B215" s="2973" t="s">
        <v>2936</v>
      </c>
      <c r="C215" s="2974">
        <v>0.13</v>
      </c>
      <c r="D215" s="2974">
        <v>0.13</v>
      </c>
      <c r="E215" s="2974">
        <v>0.13</v>
      </c>
      <c r="F215" s="2974">
        <v>0.129</v>
      </c>
      <c r="G215" s="2975">
        <v>0.13</v>
      </c>
    </row>
    <row r="216" spans="1:7">
      <c r="A216" s="2984" t="s">
        <v>304</v>
      </c>
      <c r="B216" s="2973" t="s">
        <v>2943</v>
      </c>
      <c r="C216" s="2974">
        <v>0.13</v>
      </c>
      <c r="D216" s="2974">
        <v>0.13</v>
      </c>
      <c r="E216" s="2974">
        <v>0.13</v>
      </c>
      <c r="F216" s="2974">
        <v>0.13</v>
      </c>
      <c r="G216" s="2975">
        <v>0.13</v>
      </c>
    </row>
    <row r="217" spans="1:7">
      <c r="A217" s="2984" t="s">
        <v>304</v>
      </c>
      <c r="B217" s="2973" t="s">
        <v>2950</v>
      </c>
      <c r="C217" s="2974">
        <v>0.129</v>
      </c>
      <c r="D217" s="2974">
        <v>0.129</v>
      </c>
      <c r="E217" s="2974">
        <v>0.13</v>
      </c>
      <c r="F217" s="2974">
        <v>0.13</v>
      </c>
      <c r="G217" s="2975">
        <v>0.13</v>
      </c>
    </row>
    <row r="218" spans="1:7">
      <c r="A218" s="2984" t="s">
        <v>304</v>
      </c>
      <c r="B218" s="2973" t="s">
        <v>2956</v>
      </c>
      <c r="C218" s="2985"/>
      <c r="D218" s="2985"/>
      <c r="E218" s="2985"/>
      <c r="F218" s="2974">
        <v>0.05</v>
      </c>
      <c r="G218" s="2991"/>
    </row>
    <row r="219" spans="1:7">
      <c r="A219" s="2984" t="s">
        <v>304</v>
      </c>
      <c r="B219" s="2973" t="s">
        <v>2963</v>
      </c>
      <c r="C219" s="2985"/>
      <c r="D219" s="2985"/>
      <c r="E219" s="2985"/>
      <c r="F219" s="2974">
        <v>0.05</v>
      </c>
      <c r="G219" s="2991"/>
    </row>
    <row r="220" spans="1:7">
      <c r="A220" s="2984" t="s">
        <v>304</v>
      </c>
      <c r="B220" s="2973" t="s">
        <v>2969</v>
      </c>
      <c r="C220" s="2985"/>
      <c r="D220" s="2985"/>
      <c r="E220" s="2985"/>
      <c r="F220" s="2974">
        <v>0.05</v>
      </c>
      <c r="G220" s="2991"/>
    </row>
    <row r="221" spans="1:7">
      <c r="A221" s="2984" t="s">
        <v>304</v>
      </c>
      <c r="B221" s="2973" t="s">
        <v>2974</v>
      </c>
      <c r="C221" s="2985"/>
      <c r="D221" s="2985"/>
      <c r="E221" s="2985"/>
      <c r="F221" s="2974">
        <v>0.05</v>
      </c>
      <c r="G221" s="2991"/>
    </row>
    <row r="222" spans="1:7">
      <c r="A222" s="2984" t="s">
        <v>304</v>
      </c>
      <c r="B222" s="2973" t="s">
        <v>2978</v>
      </c>
      <c r="C222" s="2985"/>
      <c r="D222" s="2985"/>
      <c r="E222" s="2985"/>
      <c r="F222" s="2974">
        <v>0.05</v>
      </c>
      <c r="G222" s="2991"/>
    </row>
    <row r="223" spans="1:7">
      <c r="A223" s="2984" t="s">
        <v>304</v>
      </c>
      <c r="B223" s="2973" t="s">
        <v>2983</v>
      </c>
      <c r="C223" s="2985"/>
      <c r="D223" s="2985"/>
      <c r="E223" s="2985"/>
      <c r="F223" s="2974">
        <v>0.05</v>
      </c>
      <c r="G223" s="2991"/>
    </row>
    <row r="224" spans="1:7">
      <c r="A224" s="2984" t="s">
        <v>304</v>
      </c>
      <c r="B224" s="2973" t="s">
        <v>2988</v>
      </c>
      <c r="C224" s="2985"/>
      <c r="D224" s="2985"/>
      <c r="E224" s="2985"/>
      <c r="F224" s="2974">
        <v>0.05</v>
      </c>
      <c r="G224" s="2991"/>
    </row>
    <row r="225" spans="1:7">
      <c r="A225" s="2984" t="s">
        <v>304</v>
      </c>
      <c r="B225" s="2973" t="s">
        <v>2993</v>
      </c>
      <c r="C225" s="2985"/>
      <c r="D225" s="2985"/>
      <c r="E225" s="2985"/>
      <c r="F225" s="2974">
        <v>0.05</v>
      </c>
      <c r="G225" s="2991"/>
    </row>
    <row r="226" spans="1:7">
      <c r="A226" s="2984" t="s">
        <v>304</v>
      </c>
      <c r="B226" s="2973" t="s">
        <v>3195</v>
      </c>
      <c r="C226" s="2985"/>
      <c r="D226" s="2985"/>
      <c r="E226" s="2985"/>
      <c r="F226" s="2974">
        <v>0.05</v>
      </c>
      <c r="G226" s="2991"/>
    </row>
    <row r="227" spans="1:7">
      <c r="A227" s="2984" t="s">
        <v>304</v>
      </c>
      <c r="B227" s="2973" t="s">
        <v>3196</v>
      </c>
      <c r="C227" s="2985"/>
      <c r="D227" s="2985"/>
      <c r="E227" s="2985"/>
      <c r="F227" s="2974">
        <v>0.05</v>
      </c>
      <c r="G227" s="2991"/>
    </row>
    <row r="228" spans="1:7">
      <c r="A228" s="2984" t="s">
        <v>304</v>
      </c>
      <c r="B228" s="2973" t="s">
        <v>3197</v>
      </c>
      <c r="C228" s="2985"/>
      <c r="D228" s="2985"/>
      <c r="E228" s="2985"/>
      <c r="F228" s="2974">
        <v>0.05</v>
      </c>
      <c r="G228" s="2991"/>
    </row>
    <row r="229" spans="1:7">
      <c r="A229" s="2984" t="s">
        <v>304</v>
      </c>
      <c r="B229" s="2973" t="s">
        <v>3198</v>
      </c>
      <c r="C229" s="2985"/>
      <c r="D229" s="2985"/>
      <c r="E229" s="2985"/>
      <c r="F229" s="2974">
        <v>0.05</v>
      </c>
      <c r="G229" s="2991"/>
    </row>
    <row r="230" spans="1:7">
      <c r="A230" s="2984" t="s">
        <v>304</v>
      </c>
      <c r="B230" s="2973" t="s">
        <v>3199</v>
      </c>
      <c r="C230" s="2985"/>
      <c r="D230" s="2985"/>
      <c r="E230" s="2985"/>
      <c r="F230" s="2974">
        <v>0.05</v>
      </c>
      <c r="G230" s="2991"/>
    </row>
    <row r="231" spans="1:7">
      <c r="A231" s="2984" t="s">
        <v>304</v>
      </c>
      <c r="B231" s="2973" t="s">
        <v>3200</v>
      </c>
      <c r="C231" s="2985"/>
      <c r="D231" s="2985"/>
      <c r="E231" s="2985"/>
      <c r="F231" s="2974">
        <v>0.05</v>
      </c>
      <c r="G231" s="2991"/>
    </row>
    <row r="232" spans="1:7">
      <c r="A232" s="2984" t="s">
        <v>304</v>
      </c>
      <c r="B232" s="2973" t="s">
        <v>3201</v>
      </c>
      <c r="C232" s="2985"/>
      <c r="D232" s="2985"/>
      <c r="E232" s="2985"/>
      <c r="F232" s="2974">
        <v>0.05</v>
      </c>
      <c r="G232" s="2991"/>
    </row>
    <row r="233" spans="1:7" ht="14.25" thickBot="1">
      <c r="A233" s="2987" t="s">
        <v>304</v>
      </c>
      <c r="B233" s="2977" t="s">
        <v>3202</v>
      </c>
      <c r="C233" s="2979"/>
      <c r="D233" s="2979"/>
      <c r="E233" s="2979"/>
      <c r="F233" s="2978">
        <v>0.05</v>
      </c>
      <c r="G233" s="2992"/>
    </row>
    <row r="234" spans="1:7">
      <c r="A234" s="2983" t="s">
        <v>305</v>
      </c>
      <c r="B234" s="2969" t="s">
        <v>2851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2871</v>
      </c>
      <c r="C238" s="2974">
        <v>0.14899999999999999</v>
      </c>
      <c r="D238" s="2974">
        <v>0.14899999999999999</v>
      </c>
      <c r="E238" s="2974">
        <v>0.15</v>
      </c>
      <c r="F238" s="2974">
        <v>0.15</v>
      </c>
      <c r="G238" s="2975">
        <v>0.15</v>
      </c>
    </row>
    <row r="239" spans="1:7">
      <c r="A239" s="2984" t="s">
        <v>305</v>
      </c>
      <c r="B239" s="2973" t="s">
        <v>2875</v>
      </c>
      <c r="C239" s="2974">
        <v>0.15</v>
      </c>
      <c r="D239" s="2974">
        <v>0.15</v>
      </c>
      <c r="E239" s="2974">
        <v>0.15</v>
      </c>
      <c r="F239" s="2974">
        <v>0.15</v>
      </c>
      <c r="G239" s="2975">
        <v>0.15</v>
      </c>
    </row>
    <row r="240" spans="1:7">
      <c r="A240" s="2984" t="s">
        <v>305</v>
      </c>
      <c r="B240" s="2973" t="s">
        <v>2880</v>
      </c>
      <c r="C240" s="2974">
        <v>0.15</v>
      </c>
      <c r="D240" s="2974">
        <v>0.15</v>
      </c>
      <c r="E240" s="2974">
        <v>0.15</v>
      </c>
      <c r="F240" s="2974">
        <v>0.15</v>
      </c>
      <c r="G240" s="2975">
        <v>0.15</v>
      </c>
    </row>
    <row r="241" spans="1:7">
      <c r="A241" s="2984" t="s">
        <v>305</v>
      </c>
      <c r="B241" s="2973" t="s">
        <v>2884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2933</v>
      </c>
      <c r="C258" s="2974">
        <v>0.14299999999999999</v>
      </c>
      <c r="D258" s="2974">
        <v>0.14299999999999999</v>
      </c>
      <c r="E258" s="2974">
        <v>0.15</v>
      </c>
      <c r="F258" s="2974">
        <v>0.14799999999999999</v>
      </c>
      <c r="G258" s="2975">
        <v>0.14599999999999999</v>
      </c>
    </row>
    <row r="259" spans="1:7">
      <c r="A259" s="2984" t="s">
        <v>305</v>
      </c>
      <c r="B259" s="2973" t="s">
        <v>2937</v>
      </c>
      <c r="C259" s="2974">
        <v>0.14399999999999999</v>
      </c>
      <c r="D259" s="2974">
        <v>0.14399999999999999</v>
      </c>
      <c r="E259" s="2974">
        <v>0.14899999999999999</v>
      </c>
      <c r="F259" s="2974">
        <v>0.14699999999999999</v>
      </c>
      <c r="G259" s="2975">
        <v>0.14599999999999999</v>
      </c>
    </row>
    <row r="260" spans="1:7">
      <c r="A260" s="2984" t="s">
        <v>305</v>
      </c>
      <c r="B260" s="2973" t="s">
        <v>2944</v>
      </c>
      <c r="C260" s="2974">
        <v>0.109</v>
      </c>
      <c r="D260" s="2974">
        <v>0.111</v>
      </c>
      <c r="E260" s="2974">
        <v>0.13100000000000001</v>
      </c>
      <c r="F260" s="2974">
        <v>0.126</v>
      </c>
      <c r="G260" s="2975">
        <v>0.11899999999999999</v>
      </c>
    </row>
    <row r="261" spans="1:7">
      <c r="A261" s="2984" t="s">
        <v>305</v>
      </c>
      <c r="B261" s="2973" t="s">
        <v>2951</v>
      </c>
      <c r="C261" s="2974">
        <v>0.1</v>
      </c>
      <c r="D261" s="2974">
        <v>0.1</v>
      </c>
      <c r="E261" s="2974">
        <v>0.11799999999999999</v>
      </c>
      <c r="F261" s="2974">
        <v>0.108</v>
      </c>
      <c r="G261" s="2975">
        <v>0.107</v>
      </c>
    </row>
    <row r="262" spans="1:7">
      <c r="A262" s="2984" t="s">
        <v>305</v>
      </c>
      <c r="B262" s="2973" t="s">
        <v>2957</v>
      </c>
      <c r="C262" s="2974">
        <v>0.1</v>
      </c>
      <c r="D262" s="2974">
        <v>0.1</v>
      </c>
      <c r="E262" s="2974">
        <v>0.1</v>
      </c>
      <c r="F262" s="2974">
        <v>0.14099999999999999</v>
      </c>
      <c r="G262" s="2975">
        <v>0.1</v>
      </c>
    </row>
    <row r="263" spans="1:7">
      <c r="A263" s="2984" t="s">
        <v>305</v>
      </c>
      <c r="B263" s="2973" t="s">
        <v>2964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2975</v>
      </c>
      <c r="C265" s="2985"/>
      <c r="D265" s="2985"/>
      <c r="E265" s="2985"/>
      <c r="F265" s="2974">
        <v>0.05</v>
      </c>
      <c r="G265" s="2991"/>
    </row>
    <row r="266" spans="1:7">
      <c r="A266" s="2984" t="s">
        <v>305</v>
      </c>
      <c r="B266" s="2973" t="s">
        <v>2979</v>
      </c>
      <c r="C266" s="2985"/>
      <c r="D266" s="2985"/>
      <c r="E266" s="2985"/>
      <c r="F266" s="2974">
        <v>0.05</v>
      </c>
      <c r="G266" s="2991"/>
    </row>
    <row r="267" spans="1:7">
      <c r="A267" s="2984" t="s">
        <v>305</v>
      </c>
      <c r="B267" s="2973" t="s">
        <v>2984</v>
      </c>
      <c r="C267" s="2985"/>
      <c r="D267" s="2985"/>
      <c r="E267" s="2985"/>
      <c r="F267" s="2974">
        <v>0.05</v>
      </c>
      <c r="G267" s="2991"/>
    </row>
    <row r="268" spans="1:7">
      <c r="A268" s="2984" t="s">
        <v>305</v>
      </c>
      <c r="B268" s="2973" t="s">
        <v>2989</v>
      </c>
      <c r="C268" s="2985"/>
      <c r="D268" s="2985"/>
      <c r="E268" s="2985"/>
      <c r="F268" s="2974">
        <v>0.05</v>
      </c>
      <c r="G268" s="2991"/>
    </row>
    <row r="269" spans="1:7">
      <c r="A269" s="2984" t="s">
        <v>305</v>
      </c>
      <c r="B269" s="2973" t="s">
        <v>2994</v>
      </c>
      <c r="C269" s="2985"/>
      <c r="D269" s="2985"/>
      <c r="E269" s="2985"/>
      <c r="F269" s="2974">
        <v>0.05</v>
      </c>
      <c r="G269" s="2991"/>
    </row>
    <row r="270" spans="1:7">
      <c r="A270" s="2984" t="s">
        <v>305</v>
      </c>
      <c r="B270" s="2973" t="s">
        <v>2999</v>
      </c>
      <c r="C270" s="2985"/>
      <c r="D270" s="2985"/>
      <c r="E270" s="2985"/>
      <c r="F270" s="2974">
        <v>0.05</v>
      </c>
      <c r="G270" s="2991"/>
    </row>
    <row r="271" spans="1:7">
      <c r="A271" s="2984" t="s">
        <v>305</v>
      </c>
      <c r="B271" s="2973" t="s">
        <v>3203</v>
      </c>
      <c r="C271" s="2985"/>
      <c r="D271" s="2985"/>
      <c r="E271" s="2985"/>
      <c r="F271" s="2974">
        <v>0.05</v>
      </c>
      <c r="G271" s="2991"/>
    </row>
    <row r="272" spans="1:7">
      <c r="A272" s="2984" t="s">
        <v>305</v>
      </c>
      <c r="B272" s="2973" t="s">
        <v>3204</v>
      </c>
      <c r="C272" s="2985"/>
      <c r="D272" s="2985"/>
      <c r="E272" s="2985"/>
      <c r="F272" s="2974">
        <v>0.05</v>
      </c>
      <c r="G272" s="2991"/>
    </row>
    <row r="273" spans="1:7">
      <c r="A273" s="2984" t="s">
        <v>305</v>
      </c>
      <c r="B273" s="2973" t="s">
        <v>3205</v>
      </c>
      <c r="C273" s="2985"/>
      <c r="D273" s="2985"/>
      <c r="E273" s="2985"/>
      <c r="F273" s="2974">
        <v>0.05</v>
      </c>
      <c r="G273" s="2991"/>
    </row>
    <row r="274" spans="1:7">
      <c r="A274" s="2984" t="s">
        <v>305</v>
      </c>
      <c r="B274" s="2973" t="s">
        <v>3206</v>
      </c>
      <c r="C274" s="2985"/>
      <c r="D274" s="2985"/>
      <c r="E274" s="2985"/>
      <c r="F274" s="2974">
        <v>0.05</v>
      </c>
      <c r="G274" s="2991"/>
    </row>
    <row r="275" spans="1:7">
      <c r="A275" s="2984" t="s">
        <v>305</v>
      </c>
      <c r="B275" s="2973" t="s">
        <v>3207</v>
      </c>
      <c r="C275" s="2985"/>
      <c r="D275" s="2985"/>
      <c r="E275" s="2985"/>
      <c r="F275" s="2974">
        <v>0.05</v>
      </c>
      <c r="G275" s="2991"/>
    </row>
    <row r="276" spans="1:7" ht="14.25" thickBot="1">
      <c r="A276" s="2987" t="s">
        <v>305</v>
      </c>
      <c r="B276" s="2977" t="s">
        <v>3208</v>
      </c>
      <c r="C276" s="2979"/>
      <c r="D276" s="2979"/>
      <c r="E276" s="2979"/>
      <c r="F276" s="2978">
        <v>0.05</v>
      </c>
      <c r="G276" s="2992"/>
    </row>
    <row r="277" spans="1:7">
      <c r="A277" s="2983" t="s">
        <v>306</v>
      </c>
      <c r="B277" s="2969" t="s">
        <v>2852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2864</v>
      </c>
      <c r="C279" s="2974">
        <v>0.15</v>
      </c>
      <c r="D279" s="2974">
        <v>0.15</v>
      </c>
      <c r="E279" s="2974">
        <v>0.15</v>
      </c>
      <c r="F279" s="2974">
        <v>0.15</v>
      </c>
      <c r="G279" s="2975">
        <v>0.15</v>
      </c>
    </row>
    <row r="280" spans="1:7">
      <c r="A280" s="2984" t="s">
        <v>306</v>
      </c>
      <c r="B280" s="2973" t="s">
        <v>2868</v>
      </c>
      <c r="C280" s="2974">
        <v>0.15</v>
      </c>
      <c r="D280" s="2974">
        <v>0.15</v>
      </c>
      <c r="E280" s="2974">
        <v>0.15</v>
      </c>
      <c r="F280" s="2974">
        <v>0.15</v>
      </c>
      <c r="G280" s="2975">
        <v>0.15</v>
      </c>
    </row>
    <row r="281" spans="1:7">
      <c r="A281" s="2984" t="s">
        <v>306</v>
      </c>
      <c r="B281" s="2973" t="s">
        <v>2872</v>
      </c>
      <c r="C281" s="2974">
        <v>0.15</v>
      </c>
      <c r="D281" s="2974">
        <v>0.15</v>
      </c>
      <c r="E281" s="2974">
        <v>0.15</v>
      </c>
      <c r="F281" s="2974">
        <v>0.15</v>
      </c>
      <c r="G281" s="2975">
        <v>0.15</v>
      </c>
    </row>
    <row r="282" spans="1:7">
      <c r="A282" s="2984" t="s">
        <v>306</v>
      </c>
      <c r="B282" s="2973" t="s">
        <v>2876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2906</v>
      </c>
      <c r="C293" s="2974">
        <v>0.15</v>
      </c>
      <c r="D293" s="2974">
        <v>0.15</v>
      </c>
      <c r="E293" s="2974">
        <v>0.15</v>
      </c>
      <c r="F293" s="2974">
        <v>0.14499999999999999</v>
      </c>
      <c r="G293" s="2975">
        <v>0.15</v>
      </c>
    </row>
    <row r="294" spans="1:7">
      <c r="A294" s="2984" t="s">
        <v>306</v>
      </c>
      <c r="B294" s="2973" t="s">
        <v>2908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2938</v>
      </c>
      <c r="C302" s="2974">
        <v>0.15</v>
      </c>
      <c r="D302" s="2974">
        <v>0.15</v>
      </c>
      <c r="E302" s="2974">
        <v>0.15</v>
      </c>
      <c r="F302" s="2974">
        <v>0.14699999999999999</v>
      </c>
      <c r="G302" s="2975">
        <v>0.15</v>
      </c>
    </row>
    <row r="303" spans="1:7">
      <c r="A303" s="2984" t="s">
        <v>306</v>
      </c>
      <c r="B303" s="2973" t="s">
        <v>2945</v>
      </c>
      <c r="C303" s="2974">
        <v>0.15</v>
      </c>
      <c r="D303" s="2974">
        <v>0.15</v>
      </c>
      <c r="E303" s="2974">
        <v>0.15</v>
      </c>
      <c r="F303" s="2974">
        <v>0.14199999999999999</v>
      </c>
      <c r="G303" s="2975">
        <v>0.15</v>
      </c>
    </row>
    <row r="304" spans="1:7">
      <c r="A304" s="2984" t="s">
        <v>306</v>
      </c>
      <c r="B304" s="2973" t="s">
        <v>2952</v>
      </c>
      <c r="C304" s="2974">
        <v>0.15</v>
      </c>
      <c r="D304" s="2974">
        <v>0.15</v>
      </c>
      <c r="E304" s="2974">
        <v>0.15</v>
      </c>
      <c r="F304" s="2974">
        <v>0.14499999999999999</v>
      </c>
      <c r="G304" s="2975">
        <v>0.15</v>
      </c>
    </row>
    <row r="305" spans="1:7">
      <c r="A305" s="2984" t="s">
        <v>306</v>
      </c>
      <c r="B305" s="2973" t="s">
        <v>2958</v>
      </c>
      <c r="C305" s="2974">
        <v>0.15</v>
      </c>
      <c r="D305" s="2974">
        <v>0.15</v>
      </c>
      <c r="E305" s="2974">
        <v>0.15</v>
      </c>
      <c r="F305" s="2974">
        <v>0.111</v>
      </c>
      <c r="G305" s="2975">
        <v>0.15</v>
      </c>
    </row>
    <row r="306" spans="1:7">
      <c r="A306" s="2984" t="s">
        <v>306</v>
      </c>
      <c r="B306" s="2973" t="s">
        <v>2965</v>
      </c>
      <c r="C306" s="2974">
        <v>0.15</v>
      </c>
      <c r="D306" s="2974">
        <v>0.15</v>
      </c>
      <c r="E306" s="2974">
        <v>0.15</v>
      </c>
      <c r="F306" s="2974">
        <v>0.126</v>
      </c>
      <c r="G306" s="2975">
        <v>0.15</v>
      </c>
    </row>
    <row r="307" spans="1:7">
      <c r="A307" s="2984" t="s">
        <v>306</v>
      </c>
      <c r="B307" s="2973" t="s">
        <v>2970</v>
      </c>
      <c r="C307" s="2974">
        <v>0.15</v>
      </c>
      <c r="D307" s="2974">
        <v>0.15</v>
      </c>
      <c r="E307" s="2974">
        <v>0.15</v>
      </c>
      <c r="F307" s="2974">
        <v>0.12</v>
      </c>
      <c r="G307" s="2975">
        <v>0.15</v>
      </c>
    </row>
    <row r="308" spans="1:7">
      <c r="A308" s="2984" t="s">
        <v>306</v>
      </c>
      <c r="B308" s="2973" t="s">
        <v>2976</v>
      </c>
      <c r="C308" s="2974">
        <v>0.15</v>
      </c>
      <c r="D308" s="2974">
        <v>0.15</v>
      </c>
      <c r="E308" s="2974">
        <v>0.15</v>
      </c>
      <c r="F308" s="2974">
        <v>0.13</v>
      </c>
      <c r="G308" s="2975">
        <v>0.15</v>
      </c>
    </row>
    <row r="309" spans="1:7">
      <c r="A309" s="2984" t="s">
        <v>306</v>
      </c>
      <c r="B309" s="2973" t="s">
        <v>2980</v>
      </c>
      <c r="C309" s="2974">
        <v>0.15</v>
      </c>
      <c r="D309" s="2974">
        <v>0.15</v>
      </c>
      <c r="E309" s="2974">
        <v>0.15</v>
      </c>
      <c r="F309" s="2974">
        <v>0.14099999999999999</v>
      </c>
      <c r="G309" s="2975">
        <v>0.15</v>
      </c>
    </row>
    <row r="310" spans="1:7">
      <c r="A310" s="2984" t="s">
        <v>306</v>
      </c>
      <c r="B310" s="2973" t="s">
        <v>2985</v>
      </c>
      <c r="C310" s="2974">
        <v>0.15</v>
      </c>
      <c r="D310" s="2974">
        <v>0.15</v>
      </c>
      <c r="E310" s="2974">
        <v>0.15</v>
      </c>
      <c r="F310" s="2974">
        <v>0.15</v>
      </c>
      <c r="G310" s="2975">
        <v>0.15</v>
      </c>
    </row>
    <row r="311" spans="1:7">
      <c r="A311" s="2984" t="s">
        <v>306</v>
      </c>
      <c r="B311" s="2973" t="s">
        <v>2990</v>
      </c>
      <c r="C311" s="2974">
        <v>0.13200000000000001</v>
      </c>
      <c r="D311" s="2974">
        <v>0.13300000000000001</v>
      </c>
      <c r="E311" s="2974">
        <v>0.14499999999999999</v>
      </c>
      <c r="F311" s="2974">
        <v>0.14199999999999999</v>
      </c>
      <c r="G311" s="2975">
        <v>0.14000000000000001</v>
      </c>
    </row>
    <row r="312" spans="1:7">
      <c r="A312" s="2984" t="s">
        <v>306</v>
      </c>
      <c r="B312" s="2973" t="s">
        <v>2995</v>
      </c>
      <c r="C312" s="2974">
        <v>0.13800000000000001</v>
      </c>
      <c r="D312" s="2974">
        <v>0.14000000000000001</v>
      </c>
      <c r="E312" s="2974">
        <v>0.14599999999999999</v>
      </c>
      <c r="F312" s="2974">
        <v>0.14899999999999999</v>
      </c>
      <c r="G312" s="2975">
        <v>0.14199999999999999</v>
      </c>
    </row>
    <row r="313" spans="1:7">
      <c r="A313" s="2984" t="s">
        <v>306</v>
      </c>
      <c r="B313" s="2973" t="s">
        <v>3000</v>
      </c>
      <c r="C313" s="2974">
        <v>0.125</v>
      </c>
      <c r="D313" s="2974">
        <v>0.127</v>
      </c>
      <c r="E313" s="2974">
        <v>0.14399999999999999</v>
      </c>
      <c r="F313" s="2974">
        <v>0.115</v>
      </c>
      <c r="G313" s="2975">
        <v>0.13600000000000001</v>
      </c>
    </row>
    <row r="314" spans="1:7">
      <c r="A314" s="2984" t="s">
        <v>306</v>
      </c>
      <c r="B314" s="2973" t="s">
        <v>3209</v>
      </c>
      <c r="C314" s="2990"/>
      <c r="D314" s="2990"/>
      <c r="E314" s="2990"/>
      <c r="F314" s="2974">
        <v>0.05</v>
      </c>
      <c r="G314" s="2991"/>
    </row>
    <row r="315" spans="1:7">
      <c r="A315" s="2984" t="s">
        <v>306</v>
      </c>
      <c r="B315" s="2973" t="s">
        <v>3210</v>
      </c>
      <c r="C315" s="2990"/>
      <c r="D315" s="2990"/>
      <c r="E315" s="2990"/>
      <c r="F315" s="2974">
        <v>0.05</v>
      </c>
      <c r="G315" s="2991"/>
    </row>
    <row r="316" spans="1:7">
      <c r="A316" s="2984" t="s">
        <v>306</v>
      </c>
      <c r="B316" s="2973" t="s">
        <v>3211</v>
      </c>
      <c r="C316" s="2985"/>
      <c r="D316" s="2985"/>
      <c r="E316" s="2985"/>
      <c r="F316" s="2974">
        <v>0.05</v>
      </c>
      <c r="G316" s="2991"/>
    </row>
    <row r="317" spans="1:7">
      <c r="A317" s="2984" t="s">
        <v>306</v>
      </c>
      <c r="B317" s="2973" t="s">
        <v>3212</v>
      </c>
      <c r="C317" s="2985"/>
      <c r="D317" s="2985"/>
      <c r="E317" s="2985"/>
      <c r="F317" s="2974">
        <v>0.05</v>
      </c>
      <c r="G317" s="2991"/>
    </row>
    <row r="318" spans="1:7">
      <c r="A318" s="2984" t="s">
        <v>306</v>
      </c>
      <c r="B318" s="2973" t="s">
        <v>3213</v>
      </c>
      <c r="C318" s="2985"/>
      <c r="D318" s="2985"/>
      <c r="E318" s="2985"/>
      <c r="F318" s="2974">
        <v>0.05</v>
      </c>
      <c r="G318" s="2991"/>
    </row>
    <row r="319" spans="1:7">
      <c r="A319" s="2984" t="s">
        <v>306</v>
      </c>
      <c r="B319" s="2973" t="s">
        <v>3214</v>
      </c>
      <c r="C319" s="2985"/>
      <c r="D319" s="2985"/>
      <c r="E319" s="2985"/>
      <c r="F319" s="2974">
        <v>0.05</v>
      </c>
      <c r="G319" s="2991"/>
    </row>
    <row r="320" spans="1:7">
      <c r="A320" s="2984" t="s">
        <v>306</v>
      </c>
      <c r="B320" s="2973" t="s">
        <v>3215</v>
      </c>
      <c r="C320" s="2985"/>
      <c r="D320" s="2985"/>
      <c r="E320" s="2985"/>
      <c r="F320" s="2974">
        <v>0.05</v>
      </c>
      <c r="G320" s="2991"/>
    </row>
    <row r="321" spans="1:7">
      <c r="A321" s="2984" t="s">
        <v>306</v>
      </c>
      <c r="B321" s="2973" t="s">
        <v>3216</v>
      </c>
      <c r="C321" s="2985"/>
      <c r="D321" s="2985"/>
      <c r="E321" s="2985"/>
      <c r="F321" s="2974">
        <v>0.05</v>
      </c>
      <c r="G321" s="2991"/>
    </row>
    <row r="322" spans="1:7">
      <c r="A322" s="2984" t="s">
        <v>306</v>
      </c>
      <c r="B322" s="2973" t="s">
        <v>3217</v>
      </c>
      <c r="C322" s="2985"/>
      <c r="D322" s="2985"/>
      <c r="E322" s="2985"/>
      <c r="F322" s="2974">
        <v>0.05</v>
      </c>
      <c r="G322" s="2991"/>
    </row>
    <row r="323" spans="1:7">
      <c r="A323" s="2984" t="s">
        <v>306</v>
      </c>
      <c r="B323" s="2973" t="s">
        <v>3218</v>
      </c>
      <c r="C323" s="2985"/>
      <c r="D323" s="2985"/>
      <c r="E323" s="2985"/>
      <c r="F323" s="2974">
        <v>0.05</v>
      </c>
      <c r="G323" s="2991"/>
    </row>
    <row r="324" spans="1:7">
      <c r="A324" s="2984" t="s">
        <v>306</v>
      </c>
      <c r="B324" s="2973" t="s">
        <v>3219</v>
      </c>
      <c r="C324" s="2985"/>
      <c r="D324" s="2985"/>
      <c r="E324" s="2985"/>
      <c r="F324" s="2974">
        <v>0.05</v>
      </c>
      <c r="G324" s="2991"/>
    </row>
    <row r="325" spans="1:7">
      <c r="A325" s="2984" t="s">
        <v>306</v>
      </c>
      <c r="B325" s="2973" t="s">
        <v>3220</v>
      </c>
      <c r="C325" s="2985"/>
      <c r="D325" s="2985"/>
      <c r="E325" s="2985"/>
      <c r="F325" s="2974">
        <v>0.05</v>
      </c>
      <c r="G325" s="2991"/>
    </row>
    <row r="326" spans="1:7" ht="14.25" thickBot="1">
      <c r="A326" s="2987" t="s">
        <v>306</v>
      </c>
      <c r="B326" s="2977" t="s">
        <v>3221</v>
      </c>
      <c r="C326" s="2979"/>
      <c r="D326" s="2979"/>
      <c r="E326" s="2979"/>
      <c r="F326" s="2978">
        <v>0.05</v>
      </c>
      <c r="G326" s="2992"/>
    </row>
    <row r="327" spans="1:7">
      <c r="A327" s="2983" t="s">
        <v>307</v>
      </c>
      <c r="B327" s="2969" t="s">
        <v>2853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2865</v>
      </c>
      <c r="C329" s="2974">
        <v>0.15</v>
      </c>
      <c r="D329" s="2974">
        <v>0.15</v>
      </c>
      <c r="E329" s="2974">
        <v>0.15</v>
      </c>
      <c r="F329" s="2974">
        <v>0.15</v>
      </c>
      <c r="G329" s="2975">
        <v>0.15</v>
      </c>
    </row>
    <row r="330" spans="1:7">
      <c r="A330" s="2984" t="s">
        <v>307</v>
      </c>
      <c r="B330" s="2973" t="s">
        <v>2869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2877</v>
      </c>
      <c r="C332" s="2974">
        <v>0.15</v>
      </c>
      <c r="D332" s="2974">
        <v>0.15</v>
      </c>
      <c r="E332" s="2974">
        <v>0.15</v>
      </c>
      <c r="F332" s="2974">
        <v>0.15</v>
      </c>
      <c r="G332" s="2975">
        <v>0.15</v>
      </c>
    </row>
    <row r="333" spans="1:7">
      <c r="A333" s="2984" t="s">
        <v>307</v>
      </c>
      <c r="B333" s="2973" t="s">
        <v>2881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2887</v>
      </c>
      <c r="C336" s="2974">
        <v>0.15</v>
      </c>
      <c r="D336" s="2974">
        <v>0.15</v>
      </c>
      <c r="E336" s="2974">
        <v>0.15</v>
      </c>
      <c r="F336" s="2974">
        <v>0.14199999999999999</v>
      </c>
      <c r="G336" s="2975">
        <v>0.15</v>
      </c>
    </row>
    <row r="337" spans="1:7">
      <c r="A337" s="2984" t="s">
        <v>307</v>
      </c>
      <c r="B337" s="2973" t="s">
        <v>2892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2912</v>
      </c>
      <c r="C345" s="2974">
        <v>0.15</v>
      </c>
      <c r="D345" s="2974">
        <v>0.15</v>
      </c>
      <c r="E345" s="2974">
        <v>0.15</v>
      </c>
      <c r="F345" s="2974">
        <v>0.13800000000000001</v>
      </c>
      <c r="G345" s="2975">
        <v>0.15</v>
      </c>
    </row>
    <row r="346" spans="1:7">
      <c r="A346" s="2984" t="s">
        <v>307</v>
      </c>
      <c r="B346" s="2973" t="s">
        <v>2914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2921</v>
      </c>
      <c r="C348" s="2974">
        <v>0.15</v>
      </c>
      <c r="D348" s="2974">
        <v>0.15</v>
      </c>
      <c r="E348" s="2974">
        <v>0.15</v>
      </c>
      <c r="F348" s="2974">
        <v>0.14399999999999999</v>
      </c>
      <c r="G348" s="2975">
        <v>0.15</v>
      </c>
    </row>
    <row r="349" spans="1:7">
      <c r="A349" s="2984" t="s">
        <v>307</v>
      </c>
      <c r="B349" s="2973" t="s">
        <v>2926</v>
      </c>
      <c r="C349" s="2974">
        <v>0.15</v>
      </c>
      <c r="D349" s="2974">
        <v>0.15</v>
      </c>
      <c r="E349" s="2974">
        <v>0.15</v>
      </c>
      <c r="F349" s="2974">
        <v>0.15</v>
      </c>
      <c r="G349" s="2975">
        <v>0.15</v>
      </c>
    </row>
    <row r="350" spans="1:7">
      <c r="A350" s="2984" t="s">
        <v>307</v>
      </c>
      <c r="B350" s="2973" t="s">
        <v>2929</v>
      </c>
      <c r="C350" s="2974">
        <v>0.15</v>
      </c>
      <c r="D350" s="2974">
        <v>0.15</v>
      </c>
      <c r="E350" s="2974">
        <v>0.15</v>
      </c>
      <c r="F350" s="2974">
        <v>0.14699999999999999</v>
      </c>
      <c r="G350" s="2975">
        <v>0.15</v>
      </c>
    </row>
    <row r="351" spans="1:7">
      <c r="A351" s="2984" t="s">
        <v>307</v>
      </c>
      <c r="B351" s="2973" t="s">
        <v>2934</v>
      </c>
      <c r="C351" s="2974">
        <v>0.15</v>
      </c>
      <c r="D351" s="2974">
        <v>0.15</v>
      </c>
      <c r="E351" s="2974">
        <v>0.15</v>
      </c>
      <c r="F351" s="2974">
        <v>0.13</v>
      </c>
      <c r="G351" s="2975">
        <v>0.15</v>
      </c>
    </row>
    <row r="352" spans="1:7">
      <c r="A352" s="2984" t="s">
        <v>307</v>
      </c>
      <c r="B352" s="2973" t="s">
        <v>2939</v>
      </c>
      <c r="C352" s="2974">
        <v>0.15</v>
      </c>
      <c r="D352" s="2974">
        <v>0.15</v>
      </c>
      <c r="E352" s="2974">
        <v>0.15</v>
      </c>
      <c r="F352" s="2974">
        <v>0.14599999999999999</v>
      </c>
      <c r="G352" s="2975">
        <v>0.15</v>
      </c>
    </row>
    <row r="353" spans="1:7">
      <c r="A353" s="2984" t="s">
        <v>307</v>
      </c>
      <c r="B353" s="2973" t="s">
        <v>2946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2959</v>
      </c>
      <c r="C355" s="2974">
        <v>0.15</v>
      </c>
      <c r="D355" s="2974">
        <v>0.15</v>
      </c>
      <c r="E355" s="2974">
        <v>0.15</v>
      </c>
      <c r="F355" s="2974">
        <v>0.15</v>
      </c>
      <c r="G355" s="2975">
        <v>0.15</v>
      </c>
    </row>
    <row r="356" spans="1:7">
      <c r="A356" s="2984" t="s">
        <v>307</v>
      </c>
      <c r="B356" s="2973" t="s">
        <v>2966</v>
      </c>
      <c r="C356" s="2974">
        <v>0.15</v>
      </c>
      <c r="D356" s="2974">
        <v>0.15</v>
      </c>
      <c r="E356" s="2974">
        <v>0.15</v>
      </c>
      <c r="F356" s="2974">
        <v>0.15</v>
      </c>
      <c r="G356" s="2975">
        <v>0.15</v>
      </c>
    </row>
    <row r="357" spans="1:7" ht="14.25" thickBot="1">
      <c r="A357" s="2987" t="s">
        <v>307</v>
      </c>
      <c r="B357" s="2977" t="s">
        <v>2971</v>
      </c>
      <c r="C357" s="2978">
        <v>0.126</v>
      </c>
      <c r="D357" s="2978">
        <v>0.127</v>
      </c>
      <c r="E357" s="2978">
        <v>0.14299999999999999</v>
      </c>
      <c r="F357" s="2978">
        <v>0.125</v>
      </c>
      <c r="G357" s="2980">
        <v>0.129</v>
      </c>
    </row>
    <row r="358" spans="1:7">
      <c r="A358" s="2983" t="s">
        <v>2840</v>
      </c>
      <c r="B358" s="2969" t="s">
        <v>2854</v>
      </c>
      <c r="C358" s="2970">
        <v>0.15</v>
      </c>
      <c r="D358" s="2970">
        <v>0.15</v>
      </c>
      <c r="E358" s="2970">
        <v>0.15</v>
      </c>
      <c r="F358" s="2970">
        <v>0.15</v>
      </c>
      <c r="G358" s="2971">
        <v>0.15</v>
      </c>
    </row>
    <row r="359" spans="1:7">
      <c r="A359" s="2984" t="s">
        <v>2840</v>
      </c>
      <c r="B359" s="2973" t="s">
        <v>2860</v>
      </c>
      <c r="C359" s="2974">
        <v>0.1</v>
      </c>
      <c r="D359" s="2974">
        <v>0.1</v>
      </c>
      <c r="E359" s="2974">
        <v>0.1</v>
      </c>
      <c r="F359" s="2974">
        <v>0.1</v>
      </c>
      <c r="G359" s="2975">
        <v>0.1</v>
      </c>
    </row>
    <row r="360" spans="1:7">
      <c r="A360" s="2984" t="s">
        <v>2840</v>
      </c>
      <c r="B360" s="2973" t="s">
        <v>2866</v>
      </c>
      <c r="C360" s="2974">
        <v>0.15</v>
      </c>
      <c r="D360" s="2974">
        <v>0.15</v>
      </c>
      <c r="E360" s="2974">
        <v>0.15</v>
      </c>
      <c r="F360" s="2974">
        <v>0.14899999999999999</v>
      </c>
      <c r="G360" s="2975">
        <v>0.15</v>
      </c>
    </row>
    <row r="361" spans="1:7">
      <c r="A361" s="2984" t="s">
        <v>2840</v>
      </c>
      <c r="B361" s="2973" t="s">
        <v>153</v>
      </c>
      <c r="C361" s="2974">
        <v>0.15</v>
      </c>
      <c r="D361" s="2974">
        <v>0.15</v>
      </c>
      <c r="E361" s="2974">
        <v>0.15</v>
      </c>
      <c r="F361" s="2974">
        <v>0.115</v>
      </c>
      <c r="G361" s="2975">
        <v>0.15</v>
      </c>
    </row>
    <row r="362" spans="1:7">
      <c r="A362" s="2984" t="s">
        <v>2840</v>
      </c>
      <c r="B362" s="2973" t="s">
        <v>2873</v>
      </c>
      <c r="C362" s="2974">
        <v>0.15</v>
      </c>
      <c r="D362" s="2974">
        <v>0.15</v>
      </c>
      <c r="E362" s="2974">
        <v>0.15</v>
      </c>
      <c r="F362" s="2974">
        <v>0.106</v>
      </c>
      <c r="G362" s="2975">
        <v>0.15</v>
      </c>
    </row>
    <row r="363" spans="1:7">
      <c r="A363" s="2984" t="s">
        <v>2840</v>
      </c>
      <c r="B363" s="2973" t="s">
        <v>2878</v>
      </c>
      <c r="C363" s="2974">
        <v>0.15</v>
      </c>
      <c r="D363" s="2974">
        <v>0.15</v>
      </c>
      <c r="E363" s="2974">
        <v>0.15</v>
      </c>
      <c r="F363" s="2974">
        <v>0.14699999999999999</v>
      </c>
      <c r="G363" s="2975">
        <v>0.15</v>
      </c>
    </row>
    <row r="364" spans="1:7">
      <c r="A364" s="2984" t="s">
        <v>2840</v>
      </c>
      <c r="B364" s="2973" t="s">
        <v>2882</v>
      </c>
      <c r="C364" s="2974">
        <v>0.15</v>
      </c>
      <c r="D364" s="2974">
        <v>0.15</v>
      </c>
      <c r="E364" s="2974">
        <v>0.15</v>
      </c>
      <c r="F364" s="2974">
        <v>0.14799999999999999</v>
      </c>
      <c r="G364" s="2975">
        <v>0.15</v>
      </c>
    </row>
    <row r="365" spans="1:7">
      <c r="A365" s="2984" t="s">
        <v>2840</v>
      </c>
      <c r="B365" s="2973" t="s">
        <v>200</v>
      </c>
      <c r="C365" s="2974">
        <v>0.15</v>
      </c>
      <c r="D365" s="2974">
        <v>0.15</v>
      </c>
      <c r="E365" s="2974">
        <v>0.15</v>
      </c>
      <c r="F365" s="2974">
        <v>0.15</v>
      </c>
      <c r="G365" s="2975">
        <v>0.15</v>
      </c>
    </row>
    <row r="366" spans="1:7">
      <c r="A366" s="2984" t="s">
        <v>2840</v>
      </c>
      <c r="B366" s="2973" t="s">
        <v>2885</v>
      </c>
      <c r="C366" s="2974">
        <v>0.15</v>
      </c>
      <c r="D366" s="2974">
        <v>0.15</v>
      </c>
      <c r="E366" s="2974">
        <v>0.15</v>
      </c>
      <c r="F366" s="2974">
        <v>0.15</v>
      </c>
      <c r="G366" s="2975">
        <v>0.15</v>
      </c>
    </row>
    <row r="367" spans="1:7">
      <c r="A367" s="2984" t="s">
        <v>2840</v>
      </c>
      <c r="B367" s="2973" t="s">
        <v>2888</v>
      </c>
      <c r="C367" s="2974">
        <v>0.15</v>
      </c>
      <c r="D367" s="2974">
        <v>0.15</v>
      </c>
      <c r="E367" s="2974">
        <v>0.15</v>
      </c>
      <c r="F367" s="2974">
        <v>0.14699999999999999</v>
      </c>
      <c r="G367" s="2975">
        <v>0.15</v>
      </c>
    </row>
    <row r="368" spans="1:7">
      <c r="A368" s="2984" t="s">
        <v>2840</v>
      </c>
      <c r="B368" s="2973" t="s">
        <v>2893</v>
      </c>
      <c r="C368" s="2974">
        <v>0.15</v>
      </c>
      <c r="D368" s="2974">
        <v>0.15</v>
      </c>
      <c r="E368" s="2974">
        <v>0.15</v>
      </c>
      <c r="F368" s="2974">
        <v>0.13600000000000001</v>
      </c>
      <c r="G368" s="2975">
        <v>0.15</v>
      </c>
    </row>
    <row r="369" spans="1:7">
      <c r="A369" s="2984" t="s">
        <v>2840</v>
      </c>
      <c r="B369" s="2973" t="s">
        <v>214</v>
      </c>
      <c r="C369" s="2974">
        <v>0.15</v>
      </c>
      <c r="D369" s="2974">
        <v>0.15</v>
      </c>
      <c r="E369" s="2974">
        <v>0.15</v>
      </c>
      <c r="F369" s="2974">
        <v>0.14399999999999999</v>
      </c>
      <c r="G369" s="2975">
        <v>0.15</v>
      </c>
    </row>
    <row r="370" spans="1:7">
      <c r="A370" s="2984" t="s">
        <v>2840</v>
      </c>
      <c r="B370" s="2973" t="s">
        <v>221</v>
      </c>
      <c r="C370" s="2974">
        <v>0.15</v>
      </c>
      <c r="D370" s="2974">
        <v>0.15</v>
      </c>
      <c r="E370" s="2974">
        <v>0.15</v>
      </c>
      <c r="F370" s="2974">
        <v>0.14599999999999999</v>
      </c>
      <c r="G370" s="2975">
        <v>0.15</v>
      </c>
    </row>
    <row r="371" spans="1:7">
      <c r="A371" s="2984" t="s">
        <v>2840</v>
      </c>
      <c r="B371" s="2973" t="s">
        <v>229</v>
      </c>
      <c r="C371" s="2974">
        <v>0.15</v>
      </c>
      <c r="D371" s="2974">
        <v>0.15</v>
      </c>
      <c r="E371" s="2974">
        <v>0.15</v>
      </c>
      <c r="F371" s="2974">
        <v>0.12</v>
      </c>
      <c r="G371" s="2975">
        <v>0.15</v>
      </c>
    </row>
    <row r="372" spans="1:7">
      <c r="A372" s="2984" t="s">
        <v>2840</v>
      </c>
      <c r="B372" s="2973" t="s">
        <v>2901</v>
      </c>
      <c r="C372" s="2974">
        <v>0.15</v>
      </c>
      <c r="D372" s="2974">
        <v>0.15</v>
      </c>
      <c r="E372" s="2974">
        <v>0.15</v>
      </c>
      <c r="F372" s="2974">
        <v>0.14299999999999999</v>
      </c>
      <c r="G372" s="2975">
        <v>0.15</v>
      </c>
    </row>
    <row r="373" spans="1:7">
      <c r="A373" s="2984" t="s">
        <v>2840</v>
      </c>
      <c r="B373" s="2973" t="s">
        <v>258</v>
      </c>
      <c r="C373" s="2974">
        <v>0.15</v>
      </c>
      <c r="D373" s="2974">
        <v>0.15</v>
      </c>
      <c r="E373" s="2974">
        <v>0.15</v>
      </c>
      <c r="F373" s="2974">
        <v>0.14599999999999999</v>
      </c>
      <c r="G373" s="2975">
        <v>0.15</v>
      </c>
    </row>
    <row r="374" spans="1:7">
      <c r="A374" s="2984" t="s">
        <v>2840</v>
      </c>
      <c r="B374" s="2973" t="s">
        <v>266</v>
      </c>
      <c r="C374" s="2974">
        <v>0.15</v>
      </c>
      <c r="D374" s="2974">
        <v>0.15</v>
      </c>
      <c r="E374" s="2974">
        <v>0.15</v>
      </c>
      <c r="F374" s="2974">
        <v>0.14399999999999999</v>
      </c>
      <c r="G374" s="2975">
        <v>0.15</v>
      </c>
    </row>
    <row r="375" spans="1:7">
      <c r="A375" s="2984" t="s">
        <v>2840</v>
      </c>
      <c r="B375" s="2973" t="s">
        <v>2909</v>
      </c>
      <c r="C375" s="2974">
        <v>0.15</v>
      </c>
      <c r="D375" s="2974">
        <v>0.15</v>
      </c>
      <c r="E375" s="2974">
        <v>0.15</v>
      </c>
      <c r="F375" s="2974">
        <v>0.13</v>
      </c>
      <c r="G375" s="2975">
        <v>0.15</v>
      </c>
    </row>
    <row r="376" spans="1:7">
      <c r="A376" s="2984" t="s">
        <v>2840</v>
      </c>
      <c r="B376" s="2973" t="s">
        <v>277</v>
      </c>
      <c r="C376" s="2974">
        <v>0.15</v>
      </c>
      <c r="D376" s="2974">
        <v>0.15</v>
      </c>
      <c r="E376" s="2974">
        <v>0.15</v>
      </c>
      <c r="F376" s="2974">
        <v>0.14199999999999999</v>
      </c>
      <c r="G376" s="2975">
        <v>0.15</v>
      </c>
    </row>
    <row r="377" spans="1:7" ht="14.25" thickBot="1">
      <c r="A377" s="2987" t="s">
        <v>2840</v>
      </c>
      <c r="B377" s="2977" t="s">
        <v>2915</v>
      </c>
      <c r="C377" s="2978">
        <v>0.15</v>
      </c>
      <c r="D377" s="2978">
        <v>0.15</v>
      </c>
      <c r="E377" s="2978">
        <v>0.15</v>
      </c>
      <c r="F377" s="2978">
        <v>0.14000000000000001</v>
      </c>
      <c r="G377" s="2980">
        <v>0.15</v>
      </c>
    </row>
    <row r="378" spans="1:7">
      <c r="A378" s="2983" t="s">
        <v>2841</v>
      </c>
      <c r="B378" s="2969" t="s">
        <v>2855</v>
      </c>
      <c r="C378" s="2970">
        <v>0.15</v>
      </c>
      <c r="D378" s="2970">
        <v>0.15</v>
      </c>
      <c r="E378" s="2970">
        <v>0.15</v>
      </c>
      <c r="F378" s="2970">
        <v>0.107</v>
      </c>
      <c r="G378" s="2971">
        <v>0.15</v>
      </c>
    </row>
    <row r="379" spans="1:7">
      <c r="A379" s="2984" t="s">
        <v>2841</v>
      </c>
      <c r="B379" s="2973" t="s">
        <v>2861</v>
      </c>
      <c r="C379" s="2974">
        <v>0.15</v>
      </c>
      <c r="D379" s="2974">
        <v>0.15</v>
      </c>
      <c r="E379" s="2974">
        <v>0.15</v>
      </c>
      <c r="F379" s="2974">
        <v>0.115</v>
      </c>
      <c r="G379" s="2975">
        <v>0.14899999999999999</v>
      </c>
    </row>
    <row r="380" spans="1:7">
      <c r="A380" s="2984" t="s">
        <v>2841</v>
      </c>
      <c r="B380" s="2973" t="s">
        <v>2867</v>
      </c>
      <c r="C380" s="2974">
        <v>0.15</v>
      </c>
      <c r="D380" s="2974">
        <v>0.15</v>
      </c>
      <c r="E380" s="2974">
        <v>0.15</v>
      </c>
      <c r="F380" s="2974">
        <v>0.1</v>
      </c>
      <c r="G380" s="2975">
        <v>0.14799999999999999</v>
      </c>
    </row>
    <row r="381" spans="1:7">
      <c r="A381" s="2984" t="s">
        <v>2841</v>
      </c>
      <c r="B381" s="2973" t="s">
        <v>2870</v>
      </c>
      <c r="C381" s="2974">
        <v>0.15</v>
      </c>
      <c r="D381" s="2974">
        <v>0.15</v>
      </c>
      <c r="E381" s="2974">
        <v>0.15</v>
      </c>
      <c r="F381" s="2974">
        <v>0.126</v>
      </c>
      <c r="G381" s="2975">
        <v>0.15</v>
      </c>
    </row>
    <row r="382" spans="1:7">
      <c r="A382" s="2984" t="s">
        <v>2841</v>
      </c>
      <c r="B382" s="2973" t="s">
        <v>2874</v>
      </c>
      <c r="C382" s="2974">
        <v>0.15</v>
      </c>
      <c r="D382" s="2974">
        <v>0.15</v>
      </c>
      <c r="E382" s="2974">
        <v>0.15</v>
      </c>
      <c r="F382" s="2974">
        <v>0.15</v>
      </c>
      <c r="G382" s="2975">
        <v>0.15</v>
      </c>
    </row>
    <row r="383" spans="1:7">
      <c r="A383" s="2984" t="s">
        <v>2841</v>
      </c>
      <c r="B383" s="2973" t="s">
        <v>2879</v>
      </c>
      <c r="C383" s="2974">
        <v>0.15</v>
      </c>
      <c r="D383" s="2974">
        <v>0.15</v>
      </c>
      <c r="E383" s="2974">
        <v>0.15</v>
      </c>
      <c r="F383" s="2974">
        <v>0.14699999999999999</v>
      </c>
      <c r="G383" s="2975">
        <v>0.15</v>
      </c>
    </row>
    <row r="384" spans="1:7" ht="14.25" thickBot="1">
      <c r="A384" s="2994" t="s">
        <v>2841</v>
      </c>
      <c r="B384" s="2995" t="s">
        <v>2883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9"/>
  </cols>
  <sheetData>
    <row r="1" spans="1:6">
      <c r="A1" s="3487" t="s">
        <v>3222</v>
      </c>
      <c r="B1" s="3487"/>
      <c r="C1" s="3487"/>
      <c r="D1" s="3487"/>
      <c r="E1" s="3487"/>
      <c r="F1" s="3488"/>
    </row>
    <row r="2" spans="1:6">
      <c r="A2" s="2998" t="s">
        <v>3223</v>
      </c>
    </row>
    <row r="3" spans="1:6">
      <c r="A3" s="2998" t="s">
        <v>3224</v>
      </c>
      <c r="F3" s="2999" t="s">
        <v>3225</v>
      </c>
    </row>
    <row r="4" spans="1:6">
      <c r="A4" s="3000" t="s">
        <v>672</v>
      </c>
      <c r="B4" s="3000" t="s">
        <v>673</v>
      </c>
      <c r="C4" s="3000" t="s">
        <v>21</v>
      </c>
      <c r="D4" s="3000" t="s">
        <v>674</v>
      </c>
      <c r="E4" s="3000" t="s">
        <v>3</v>
      </c>
      <c r="F4" s="3000" t="s">
        <v>3226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AF73" sqref="AF73"/>
    </sheetView>
  </sheetViews>
  <sheetFormatPr defaultRowHeight="13.5"/>
  <cols>
    <col min="1" max="1" width="13.875" customWidth="1"/>
    <col min="11" max="17" width="0" hidden="1" customWidth="1"/>
    <col min="25" max="30" width="0" hidden="1" customWidth="1"/>
  </cols>
  <sheetData>
    <row r="1" spans="1:30">
      <c r="A1" s="2933">
        <f>基准地价修正!G23</f>
        <v>45355</v>
      </c>
      <c r="B1" s="2925" t="s">
        <v>3360</v>
      </c>
      <c r="C1" s="2926"/>
      <c r="D1" s="2926"/>
      <c r="E1" s="2926"/>
      <c r="F1" s="2926"/>
      <c r="G1" s="2926"/>
      <c r="H1" s="2926"/>
      <c r="I1" s="2926"/>
      <c r="J1" s="2892"/>
      <c r="K1" s="2926" t="s">
        <v>454</v>
      </c>
      <c r="L1" s="2926"/>
      <c r="M1" s="2926"/>
      <c r="N1" s="2926"/>
      <c r="O1" s="2926"/>
      <c r="P1" s="2926"/>
      <c r="Q1" s="2892"/>
      <c r="R1" s="3489" t="s">
        <v>456</v>
      </c>
      <c r="S1" s="3490"/>
      <c r="T1" s="3490"/>
      <c r="U1" s="3490"/>
      <c r="V1" s="3490"/>
      <c r="W1" s="3490"/>
      <c r="X1" s="2892"/>
      <c r="Y1" s="3489" t="s">
        <v>457</v>
      </c>
      <c r="Z1" s="3490"/>
      <c r="AA1" s="3490"/>
      <c r="AB1" s="3490"/>
      <c r="AC1" s="3490"/>
      <c r="AD1" s="3490"/>
    </row>
    <row r="2" spans="1:30" s="2010" customFormat="1" ht="14.25" thickBot="1">
      <c r="B2" s="2877"/>
      <c r="C2" s="2878"/>
      <c r="D2" s="2011" t="s">
        <v>2800</v>
      </c>
      <c r="E2" s="2012" t="s">
        <v>2801</v>
      </c>
      <c r="F2" s="2012" t="s">
        <v>2802</v>
      </c>
      <c r="G2" s="2012" t="s">
        <v>2803</v>
      </c>
      <c r="H2" s="2012" t="s">
        <v>2804</v>
      </c>
      <c r="I2" s="2012" t="s">
        <v>2621</v>
      </c>
      <c r="J2" s="2879"/>
      <c r="K2" s="2011" t="s">
        <v>2800</v>
      </c>
      <c r="L2" s="2012" t="s">
        <v>2801</v>
      </c>
      <c r="M2" s="2012" t="s">
        <v>2802</v>
      </c>
      <c r="N2" s="2012" t="s">
        <v>2803</v>
      </c>
      <c r="O2" s="2012" t="s">
        <v>2805</v>
      </c>
      <c r="P2" s="2012" t="s">
        <v>2621</v>
      </c>
      <c r="Q2" s="2879"/>
      <c r="R2" s="2011" t="s">
        <v>2800</v>
      </c>
      <c r="S2" s="2012" t="s">
        <v>2801</v>
      </c>
      <c r="T2" s="2012" t="s">
        <v>2802</v>
      </c>
      <c r="U2" s="2012" t="s">
        <v>2806</v>
      </c>
      <c r="V2" s="2012" t="s">
        <v>2807</v>
      </c>
      <c r="W2" s="2012" t="s">
        <v>2621</v>
      </c>
      <c r="X2" s="2879"/>
      <c r="Y2" s="2011" t="s">
        <v>2800</v>
      </c>
      <c r="Z2" s="2012" t="s">
        <v>2801</v>
      </c>
      <c r="AA2" s="2012" t="s">
        <v>2802</v>
      </c>
      <c r="AB2" s="2012" t="s">
        <v>2808</v>
      </c>
      <c r="AC2" s="2012" t="s">
        <v>2807</v>
      </c>
      <c r="AD2" s="2012" t="s">
        <v>2621</v>
      </c>
    </row>
    <row r="3" spans="1:30" s="2882" customFormat="1" ht="12.75">
      <c r="A3" s="2880" t="s">
        <v>2809</v>
      </c>
      <c r="B3" s="2881"/>
      <c r="D3" s="2882">
        <f>ROUND(AVERAGEIF(D4:D18,"&lt;&gt;0"),2)</f>
        <v>0.73</v>
      </c>
      <c r="E3" s="2882">
        <f t="shared" ref="E3:H3" si="0">ROUND(AVERAGEIF(E4:E18,"&lt;&gt;0"),2)</f>
        <v>0.4</v>
      </c>
      <c r="F3" s="2882">
        <f t="shared" si="0"/>
        <v>0.2</v>
      </c>
      <c r="G3" s="2882">
        <f t="shared" si="0"/>
        <v>0.78</v>
      </c>
      <c r="H3" s="2882">
        <f t="shared" si="0"/>
        <v>0.63</v>
      </c>
      <c r="I3" s="2882">
        <f>F3</f>
        <v>0.2</v>
      </c>
      <c r="J3" s="2883"/>
      <c r="K3" s="2884">
        <f>ROUND(AVERAGEIF(K4:K18,"&lt;&gt;0"),4)</f>
        <v>7.3000000000000001E-3</v>
      </c>
      <c r="L3" s="2885">
        <f t="shared" ref="L3:O3" si="1">ROUND(AVERAGEIF(L4:L18,"&lt;&gt;0"),4)</f>
        <v>4.0000000000000001E-3</v>
      </c>
      <c r="M3" s="2885">
        <f t="shared" si="1"/>
        <v>2E-3</v>
      </c>
      <c r="N3" s="2885">
        <f t="shared" si="1"/>
        <v>7.7999999999999996E-3</v>
      </c>
      <c r="O3" s="2885">
        <f t="shared" si="1"/>
        <v>6.3E-3</v>
      </c>
      <c r="P3" s="2885">
        <f>M3</f>
        <v>2E-3</v>
      </c>
      <c r="Q3" s="2883"/>
      <c r="R3" s="2886">
        <f>ROUND(SUMPRODUCT(PRODUCT(1+K4:K18)),4)</f>
        <v>1.0908</v>
      </c>
      <c r="S3" s="2887">
        <f t="shared" ref="S3:V3" si="2">ROUND(SUMPRODUCT(PRODUCT(1+L4:L18)),4)</f>
        <v>1.0488</v>
      </c>
      <c r="T3" s="2887">
        <f t="shared" si="2"/>
        <v>1.024</v>
      </c>
      <c r="U3" s="2887">
        <f t="shared" si="2"/>
        <v>1.0980000000000001</v>
      </c>
      <c r="V3" s="2887">
        <f t="shared" si="2"/>
        <v>1.0779000000000001</v>
      </c>
      <c r="W3" s="2886">
        <f>T3</f>
        <v>1.024</v>
      </c>
      <c r="X3" s="2883"/>
      <c r="Y3" s="2888">
        <f>ROUND(AVERAGEIF(Y5:Y18,"&lt;&gt;0"),4)</f>
        <v>8.6999999999999994E-3</v>
      </c>
      <c r="Z3" s="2889">
        <f t="shared" ref="Z3:AC3" si="3">ROUND(AVERAGEIF(Z5:Z18,"&lt;&gt;0"),4)</f>
        <v>3.5000000000000001E-3</v>
      </c>
      <c r="AA3" s="2890">
        <f t="shared" si="3"/>
        <v>8.9999999999999998E-4</v>
      </c>
      <c r="AB3" s="2888">
        <f t="shared" si="3"/>
        <v>9.4999999999999998E-3</v>
      </c>
      <c r="AC3" s="2891">
        <f t="shared" si="3"/>
        <v>6.1000000000000004E-3</v>
      </c>
      <c r="AD3" s="2888">
        <f>AA3</f>
        <v>8.9999999999999998E-4</v>
      </c>
    </row>
    <row r="4" spans="1:30" s="2009" customFormat="1" ht="12.75">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30" s="2045" customFormat="1" ht="12.75">
      <c r="A5" s="2040" t="s">
        <v>3363</v>
      </c>
      <c r="B5" s="2031">
        <v>2024</v>
      </c>
      <c r="C5" s="2042">
        <v>2</v>
      </c>
      <c r="D5" s="2007">
        <v>0</v>
      </c>
      <c r="E5" s="2007">
        <v>0</v>
      </c>
      <c r="F5" s="2007">
        <v>0</v>
      </c>
      <c r="G5" s="2007">
        <v>0</v>
      </c>
      <c r="H5" s="2007">
        <v>0</v>
      </c>
      <c r="I5" s="2008">
        <f t="shared" ref="I5:I18" si="4">F5</f>
        <v>0</v>
      </c>
      <c r="J5" s="2902"/>
      <c r="K5" s="2043">
        <f t="shared" ref="K5:O18" si="5">D5/100</f>
        <v>0</v>
      </c>
      <c r="L5" s="2028">
        <f t="shared" si="5"/>
        <v>0</v>
      </c>
      <c r="M5" s="2028">
        <f t="shared" si="5"/>
        <v>0</v>
      </c>
      <c r="N5" s="2028">
        <f t="shared" si="5"/>
        <v>0</v>
      </c>
      <c r="O5" s="2028">
        <f t="shared" si="5"/>
        <v>0</v>
      </c>
      <c r="P5" s="2028">
        <f>M5</f>
        <v>0</v>
      </c>
      <c r="Q5" s="2902"/>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2"/>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3364</v>
      </c>
      <c r="B6" s="2031">
        <v>2024</v>
      </c>
      <c r="C6" s="2042">
        <v>1</v>
      </c>
      <c r="D6" s="2007">
        <v>0</v>
      </c>
      <c r="E6" s="2007">
        <v>0</v>
      </c>
      <c r="F6" s="2007">
        <v>0</v>
      </c>
      <c r="G6" s="2007">
        <v>0</v>
      </c>
      <c r="H6" s="2913">
        <v>0</v>
      </c>
      <c r="I6" s="2008">
        <v>0</v>
      </c>
      <c r="J6" s="2902"/>
      <c r="K6" s="2043">
        <f t="shared" ref="K6" si="8">D6/100</f>
        <v>0</v>
      </c>
      <c r="L6" s="2028">
        <f t="shared" ref="L6" si="9">E6/100</f>
        <v>0</v>
      </c>
      <c r="M6" s="2028">
        <f t="shared" ref="M6" si="10">F6/100</f>
        <v>0</v>
      </c>
      <c r="N6" s="2028">
        <f t="shared" ref="N6" si="11">G6/100</f>
        <v>0</v>
      </c>
      <c r="O6" s="2028">
        <f t="shared" ref="O6" si="12">H6/100</f>
        <v>0</v>
      </c>
      <c r="P6" s="2028">
        <f t="shared" ref="P6" si="13">M6</f>
        <v>0</v>
      </c>
      <c r="Q6" s="2902"/>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2"/>
      <c r="Y6" s="2028"/>
      <c r="Z6" s="2028"/>
      <c r="AA6" s="2028"/>
      <c r="AB6" s="2028"/>
      <c r="AC6" s="2028"/>
      <c r="AD6" s="2028"/>
    </row>
    <row r="7" spans="1:30" s="2912" customFormat="1" ht="12.75">
      <c r="A7" s="2903" t="s">
        <v>3366</v>
      </c>
      <c r="B7" s="2904">
        <v>2023</v>
      </c>
      <c r="C7" s="2905">
        <v>4</v>
      </c>
      <c r="D7" s="2906">
        <v>0.19</v>
      </c>
      <c r="E7" s="2906">
        <v>0.24</v>
      </c>
      <c r="F7" s="2906">
        <v>-0.16</v>
      </c>
      <c r="G7" s="2906">
        <v>0.17</v>
      </c>
      <c r="H7" s="2907">
        <v>0.61</v>
      </c>
      <c r="I7" s="2908">
        <f>F7</f>
        <v>-0.16</v>
      </c>
      <c r="J7" s="2909"/>
      <c r="K7" s="2910">
        <f t="shared" si="5"/>
        <v>1.9E-3</v>
      </c>
      <c r="L7" s="2911">
        <f t="shared" si="5"/>
        <v>2.3999999999999998E-3</v>
      </c>
      <c r="M7" s="2911">
        <f t="shared" si="5"/>
        <v>-1.6000000000000001E-3</v>
      </c>
      <c r="N7" s="2911">
        <f t="shared" si="5"/>
        <v>1.7000000000000001E-3</v>
      </c>
      <c r="O7" s="2911">
        <f t="shared" si="5"/>
        <v>6.0999999999999995E-3</v>
      </c>
      <c r="P7" s="2911">
        <f t="shared" ref="P7" si="15">M7</f>
        <v>-1.6000000000000001E-3</v>
      </c>
      <c r="Q7" s="2909"/>
      <c r="R7" s="2909">
        <f>ROUND(IF(项目基本情况!$B$8="出让",SUMPRODUCT(PRODUCT(1+K7:$K$18)),SUMPRODUCT(PRODUCT(1+K7:$K$17))),4)</f>
        <v>1.0804</v>
      </c>
      <c r="S7" s="2909">
        <f>ROUND(IF(项目基本情况!$B$8="出让",SUMPRODUCT(PRODUCT(1+L7:$L$18)),SUMPRODUCT(PRODUCT(1+L7:$L$17))),4)</f>
        <v>1.0471999999999999</v>
      </c>
      <c r="T7" s="2909">
        <f>ROUND(IF(项目基本情况!$B$8="出让",SUMPRODUCT(PRODUCT(1+M7:$M$18)),SUMPRODUCT(PRODUCT(1+M7:$M$17))),4)</f>
        <v>1.0266</v>
      </c>
      <c r="U7" s="2909">
        <f>ROUND(IF(项目基本情况!$B$8="出让",SUMPRODUCT(PRODUCT(1+N7:$N$18)),SUMPRODUCT(PRODUCT(1+N7:$N$17))),4)</f>
        <v>1.0859000000000001</v>
      </c>
      <c r="V7" s="2909">
        <f>ROUND(IF(项目基本情况!$B$8="出让",SUMPRODUCT(PRODUCT(1+O7:$O$18)),SUMPRODUCT(PRODUCT(1+O7:$O$17))),4)</f>
        <v>1.0741000000000001</v>
      </c>
      <c r="W7" s="2909">
        <f t="shared" ref="W7" si="16">T7</f>
        <v>1.0266</v>
      </c>
      <c r="X7" s="2909"/>
      <c r="Y7" s="2911"/>
      <c r="Z7" s="2911"/>
      <c r="AA7" s="2911"/>
      <c r="AB7" s="2911"/>
      <c r="AC7" s="2911"/>
      <c r="AD7" s="2911"/>
    </row>
    <row r="8" spans="1:30" s="2045" customFormat="1" ht="12.75">
      <c r="A8" s="2901" t="s">
        <v>3367</v>
      </c>
      <c r="B8" s="2031">
        <v>2023</v>
      </c>
      <c r="C8" s="2042">
        <v>3</v>
      </c>
      <c r="D8" s="2007">
        <v>0.25</v>
      </c>
      <c r="E8" s="2007">
        <v>0.5</v>
      </c>
      <c r="F8" s="2007">
        <v>0.31</v>
      </c>
      <c r="G8" s="2007">
        <v>0.21</v>
      </c>
      <c r="H8" s="2913">
        <v>0.43</v>
      </c>
      <c r="I8" s="2008">
        <f t="shared" si="4"/>
        <v>0.31</v>
      </c>
      <c r="J8" s="2902"/>
      <c r="K8" s="2043">
        <f t="shared" ref="K8:K10" si="17">D8/100</f>
        <v>2.5000000000000001E-3</v>
      </c>
      <c r="L8" s="2028">
        <f t="shared" ref="L8:L10" si="18">E8/100</f>
        <v>5.0000000000000001E-3</v>
      </c>
      <c r="M8" s="2028">
        <f t="shared" ref="M8:M10" si="19">F8/100</f>
        <v>3.0999999999999999E-3</v>
      </c>
      <c r="N8" s="2028">
        <f t="shared" ref="N8:N10" si="20">G8/100</f>
        <v>2.0999999999999999E-3</v>
      </c>
      <c r="O8" s="2028">
        <f t="shared" ref="O8:O10" si="21">H8/100</f>
        <v>4.3E-3</v>
      </c>
      <c r="P8" s="2028">
        <f t="shared" ref="P8:P10" si="22">M8</f>
        <v>3.0999999999999999E-3</v>
      </c>
      <c r="Q8" s="2902"/>
      <c r="R8" s="2027">
        <f>ROUND(IF(项目基本情况!$B$8="出让",SUMPRODUCT(PRODUCT(1+K8:$K$18)),SUMPRODUCT(PRODUCT(1+K8:$K$17))),4)</f>
        <v>1.0783</v>
      </c>
      <c r="S8" s="2027">
        <f>ROUND(IF(项目基本情况!$B$8="出让",SUMPRODUCT(PRODUCT(1+L8:$L$18)),SUMPRODUCT(PRODUCT(1+L8:$L$17))),4)</f>
        <v>1.0447</v>
      </c>
      <c r="T8" s="2027">
        <f>ROUND(IF(项目基本情况!$B$8="出让",SUMPRODUCT(PRODUCT(1+M8:$M$18)),SUMPRODUCT(PRODUCT(1+M8:$M$17))),4)</f>
        <v>1.0282</v>
      </c>
      <c r="U8" s="2027">
        <f>ROUND(IF(项目基本情况!$B$8="出让",SUMPRODUCT(PRODUCT(1+N8:$N$18)),SUMPRODUCT(PRODUCT(1+N8:$N$17))),4)</f>
        <v>1.0841000000000001</v>
      </c>
      <c r="V8" s="2027">
        <f>ROUND(IF(项目基本情况!$B$8="出让",SUMPRODUCT(PRODUCT(1+O8:$O$18)),SUMPRODUCT(PRODUCT(1+O8:$O$17))),4)</f>
        <v>1.0674999999999999</v>
      </c>
      <c r="W8" s="2027">
        <f t="shared" ref="W8:W9" si="23">T8</f>
        <v>1.0282</v>
      </c>
      <c r="X8" s="2902"/>
      <c r="Y8" s="2028"/>
      <c r="Z8" s="2028"/>
      <c r="AA8" s="2028"/>
      <c r="AB8" s="2028"/>
      <c r="AC8" s="2028"/>
      <c r="AD8" s="2028"/>
    </row>
    <row r="9" spans="1:30" s="2045" customFormat="1" ht="12.75">
      <c r="A9" s="2901" t="s">
        <v>3359</v>
      </c>
      <c r="B9" s="2031">
        <v>2023</v>
      </c>
      <c r="C9" s="2042">
        <v>2</v>
      </c>
      <c r="D9" s="2007">
        <v>0.91</v>
      </c>
      <c r="E9" s="2007">
        <v>0.66</v>
      </c>
      <c r="F9" s="2007">
        <v>0.47</v>
      </c>
      <c r="G9" s="2007">
        <v>0.96</v>
      </c>
      <c r="H9" s="2913">
        <v>0.71</v>
      </c>
      <c r="I9" s="2008">
        <f t="shared" si="4"/>
        <v>0.47</v>
      </c>
      <c r="J9" s="2902"/>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2"/>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2"/>
      <c r="Y9" s="2028"/>
      <c r="Z9" s="2028"/>
      <c r="AA9" s="2028"/>
      <c r="AB9" s="2028"/>
      <c r="AC9" s="2028"/>
      <c r="AD9" s="2028"/>
    </row>
    <row r="10" spans="1:30" s="2045" customFormat="1" ht="12.75">
      <c r="A10" s="2901" t="s">
        <v>3358</v>
      </c>
      <c r="B10" s="2031">
        <v>2023</v>
      </c>
      <c r="C10" s="2042">
        <v>1</v>
      </c>
      <c r="D10" s="2007">
        <v>0.89</v>
      </c>
      <c r="E10" s="2007">
        <v>0.74</v>
      </c>
      <c r="F10" s="2007">
        <v>0.56999999999999995</v>
      </c>
      <c r="G10" s="2007">
        <v>0.92</v>
      </c>
      <c r="H10" s="2913">
        <v>0.5</v>
      </c>
      <c r="I10" s="2008">
        <f t="shared" si="4"/>
        <v>0.56999999999999995</v>
      </c>
      <c r="J10" s="2902"/>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2"/>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2"/>
      <c r="Y10" s="2028"/>
      <c r="Z10" s="2028"/>
      <c r="AA10" s="2028"/>
      <c r="AB10" s="2028"/>
      <c r="AC10" s="2028"/>
      <c r="AD10" s="2028"/>
    </row>
    <row r="11" spans="1:30" s="2045" customFormat="1" ht="12.75">
      <c r="A11" s="2901" t="s">
        <v>3357</v>
      </c>
      <c r="B11" s="2031">
        <v>2022</v>
      </c>
      <c r="C11" s="2042">
        <v>4</v>
      </c>
      <c r="D11" s="2007">
        <v>0.62</v>
      </c>
      <c r="E11" s="2007">
        <v>0.2</v>
      </c>
      <c r="F11" s="2007">
        <v>0.11</v>
      </c>
      <c r="G11" s="2007">
        <v>0.69</v>
      </c>
      <c r="H11" s="2913">
        <v>0.53</v>
      </c>
      <c r="I11" s="2008">
        <f t="shared" si="4"/>
        <v>0.11</v>
      </c>
      <c r="J11" s="2902"/>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2"/>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2"/>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1" t="s">
        <v>3353</v>
      </c>
      <c r="B12" s="2031">
        <v>2022</v>
      </c>
      <c r="C12" s="2042">
        <v>3</v>
      </c>
      <c r="D12" s="2007">
        <v>0.66</v>
      </c>
      <c r="E12" s="2007">
        <v>0.32</v>
      </c>
      <c r="F12" s="2007">
        <v>0.23</v>
      </c>
      <c r="G12" s="2007">
        <v>0.72</v>
      </c>
      <c r="H12" s="2913">
        <v>0.63</v>
      </c>
      <c r="I12" s="2008">
        <f t="shared" si="4"/>
        <v>0.23</v>
      </c>
      <c r="J12" s="2902"/>
      <c r="K12" s="2043">
        <f t="shared" si="5"/>
        <v>6.6E-3</v>
      </c>
      <c r="L12" s="2028">
        <f t="shared" si="5"/>
        <v>3.2000000000000002E-3</v>
      </c>
      <c r="M12" s="2028">
        <f t="shared" si="5"/>
        <v>2.3E-3</v>
      </c>
      <c r="N12" s="2028">
        <f t="shared" si="5"/>
        <v>7.1999999999999998E-3</v>
      </c>
      <c r="O12" s="2028">
        <f t="shared" si="5"/>
        <v>6.3E-3</v>
      </c>
      <c r="P12" s="2028">
        <f t="shared" si="25"/>
        <v>2.3E-3</v>
      </c>
      <c r="Q12" s="2902"/>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2"/>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1" t="s">
        <v>3344</v>
      </c>
      <c r="B13" s="2031">
        <v>2022</v>
      </c>
      <c r="C13" s="2042">
        <v>2</v>
      </c>
      <c r="D13" s="2007">
        <v>0.93</v>
      </c>
      <c r="E13" s="2007">
        <v>0.15</v>
      </c>
      <c r="F13" s="2007">
        <v>0.01</v>
      </c>
      <c r="G13" s="2007">
        <v>1.05</v>
      </c>
      <c r="H13" s="2913">
        <v>1.08</v>
      </c>
      <c r="I13" s="2008">
        <f t="shared" si="4"/>
        <v>0.01</v>
      </c>
      <c r="J13" s="2902"/>
      <c r="K13" s="2043">
        <f t="shared" si="5"/>
        <v>9.300000000000001E-3</v>
      </c>
      <c r="L13" s="2028">
        <f t="shared" si="5"/>
        <v>1.5E-3</v>
      </c>
      <c r="M13" s="2028">
        <f t="shared" si="5"/>
        <v>1E-4</v>
      </c>
      <c r="N13" s="2028">
        <f t="shared" si="5"/>
        <v>1.0500000000000001E-2</v>
      </c>
      <c r="O13" s="2028">
        <f t="shared" si="5"/>
        <v>1.0800000000000001E-2</v>
      </c>
      <c r="P13" s="2028">
        <f t="shared" si="25"/>
        <v>1E-4</v>
      </c>
      <c r="Q13" s="2902"/>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2"/>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1" t="s">
        <v>2810</v>
      </c>
      <c r="B14" s="2031">
        <v>2022</v>
      </c>
      <c r="C14" s="2042">
        <v>1</v>
      </c>
      <c r="D14" s="2007">
        <v>0.89</v>
      </c>
      <c r="E14" s="2007">
        <v>0.44</v>
      </c>
      <c r="F14" s="2007">
        <v>0.37</v>
      </c>
      <c r="G14" s="2007">
        <v>0.96</v>
      </c>
      <c r="H14" s="2913">
        <v>0.64</v>
      </c>
      <c r="I14" s="2008">
        <f t="shared" si="4"/>
        <v>0.37</v>
      </c>
      <c r="J14" s="2902"/>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2"/>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2"/>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1" t="s">
        <v>2811</v>
      </c>
      <c r="B15" s="2031">
        <v>2021</v>
      </c>
      <c r="C15" s="2042">
        <v>4</v>
      </c>
      <c r="D15" s="2007">
        <v>1.03</v>
      </c>
      <c r="E15" s="2007">
        <v>0.24</v>
      </c>
      <c r="F15" s="2007">
        <v>7.0000000000000007E-2</v>
      </c>
      <c r="G15" s="2007">
        <v>1.17</v>
      </c>
      <c r="H15" s="2913">
        <v>0.55000000000000004</v>
      </c>
      <c r="I15" s="2008">
        <f t="shared" si="4"/>
        <v>7.0000000000000007E-2</v>
      </c>
      <c r="J15" s="2902"/>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2"/>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2"/>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1" t="s">
        <v>2812</v>
      </c>
      <c r="B16" s="2031">
        <v>2021</v>
      </c>
      <c r="C16" s="2042">
        <v>3</v>
      </c>
      <c r="D16" s="2007">
        <v>0.47</v>
      </c>
      <c r="E16" s="2007">
        <v>0.41</v>
      </c>
      <c r="F16" s="2007">
        <v>0.24</v>
      </c>
      <c r="G16" s="2007">
        <v>0.48</v>
      </c>
      <c r="H16" s="2913">
        <v>0.48</v>
      </c>
      <c r="I16" s="2008">
        <f t="shared" si="4"/>
        <v>0.24</v>
      </c>
      <c r="J16" s="2902"/>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2"/>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2"/>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1" t="s">
        <v>2813</v>
      </c>
      <c r="B17" s="2031">
        <v>2021</v>
      </c>
      <c r="C17" s="2042">
        <v>2</v>
      </c>
      <c r="D17" s="2007">
        <v>0.92</v>
      </c>
      <c r="E17" s="2007">
        <v>0.72</v>
      </c>
      <c r="F17" s="2007">
        <v>0.41</v>
      </c>
      <c r="G17" s="2007">
        <v>0.95</v>
      </c>
      <c r="H17" s="2913">
        <v>1.01</v>
      </c>
      <c r="I17" s="2008">
        <f t="shared" si="4"/>
        <v>0.41</v>
      </c>
      <c r="J17" s="2902"/>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2"/>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2"/>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4" customFormat="1" thickBot="1">
      <c r="A18" s="2914" t="s">
        <v>2814</v>
      </c>
      <c r="B18" s="2915">
        <v>2021</v>
      </c>
      <c r="C18" s="2916">
        <v>1</v>
      </c>
      <c r="D18" s="2917">
        <v>0.97</v>
      </c>
      <c r="E18" s="2917">
        <v>0.16</v>
      </c>
      <c r="F18" s="2917">
        <v>-0.25</v>
      </c>
      <c r="G18" s="2917">
        <v>1.1100000000000001</v>
      </c>
      <c r="H18" s="2918">
        <v>0.36</v>
      </c>
      <c r="I18" s="2919">
        <f t="shared" si="4"/>
        <v>-0.25</v>
      </c>
      <c r="J18" s="2920"/>
      <c r="K18" s="2921">
        <f t="shared" si="5"/>
        <v>9.7000000000000003E-3</v>
      </c>
      <c r="L18" s="2922">
        <f t="shared" si="5"/>
        <v>1.6000000000000001E-3</v>
      </c>
      <c r="M18" s="2922">
        <f>F18/100</f>
        <v>-2.5000000000000001E-3</v>
      </c>
      <c r="N18" s="2922">
        <f t="shared" si="5"/>
        <v>1.11E-2</v>
      </c>
      <c r="O18" s="2922">
        <f t="shared" si="5"/>
        <v>3.5999999999999999E-3</v>
      </c>
      <c r="P18" s="2922">
        <f t="shared" si="25"/>
        <v>-2.5000000000000001E-3</v>
      </c>
      <c r="Q18" s="2920"/>
      <c r="R18" s="2923">
        <v>1</v>
      </c>
      <c r="S18" s="2923">
        <v>1</v>
      </c>
      <c r="T18" s="2923">
        <v>1</v>
      </c>
      <c r="U18" s="2923">
        <v>1</v>
      </c>
      <c r="V18" s="2923">
        <v>1</v>
      </c>
      <c r="W18" s="2923">
        <f t="shared" ref="W18" si="31">T18</f>
        <v>1</v>
      </c>
      <c r="X18" s="2920"/>
      <c r="Y18" s="2922">
        <f>IF(D18=0,0,ROUND(AVERAGE(D18:D18)/100,4))</f>
        <v>9.7000000000000003E-3</v>
      </c>
      <c r="Z18" s="2922">
        <f>IF(E18=0,0,ROUND(AVERAGE(E18:E18)/100,4))</f>
        <v>1.6000000000000001E-3</v>
      </c>
      <c r="AA18" s="2922">
        <f>IF(F18=0,0,ROUND(AVERAGE(F18:F18)/100,4))</f>
        <v>-2.5000000000000001E-3</v>
      </c>
      <c r="AB18" s="2922">
        <f>IF(G18=0,0,ROUND(AVERAGE(G18:G18)/100,4))</f>
        <v>1.11E-2</v>
      </c>
      <c r="AC18" s="2922">
        <f>IF(H18=0,0,ROUND(AVERAGE(H18:H18)/100,4))</f>
        <v>3.5999999999999999E-3</v>
      </c>
      <c r="AD18" s="2922">
        <f>AA18</f>
        <v>-2.5000000000000001E-3</v>
      </c>
    </row>
    <row r="19" spans="1:30" ht="14.25" thickTop="1"/>
    <row r="20" spans="1:30">
      <c r="A20" s="3139" t="s">
        <v>3355</v>
      </c>
    </row>
    <row r="21" spans="1:30">
      <c r="I21" s="1405" t="s">
        <v>2815</v>
      </c>
    </row>
    <row r="23" spans="1:30" s="2009" customFormat="1" ht="12.75">
      <c r="B23" s="2925" t="s">
        <v>3361</v>
      </c>
      <c r="C23" s="2926"/>
      <c r="D23" s="2926"/>
      <c r="E23" s="2926"/>
      <c r="F23" s="2926"/>
      <c r="G23" s="2926"/>
      <c r="H23" s="2926"/>
      <c r="I23" s="2926"/>
      <c r="J23" s="2892"/>
      <c r="K23" s="2926" t="s">
        <v>2816</v>
      </c>
      <c r="L23" s="2926"/>
      <c r="M23" s="2926"/>
      <c r="N23" s="2926"/>
      <c r="O23" s="2926"/>
      <c r="P23" s="2926"/>
      <c r="Q23" s="2892"/>
      <c r="R23" s="3489" t="s">
        <v>2817</v>
      </c>
      <c r="S23" s="3490"/>
      <c r="T23" s="3490"/>
      <c r="U23" s="3490"/>
      <c r="V23" s="3490"/>
      <c r="W23" s="3490"/>
      <c r="X23" s="2892"/>
      <c r="Y23" s="3489" t="s">
        <v>2818</v>
      </c>
      <c r="Z23" s="3490"/>
      <c r="AA23" s="3490"/>
      <c r="AB23" s="3490"/>
      <c r="AC23" s="3490"/>
      <c r="AD23" s="3490"/>
    </row>
    <row r="24" spans="1:30" s="2010" customFormat="1" ht="14.25" thickBot="1">
      <c r="B24" s="2877"/>
      <c r="C24" s="2878"/>
      <c r="D24" s="2011" t="s">
        <v>2819</v>
      </c>
      <c r="E24" s="2012" t="s">
        <v>2820</v>
      </c>
      <c r="F24" s="2012" t="s">
        <v>2821</v>
      </c>
      <c r="G24" s="2012" t="s">
        <v>2822</v>
      </c>
      <c r="H24" s="2012"/>
      <c r="I24" s="2012" t="s">
        <v>2823</v>
      </c>
      <c r="J24" s="2879"/>
      <c r="K24" s="2011" t="s">
        <v>2819</v>
      </c>
      <c r="L24" s="2012" t="s">
        <v>2820</v>
      </c>
      <c r="M24" s="2012" t="s">
        <v>2821</v>
      </c>
      <c r="N24" s="2012" t="s">
        <v>2822</v>
      </c>
      <c r="O24" s="2012"/>
      <c r="P24" s="2012" t="s">
        <v>2823</v>
      </c>
      <c r="Q24" s="2879"/>
      <c r="R24" s="2011" t="s">
        <v>2819</v>
      </c>
      <c r="S24" s="2012" t="s">
        <v>2820</v>
      </c>
      <c r="T24" s="2012" t="s">
        <v>2821</v>
      </c>
      <c r="U24" s="2012" t="s">
        <v>2822</v>
      </c>
      <c r="V24" s="2012"/>
      <c r="W24" s="2012" t="s">
        <v>2823</v>
      </c>
      <c r="X24" s="2879"/>
      <c r="Y24" s="2011" t="s">
        <v>2819</v>
      </c>
      <c r="Z24" s="2012" t="s">
        <v>2820</v>
      </c>
      <c r="AA24" s="2012" t="s">
        <v>2821</v>
      </c>
      <c r="AB24" s="2012" t="s">
        <v>2822</v>
      </c>
      <c r="AC24" s="2012"/>
      <c r="AD24" s="2012" t="s">
        <v>2823</v>
      </c>
    </row>
    <row r="25" spans="1:30" s="2882" customFormat="1" ht="12.75">
      <c r="A25" s="2880" t="s">
        <v>2824</v>
      </c>
      <c r="B25" s="2881"/>
      <c r="E25" s="2882">
        <f t="shared" ref="E25:G25" si="32">ROUND(AVERAGEIF(E26:E40,"&lt;&gt;0"),2)</f>
        <v>0.39</v>
      </c>
      <c r="F25" s="2882">
        <f t="shared" si="32"/>
        <v>0.28000000000000003</v>
      </c>
      <c r="G25" s="2882">
        <f t="shared" si="32"/>
        <v>0.67</v>
      </c>
      <c r="I25" s="2882">
        <f>F25</f>
        <v>0.28000000000000003</v>
      </c>
      <c r="J25" s="2883"/>
      <c r="K25" s="2884"/>
      <c r="L25" s="2885">
        <f t="shared" ref="L25:N25" si="33">ROUND(AVERAGEIF(L26:L40,"&lt;&gt;0"),4)</f>
        <v>3.8999999999999998E-3</v>
      </c>
      <c r="M25" s="2885">
        <f t="shared" si="33"/>
        <v>2.8E-3</v>
      </c>
      <c r="N25" s="2885">
        <f t="shared" si="33"/>
        <v>6.7000000000000002E-3</v>
      </c>
      <c r="O25" s="2885"/>
      <c r="P25" s="2885">
        <f>M25</f>
        <v>2.8E-3</v>
      </c>
      <c r="Q25" s="2883"/>
      <c r="R25" s="2886"/>
      <c r="S25" s="2887">
        <f>ROUND(SUMPRODUCT(PRODUCT(1+L26:L40)),4)</f>
        <v>1.0476000000000001</v>
      </c>
      <c r="T25" s="2887">
        <f t="shared" ref="T25:U25" si="34">ROUND(SUMPRODUCT(PRODUCT(1+M26:M40)),4)</f>
        <v>1.0346</v>
      </c>
      <c r="U25" s="2887">
        <f t="shared" si="34"/>
        <v>1.0831999999999999</v>
      </c>
      <c r="V25" s="2887"/>
      <c r="W25" s="2886">
        <f>T25</f>
        <v>1.0346</v>
      </c>
      <c r="X25" s="2883"/>
      <c r="Y25" s="2888"/>
      <c r="Z25" s="2889">
        <f t="shared" ref="Z25:AB25" si="35">ROUND(AVERAGEIF(Z26:Z40,"&lt;&gt;0"),4)</f>
        <v>4.3E-3</v>
      </c>
      <c r="AA25" s="2890">
        <f t="shared" si="35"/>
        <v>3.5999999999999999E-3</v>
      </c>
      <c r="AB25" s="2888">
        <f t="shared" si="35"/>
        <v>8.8999999999999999E-3</v>
      </c>
      <c r="AC25" s="2891"/>
      <c r="AD25" s="2888">
        <f>AA25</f>
        <v>3.5999999999999999E-3</v>
      </c>
    </row>
    <row r="26" spans="1:30" s="2009" customFormat="1" ht="12.75">
      <c r="B26" s="2025"/>
      <c r="J26" s="2892"/>
      <c r="K26" s="2893"/>
      <c r="L26" s="2894"/>
      <c r="M26" s="2894"/>
      <c r="N26" s="2894"/>
      <c r="O26" s="2894"/>
      <c r="P26" s="2894"/>
      <c r="Q26" s="2892"/>
      <c r="R26" s="2027"/>
      <c r="S26" s="2895"/>
      <c r="T26" s="2896"/>
      <c r="U26" s="2027"/>
      <c r="V26" s="2897"/>
      <c r="W26" s="2027"/>
      <c r="X26" s="2892"/>
      <c r="Y26" s="2028"/>
      <c r="Z26" s="2898"/>
      <c r="AA26" s="2899"/>
      <c r="AB26" s="2028"/>
      <c r="AC26" s="2900"/>
      <c r="AD26" s="2028"/>
    </row>
    <row r="27" spans="1:30" s="2045" customFormat="1" ht="12.75">
      <c r="A27" s="2040" t="s">
        <v>3363</v>
      </c>
      <c r="B27" s="2031">
        <v>2024</v>
      </c>
      <c r="C27" s="2042">
        <v>2</v>
      </c>
      <c r="D27" s="2007"/>
      <c r="E27" s="2007">
        <v>0</v>
      </c>
      <c r="F27" s="2007">
        <v>0</v>
      </c>
      <c r="G27" s="2007">
        <v>0</v>
      </c>
      <c r="H27" s="2007"/>
      <c r="I27" s="2008">
        <f t="shared" ref="I27:I40" si="36">F27</f>
        <v>0</v>
      </c>
      <c r="J27" s="2902"/>
      <c r="K27" s="2043"/>
      <c r="L27" s="2028">
        <f t="shared" ref="L27:N40" si="37">E27/100</f>
        <v>0</v>
      </c>
      <c r="M27" s="2028">
        <f t="shared" si="37"/>
        <v>0</v>
      </c>
      <c r="N27" s="2028">
        <f t="shared" si="37"/>
        <v>0</v>
      </c>
      <c r="O27" s="2028"/>
      <c r="P27" s="2028">
        <f>M27</f>
        <v>0</v>
      </c>
      <c r="Q27" s="2902"/>
      <c r="R27" s="2027"/>
      <c r="S27" s="2027">
        <f>ROUND(IF(项目基本情况!$B$8="出让",SUMPRODUCT(PRODUCT(1+L27:L$40)),SUMPRODUCT(PRODUCT(1+L27:L$39))),4)</f>
        <v>1.0439000000000001</v>
      </c>
      <c r="T27" s="2027">
        <f>ROUND(IF(项目基本情况!$B$8="出让",SUMPRODUCT(PRODUCT(1+M27:M$40)),SUMPRODUCT(PRODUCT(1+M27:M$39))),4)</f>
        <v>1.0297000000000001</v>
      </c>
      <c r="U27" s="2027">
        <f>ROUND(IF(项目基本情况!$B$8="出让",SUMPRODUCT(PRODUCT(1+N27:N$40)),SUMPRODUCT(PRODUCT(1+N27:N$39))),4)</f>
        <v>1.0727</v>
      </c>
      <c r="V27" s="2027"/>
      <c r="W27" s="2027">
        <f>T27</f>
        <v>1.0297000000000001</v>
      </c>
      <c r="X27" s="2902"/>
      <c r="Y27" s="2028"/>
      <c r="Z27" s="2898">
        <f>IF(E27=0,0,ROUND(AVERAGE(E27:E40)/100,4))</f>
        <v>0</v>
      </c>
      <c r="AA27" s="2898">
        <f>IF(F27=0,0,ROUND(AVERAGE(F27:F40)/100,4))</f>
        <v>0</v>
      </c>
      <c r="AB27" s="2898">
        <f>IF(G27=0,0,ROUND(AVERAGE(G27:G40)/100,4))</f>
        <v>0</v>
      </c>
      <c r="AC27" s="2900"/>
      <c r="AD27" s="2028">
        <f>IF(I27=0,0,ROUND(AVERAGE(I27:I40)/100,4))</f>
        <v>0</v>
      </c>
    </row>
    <row r="28" spans="1:30" s="2045" customFormat="1" ht="12.75">
      <c r="A28" s="2040" t="s">
        <v>3364</v>
      </c>
      <c r="B28" s="2031">
        <v>2024</v>
      </c>
      <c r="C28" s="2042">
        <v>1</v>
      </c>
      <c r="D28" s="2007"/>
      <c r="E28" s="2007">
        <v>0</v>
      </c>
      <c r="F28" s="2007">
        <v>0</v>
      </c>
      <c r="G28" s="2007">
        <v>0</v>
      </c>
      <c r="H28" s="2007"/>
      <c r="I28" s="2008">
        <f t="shared" ref="I28:I29" si="38">F28</f>
        <v>0</v>
      </c>
      <c r="J28" s="2902"/>
      <c r="K28" s="2043"/>
      <c r="L28" s="2028">
        <f t="shared" ref="L28" si="39">E28/100</f>
        <v>0</v>
      </c>
      <c r="M28" s="2028">
        <f t="shared" ref="M28" si="40">F28/100</f>
        <v>0</v>
      </c>
      <c r="N28" s="2028">
        <f t="shared" ref="N28" si="41">G28/100</f>
        <v>0</v>
      </c>
      <c r="O28" s="2028"/>
      <c r="P28" s="2028">
        <f t="shared" ref="P28" si="42">M28</f>
        <v>0</v>
      </c>
      <c r="Q28" s="2902"/>
      <c r="R28" s="2027"/>
      <c r="S28" s="2027">
        <f>ROUND(IF(项目基本情况!$B$8="出让",SUMPRODUCT(PRODUCT(1+L28:L$40)),SUMPRODUCT(PRODUCT(1+L28:L$39))),4)</f>
        <v>1.0439000000000001</v>
      </c>
      <c r="T28" s="2027">
        <f>ROUND(IF(项目基本情况!$B$8="出让",SUMPRODUCT(PRODUCT(1+M28:M$40)),SUMPRODUCT(PRODUCT(1+M28:M$39))),4)</f>
        <v>1.0297000000000001</v>
      </c>
      <c r="U28" s="2027">
        <f>ROUND(IF(项目基本情况!$B$8="出让",SUMPRODUCT(PRODUCT(1+N28:N$40)),SUMPRODUCT(PRODUCT(1+N28:N$39))),4)</f>
        <v>1.0727</v>
      </c>
      <c r="V28" s="2027"/>
      <c r="W28" s="2027">
        <f t="shared" ref="W28" si="43">T28</f>
        <v>1.0297000000000001</v>
      </c>
      <c r="X28" s="2902"/>
      <c r="Y28" s="2028"/>
      <c r="Z28" s="2898"/>
      <c r="AA28" s="2899"/>
      <c r="AB28" s="2028"/>
      <c r="AC28" s="2900"/>
      <c r="AD28" s="2028"/>
    </row>
    <row r="29" spans="1:30" s="2912" customFormat="1" ht="12.75">
      <c r="A29" s="2903" t="s">
        <v>3368</v>
      </c>
      <c r="B29" s="2904">
        <v>2023</v>
      </c>
      <c r="C29" s="2905">
        <v>4</v>
      </c>
      <c r="D29" s="2906"/>
      <c r="E29" s="2906">
        <v>7.0000000000000007E-2</v>
      </c>
      <c r="F29" s="2906">
        <v>0.09</v>
      </c>
      <c r="G29" s="2906">
        <v>0.03</v>
      </c>
      <c r="H29" s="2907"/>
      <c r="I29" s="2908">
        <f t="shared" si="38"/>
        <v>0.09</v>
      </c>
      <c r="J29" s="2909"/>
      <c r="K29" s="2910"/>
      <c r="L29" s="2911">
        <f t="shared" si="37"/>
        <v>7.000000000000001E-4</v>
      </c>
      <c r="M29" s="2911">
        <f t="shared" si="37"/>
        <v>8.9999999999999998E-4</v>
      </c>
      <c r="N29" s="2911">
        <f t="shared" si="37"/>
        <v>2.9999999999999997E-4</v>
      </c>
      <c r="O29" s="2911"/>
      <c r="P29" s="2911">
        <f t="shared" ref="P29" si="44">M29</f>
        <v>8.9999999999999998E-4</v>
      </c>
      <c r="Q29" s="2909"/>
      <c r="R29" s="2909"/>
      <c r="S29" s="2909">
        <f>ROUND(IF(项目基本情况!$B$8="出让",SUMPRODUCT(PRODUCT(1+L29:L$40)),SUMPRODUCT(PRODUCT(1+L29:L$39))),4)</f>
        <v>1.0439000000000001</v>
      </c>
      <c r="T29" s="2909">
        <f>ROUND(IF(项目基本情况!$B$8="出让",SUMPRODUCT(PRODUCT(1+M29:M$40)),SUMPRODUCT(PRODUCT(1+M29:M$39))),4)</f>
        <v>1.0297000000000001</v>
      </c>
      <c r="U29" s="2909">
        <f>ROUND(IF(项目基本情况!$B$8="出让",SUMPRODUCT(PRODUCT(1+N29:N$40)),SUMPRODUCT(PRODUCT(1+N29:N$39))),4)</f>
        <v>1.0727</v>
      </c>
      <c r="V29" s="2909"/>
      <c r="W29" s="2909">
        <f t="shared" ref="W29" si="45">T29</f>
        <v>1.0297000000000001</v>
      </c>
      <c r="X29" s="2909"/>
      <c r="Y29" s="2911"/>
      <c r="Z29" s="2927"/>
      <c r="AA29" s="2928"/>
      <c r="AB29" s="2911"/>
      <c r="AC29" s="2929"/>
      <c r="AD29" s="2911"/>
    </row>
    <row r="30" spans="1:30" s="2045" customFormat="1" ht="12.75">
      <c r="A30" s="2901" t="s">
        <v>3367</v>
      </c>
      <c r="B30" s="2031">
        <v>2023</v>
      </c>
      <c r="C30" s="2042">
        <v>3</v>
      </c>
      <c r="D30" s="2007"/>
      <c r="E30" s="2007">
        <v>0.35</v>
      </c>
      <c r="F30" s="2007">
        <v>0.17</v>
      </c>
      <c r="G30" s="2007">
        <v>0.52</v>
      </c>
      <c r="H30" s="2913"/>
      <c r="I30" s="2008">
        <f t="shared" si="36"/>
        <v>0.17</v>
      </c>
      <c r="J30" s="2902"/>
      <c r="K30" s="2043"/>
      <c r="L30" s="2028">
        <f t="shared" ref="L30:L32" si="46">E30/100</f>
        <v>3.4999999999999996E-3</v>
      </c>
      <c r="M30" s="2028">
        <f t="shared" ref="M30:M32" si="47">F30/100</f>
        <v>1.7000000000000001E-3</v>
      </c>
      <c r="N30" s="2028">
        <f t="shared" ref="N30:N32" si="48">G30/100</f>
        <v>5.1999999999999998E-3</v>
      </c>
      <c r="O30" s="2028"/>
      <c r="P30" s="2028">
        <f t="shared" ref="P30:P32" si="49">M30</f>
        <v>1.7000000000000001E-3</v>
      </c>
      <c r="Q30" s="2902"/>
      <c r="R30" s="2027"/>
      <c r="S30" s="2027">
        <f>ROUND(IF(项目基本情况!$B$8="出让",SUMPRODUCT(PRODUCT(1+L30:L$40)),SUMPRODUCT(PRODUCT(1+L30:L$39))),4)</f>
        <v>1.0431999999999999</v>
      </c>
      <c r="T30" s="2027">
        <f>ROUND(IF(项目基本情况!$B$8="出让",SUMPRODUCT(PRODUCT(1+M30:M$40)),SUMPRODUCT(PRODUCT(1+M30:M$39))),4)</f>
        <v>1.0286999999999999</v>
      </c>
      <c r="U30" s="2027">
        <f>ROUND(IF(项目基本情况!$B$8="出让",SUMPRODUCT(PRODUCT(1+N30:N$40)),SUMPRODUCT(PRODUCT(1+N30:N$39))),4)</f>
        <v>1.0723</v>
      </c>
      <c r="V30" s="2027"/>
      <c r="W30" s="2027">
        <f t="shared" ref="W30:W32" si="50">T30</f>
        <v>1.0286999999999999</v>
      </c>
      <c r="X30" s="2902"/>
      <c r="Y30" s="2028"/>
      <c r="Z30" s="2898"/>
      <c r="AA30" s="2899"/>
      <c r="AB30" s="2028"/>
      <c r="AC30" s="2900"/>
      <c r="AD30" s="2028"/>
    </row>
    <row r="31" spans="1:30" s="2045" customFormat="1" ht="12.75">
      <c r="A31" s="2901" t="s">
        <v>3362</v>
      </c>
      <c r="B31" s="2031">
        <v>2023</v>
      </c>
      <c r="C31" s="2042">
        <v>2</v>
      </c>
      <c r="D31" s="2007"/>
      <c r="E31" s="2007">
        <v>0.5</v>
      </c>
      <c r="F31" s="2007">
        <v>0.45</v>
      </c>
      <c r="G31" s="2007">
        <v>0.89</v>
      </c>
      <c r="H31" s="2913"/>
      <c r="I31" s="2008">
        <f t="shared" si="36"/>
        <v>0.45</v>
      </c>
      <c r="J31" s="2902"/>
      <c r="K31" s="2043"/>
      <c r="L31" s="2028">
        <f t="shared" si="46"/>
        <v>5.0000000000000001E-3</v>
      </c>
      <c r="M31" s="2028">
        <f t="shared" si="47"/>
        <v>4.5000000000000005E-3</v>
      </c>
      <c r="N31" s="2028">
        <f t="shared" si="48"/>
        <v>8.8999999999999999E-3</v>
      </c>
      <c r="O31" s="2028"/>
      <c r="P31" s="2028">
        <f t="shared" si="49"/>
        <v>4.5000000000000005E-3</v>
      </c>
      <c r="Q31" s="2902"/>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2"/>
      <c r="Y31" s="2028"/>
      <c r="Z31" s="2898"/>
      <c r="AA31" s="2899"/>
      <c r="AB31" s="2028"/>
      <c r="AC31" s="2900"/>
      <c r="AD31" s="2028"/>
    </row>
    <row r="32" spans="1:30" s="2045" customFormat="1" ht="12.75">
      <c r="A32" s="2901" t="s">
        <v>3358</v>
      </c>
      <c r="B32" s="2031">
        <v>2023</v>
      </c>
      <c r="C32" s="2042">
        <v>1</v>
      </c>
      <c r="D32" s="2007"/>
      <c r="E32" s="2007">
        <v>0.55000000000000004</v>
      </c>
      <c r="F32" s="2007">
        <v>0.59</v>
      </c>
      <c r="G32" s="2007">
        <v>0.64</v>
      </c>
      <c r="H32" s="2913"/>
      <c r="I32" s="2008">
        <f t="shared" si="36"/>
        <v>0.59</v>
      </c>
      <c r="J32" s="2902"/>
      <c r="K32" s="2043"/>
      <c r="L32" s="2028">
        <f t="shared" si="46"/>
        <v>5.5000000000000005E-3</v>
      </c>
      <c r="M32" s="2028">
        <f t="shared" si="47"/>
        <v>5.8999999999999999E-3</v>
      </c>
      <c r="N32" s="2028">
        <f t="shared" si="48"/>
        <v>6.4000000000000003E-3</v>
      </c>
      <c r="O32" s="2028"/>
      <c r="P32" s="2028">
        <f t="shared" si="49"/>
        <v>5.8999999999999999E-3</v>
      </c>
      <c r="Q32" s="2902"/>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2"/>
      <c r="Y32" s="2028"/>
      <c r="Z32" s="2898"/>
      <c r="AA32" s="2899"/>
      <c r="AB32" s="2028"/>
      <c r="AC32" s="2900"/>
      <c r="AD32" s="2028"/>
    </row>
    <row r="33" spans="1:30" s="2045" customFormat="1" ht="12.75">
      <c r="A33" s="2901" t="s">
        <v>3357</v>
      </c>
      <c r="B33" s="2031">
        <v>2022</v>
      </c>
      <c r="C33" s="2042">
        <v>4</v>
      </c>
      <c r="D33" s="2007"/>
      <c r="E33" s="2007">
        <v>0.45</v>
      </c>
      <c r="F33" s="2007">
        <v>0.2</v>
      </c>
      <c r="G33" s="2007">
        <v>0.38</v>
      </c>
      <c r="H33" s="2913"/>
      <c r="I33" s="2008">
        <f t="shared" si="36"/>
        <v>0.2</v>
      </c>
      <c r="J33" s="2902"/>
      <c r="K33" s="2043"/>
      <c r="L33" s="2028">
        <f t="shared" si="37"/>
        <v>4.5000000000000005E-3</v>
      </c>
      <c r="M33" s="2028">
        <f t="shared" si="37"/>
        <v>2E-3</v>
      </c>
      <c r="N33" s="2028">
        <f t="shared" si="37"/>
        <v>3.8E-3</v>
      </c>
      <c r="O33" s="2028"/>
      <c r="P33" s="2028">
        <f t="shared" ref="P33:P40" si="51">M33</f>
        <v>2E-3</v>
      </c>
      <c r="Q33" s="2902"/>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2"/>
      <c r="Y33" s="2028"/>
      <c r="Z33" s="2898">
        <f t="shared" ref="Z33:AD40" si="53">IF(E33=0,0,ROUND(AVERAGE(E33:E41)/100,4))</f>
        <v>4.0000000000000001E-3</v>
      </c>
      <c r="AA33" s="2899">
        <f t="shared" si="53"/>
        <v>2.5999999999999999E-3</v>
      </c>
      <c r="AB33" s="2028">
        <f t="shared" si="53"/>
        <v>7.4000000000000003E-3</v>
      </c>
      <c r="AC33" s="2900"/>
      <c r="AD33" s="2028">
        <f t="shared" si="53"/>
        <v>2.5999999999999999E-3</v>
      </c>
    </row>
    <row r="34" spans="1:30" s="2045" customFormat="1" ht="12.75">
      <c r="A34" s="2901" t="s">
        <v>3354</v>
      </c>
      <c r="B34" s="2031">
        <v>2022</v>
      </c>
      <c r="C34" s="2042">
        <v>3</v>
      </c>
      <c r="D34" s="2007"/>
      <c r="E34" s="2007">
        <v>0.3</v>
      </c>
      <c r="F34" s="2007">
        <v>0.28999999999999998</v>
      </c>
      <c r="G34" s="2007">
        <v>0.83</v>
      </c>
      <c r="H34" s="2913"/>
      <c r="I34" s="2008">
        <f t="shared" si="36"/>
        <v>0.28999999999999998</v>
      </c>
      <c r="J34" s="2902"/>
      <c r="K34" s="2043"/>
      <c r="L34" s="2028">
        <f t="shared" si="37"/>
        <v>3.0000000000000001E-3</v>
      </c>
      <c r="M34" s="2028">
        <f t="shared" si="37"/>
        <v>2.8999999999999998E-3</v>
      </c>
      <c r="N34" s="2028">
        <f t="shared" si="37"/>
        <v>8.3000000000000001E-3</v>
      </c>
      <c r="O34" s="2028"/>
      <c r="P34" s="2028">
        <f t="shared" si="51"/>
        <v>2.8999999999999998E-3</v>
      </c>
      <c r="Q34" s="2902"/>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2"/>
      <c r="Y34" s="2028"/>
      <c r="Z34" s="2898">
        <f t="shared" si="53"/>
        <v>3.8999999999999998E-3</v>
      </c>
      <c r="AA34" s="2899">
        <f t="shared" si="53"/>
        <v>2.7000000000000001E-3</v>
      </c>
      <c r="AB34" s="2028">
        <f t="shared" si="53"/>
        <v>7.9000000000000008E-3</v>
      </c>
      <c r="AC34" s="2900"/>
      <c r="AD34" s="2028">
        <f t="shared" si="53"/>
        <v>2.7000000000000001E-3</v>
      </c>
    </row>
    <row r="35" spans="1:30" s="2045" customFormat="1" ht="12.75">
      <c r="A35" s="2901" t="s">
        <v>3344</v>
      </c>
      <c r="B35" s="2031">
        <v>2022</v>
      </c>
      <c r="C35" s="2042">
        <v>2</v>
      </c>
      <c r="D35" s="2007"/>
      <c r="E35" s="2007">
        <v>-0.11</v>
      </c>
      <c r="F35" s="2007">
        <v>-0.13</v>
      </c>
      <c r="G35" s="2007">
        <v>0.53</v>
      </c>
      <c r="H35" s="2913"/>
      <c r="I35" s="2008">
        <f t="shared" si="36"/>
        <v>-0.13</v>
      </c>
      <c r="J35" s="2902"/>
      <c r="K35" s="2043"/>
      <c r="L35" s="2028">
        <f t="shared" si="37"/>
        <v>-1.1000000000000001E-3</v>
      </c>
      <c r="M35" s="2028">
        <f t="shared" si="37"/>
        <v>-1.2999999999999999E-3</v>
      </c>
      <c r="N35" s="2028">
        <f t="shared" si="37"/>
        <v>5.3E-3</v>
      </c>
      <c r="O35" s="2028"/>
      <c r="P35" s="2028">
        <f t="shared" si="51"/>
        <v>-1.2999999999999999E-3</v>
      </c>
      <c r="Q35" s="2902"/>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2"/>
      <c r="Y35" s="2028"/>
      <c r="Z35" s="2898">
        <f t="shared" si="53"/>
        <v>4.1000000000000003E-3</v>
      </c>
      <c r="AA35" s="2899">
        <f t="shared" si="53"/>
        <v>2.7000000000000001E-3</v>
      </c>
      <c r="AB35" s="2028">
        <f t="shared" si="53"/>
        <v>7.9000000000000008E-3</v>
      </c>
      <c r="AC35" s="2900"/>
      <c r="AD35" s="2028">
        <f t="shared" si="53"/>
        <v>2.7000000000000001E-3</v>
      </c>
    </row>
    <row r="36" spans="1:30" s="2045" customFormat="1" ht="12.75">
      <c r="A36" s="2901" t="s">
        <v>2825</v>
      </c>
      <c r="B36" s="2031">
        <v>2022</v>
      </c>
      <c r="C36" s="2042">
        <v>1</v>
      </c>
      <c r="D36" s="2007"/>
      <c r="E36" s="2007">
        <v>0.6</v>
      </c>
      <c r="F36" s="2007">
        <v>0.45</v>
      </c>
      <c r="G36" s="2007">
        <v>0.53</v>
      </c>
      <c r="H36" s="2913"/>
      <c r="I36" s="2008">
        <f t="shared" si="36"/>
        <v>0.45</v>
      </c>
      <c r="J36" s="2902"/>
      <c r="K36" s="2043"/>
      <c r="L36" s="2028">
        <f t="shared" si="37"/>
        <v>6.0000000000000001E-3</v>
      </c>
      <c r="M36" s="2028">
        <f t="shared" si="37"/>
        <v>4.5000000000000005E-3</v>
      </c>
      <c r="N36" s="2028">
        <f t="shared" si="37"/>
        <v>5.3E-3</v>
      </c>
      <c r="O36" s="2028"/>
      <c r="P36" s="2028">
        <f t="shared" si="51"/>
        <v>4.5000000000000005E-3</v>
      </c>
      <c r="Q36" s="2902"/>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2"/>
      <c r="Y36" s="2028"/>
      <c r="Z36" s="2898">
        <f t="shared" si="53"/>
        <v>5.1000000000000004E-3</v>
      </c>
      <c r="AA36" s="2899">
        <f t="shared" si="53"/>
        <v>3.5000000000000001E-3</v>
      </c>
      <c r="AB36" s="2028">
        <f t="shared" si="53"/>
        <v>8.3999999999999995E-3</v>
      </c>
      <c r="AC36" s="2900"/>
      <c r="AD36" s="2028">
        <f t="shared" si="53"/>
        <v>3.5000000000000001E-3</v>
      </c>
    </row>
    <row r="37" spans="1:30" s="2045" customFormat="1" ht="12.75">
      <c r="A37" s="2901" t="s">
        <v>2826</v>
      </c>
      <c r="B37" s="2031">
        <v>2021</v>
      </c>
      <c r="C37" s="2042">
        <v>4</v>
      </c>
      <c r="D37" s="2007"/>
      <c r="E37" s="2007">
        <v>0.57999999999999996</v>
      </c>
      <c r="F37" s="2007">
        <v>0.08</v>
      </c>
      <c r="G37" s="2007">
        <v>0.68</v>
      </c>
      <c r="H37" s="2913"/>
      <c r="I37" s="2008">
        <f t="shared" si="36"/>
        <v>0.08</v>
      </c>
      <c r="J37" s="2902"/>
      <c r="K37" s="2043"/>
      <c r="L37" s="2028">
        <f t="shared" si="37"/>
        <v>5.7999999999999996E-3</v>
      </c>
      <c r="M37" s="2028">
        <f t="shared" si="37"/>
        <v>8.0000000000000004E-4</v>
      </c>
      <c r="N37" s="2028">
        <f t="shared" si="37"/>
        <v>6.8000000000000005E-3</v>
      </c>
      <c r="O37" s="2028"/>
      <c r="P37" s="2028">
        <f t="shared" si="51"/>
        <v>8.0000000000000004E-4</v>
      </c>
      <c r="Q37" s="2902"/>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2"/>
      <c r="Y37" s="2028"/>
      <c r="Z37" s="2898">
        <f t="shared" si="53"/>
        <v>4.8999999999999998E-3</v>
      </c>
      <c r="AA37" s="2899">
        <f t="shared" si="53"/>
        <v>3.3E-3</v>
      </c>
      <c r="AB37" s="2028">
        <f t="shared" si="53"/>
        <v>9.1999999999999998E-3</v>
      </c>
      <c r="AC37" s="2900"/>
      <c r="AD37" s="2028">
        <f t="shared" si="53"/>
        <v>3.3E-3</v>
      </c>
    </row>
    <row r="38" spans="1:30" s="2045" customFormat="1" ht="12.75">
      <c r="A38" s="2901" t="s">
        <v>2827</v>
      </c>
      <c r="B38" s="2031">
        <v>2021</v>
      </c>
      <c r="C38" s="2042">
        <v>3</v>
      </c>
      <c r="D38" s="2007"/>
      <c r="E38" s="2007">
        <v>0.47</v>
      </c>
      <c r="F38" s="2007">
        <v>0.28000000000000003</v>
      </c>
      <c r="G38" s="2007">
        <v>0.91</v>
      </c>
      <c r="H38" s="2913"/>
      <c r="I38" s="2008">
        <f t="shared" si="36"/>
        <v>0.28000000000000003</v>
      </c>
      <c r="J38" s="2902"/>
      <c r="K38" s="2043"/>
      <c r="L38" s="2028">
        <f t="shared" si="37"/>
        <v>4.6999999999999993E-3</v>
      </c>
      <c r="M38" s="2028">
        <f t="shared" si="37"/>
        <v>2.8000000000000004E-3</v>
      </c>
      <c r="N38" s="2028">
        <f t="shared" si="37"/>
        <v>9.1000000000000004E-3</v>
      </c>
      <c r="O38" s="2028"/>
      <c r="P38" s="2028">
        <f t="shared" si="51"/>
        <v>2.8000000000000004E-3</v>
      </c>
      <c r="Q38" s="2902"/>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2"/>
      <c r="Y38" s="2028"/>
      <c r="Z38" s="2898">
        <f t="shared" si="53"/>
        <v>4.5999999999999999E-3</v>
      </c>
      <c r="AA38" s="2899">
        <f t="shared" si="53"/>
        <v>4.1000000000000003E-3</v>
      </c>
      <c r="AB38" s="2028">
        <f t="shared" si="53"/>
        <v>0.01</v>
      </c>
      <c r="AC38" s="2900"/>
      <c r="AD38" s="2028">
        <f t="shared" si="53"/>
        <v>4.1000000000000003E-3</v>
      </c>
    </row>
    <row r="39" spans="1:30" s="2045" customFormat="1" ht="12.75">
      <c r="A39" s="2901" t="s">
        <v>2828</v>
      </c>
      <c r="B39" s="2031">
        <v>2021</v>
      </c>
      <c r="C39" s="2042">
        <v>2</v>
      </c>
      <c r="D39" s="2007"/>
      <c r="E39" s="2007">
        <v>0.55000000000000004</v>
      </c>
      <c r="F39" s="2007">
        <v>0.46</v>
      </c>
      <c r="G39" s="2007">
        <v>1.1000000000000001</v>
      </c>
      <c r="H39" s="2913"/>
      <c r="I39" s="2008">
        <f t="shared" si="36"/>
        <v>0.46</v>
      </c>
      <c r="J39" s="2902"/>
      <c r="K39" s="2043"/>
      <c r="L39" s="2028">
        <f t="shared" si="37"/>
        <v>5.5000000000000005E-3</v>
      </c>
      <c r="M39" s="2028">
        <f t="shared" si="37"/>
        <v>4.5999999999999999E-3</v>
      </c>
      <c r="N39" s="2028">
        <f t="shared" si="37"/>
        <v>1.1000000000000001E-2</v>
      </c>
      <c r="O39" s="2028"/>
      <c r="P39" s="2028">
        <f t="shared" si="51"/>
        <v>4.5999999999999999E-3</v>
      </c>
      <c r="Q39" s="2902"/>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2"/>
      <c r="Y39" s="2028"/>
      <c r="Z39" s="2898">
        <f t="shared" si="53"/>
        <v>4.4999999999999997E-3</v>
      </c>
      <c r="AA39" s="2899">
        <f t="shared" si="53"/>
        <v>4.7000000000000002E-3</v>
      </c>
      <c r="AB39" s="2028">
        <f t="shared" si="53"/>
        <v>1.04E-2</v>
      </c>
      <c r="AC39" s="2900"/>
      <c r="AD39" s="2028">
        <f t="shared" si="53"/>
        <v>4.7000000000000002E-3</v>
      </c>
    </row>
    <row r="40" spans="1:30" s="2924" customFormat="1" thickBot="1">
      <c r="A40" s="2914" t="s">
        <v>2814</v>
      </c>
      <c r="B40" s="2915">
        <v>2021</v>
      </c>
      <c r="C40" s="2916">
        <v>1</v>
      </c>
      <c r="D40" s="2917"/>
      <c r="E40" s="2917">
        <v>0.35</v>
      </c>
      <c r="F40" s="2917">
        <v>0.48</v>
      </c>
      <c r="G40" s="2917">
        <v>0.98</v>
      </c>
      <c r="H40" s="2918"/>
      <c r="I40" s="2919">
        <f t="shared" si="36"/>
        <v>0.48</v>
      </c>
      <c r="J40" s="2920"/>
      <c r="K40" s="2921"/>
      <c r="L40" s="2922">
        <f t="shared" si="37"/>
        <v>3.4999999999999996E-3</v>
      </c>
      <c r="M40" s="2922">
        <f>F40/100</f>
        <v>4.7999999999999996E-3</v>
      </c>
      <c r="N40" s="2922">
        <f t="shared" si="37"/>
        <v>9.7999999999999997E-3</v>
      </c>
      <c r="O40" s="2922"/>
      <c r="P40" s="2922">
        <f t="shared" si="51"/>
        <v>4.7999999999999996E-3</v>
      </c>
      <c r="Q40" s="2920"/>
      <c r="R40" s="2923"/>
      <c r="S40" s="2923">
        <v>1</v>
      </c>
      <c r="T40" s="2923">
        <v>1</v>
      </c>
      <c r="U40" s="2923">
        <v>1</v>
      </c>
      <c r="V40" s="2923"/>
      <c r="W40" s="2923">
        <f t="shared" si="52"/>
        <v>1</v>
      </c>
      <c r="X40" s="2920"/>
      <c r="Y40" s="2922"/>
      <c r="Z40" s="2930">
        <f t="shared" si="53"/>
        <v>3.5000000000000001E-3</v>
      </c>
      <c r="AA40" s="2931">
        <f t="shared" si="53"/>
        <v>4.7999999999999996E-3</v>
      </c>
      <c r="AB40" s="2922">
        <f t="shared" si="53"/>
        <v>9.7999999999999997E-3</v>
      </c>
      <c r="AC40" s="2932"/>
      <c r="AD40" s="2922">
        <f t="shared" si="53"/>
        <v>4.7999999999999996E-3</v>
      </c>
    </row>
    <row r="41" spans="1:30" ht="14.25" thickTop="1"/>
    <row r="42" spans="1:30">
      <c r="A42" s="3139" t="s">
        <v>3356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2108</v>
      </c>
      <c r="B25" s="2049">
        <v>439</v>
      </c>
      <c r="C25" s="2049">
        <v>327</v>
      </c>
      <c r="D25" s="2049">
        <f>C25</f>
        <v>327</v>
      </c>
      <c r="E25" s="2049">
        <v>627</v>
      </c>
      <c r="F25" s="2050">
        <v>283</v>
      </c>
      <c r="G25" s="349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45355</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0" t="s">
        <v>2299</v>
      </c>
      <c r="C23" s="1207">
        <v>43697</v>
      </c>
      <c r="D23" s="2570">
        <v>4.25</v>
      </c>
      <c r="E23" s="2570">
        <v>4.25</v>
      </c>
      <c r="F23" s="2570">
        <v>4.25</v>
      </c>
      <c r="G23" s="2570">
        <v>4.25</v>
      </c>
      <c r="H23" s="2570">
        <v>4.8499999999999996</v>
      </c>
      <c r="I23" s="2570"/>
      <c r="J23" s="2570"/>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3"/>
      <c r="C24" s="2574">
        <v>42301</v>
      </c>
      <c r="D24" s="2575">
        <v>4.3499999999999996</v>
      </c>
      <c r="E24" s="2575">
        <v>4.3499999999999996</v>
      </c>
      <c r="F24" s="2575">
        <v>4.75</v>
      </c>
      <c r="G24" s="2575">
        <v>4.75</v>
      </c>
      <c r="H24" s="2575">
        <v>4.9000000000000004</v>
      </c>
      <c r="I24" s="2575"/>
      <c r="J24" s="257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R6:T32"/>
  <sheetViews>
    <sheetView topLeftCell="A16" workbookViewId="0">
      <selection activeCell="W47" sqref="W47"/>
    </sheetView>
  </sheetViews>
  <sheetFormatPr defaultRowHeight="13.5"/>
  <sheetData>
    <row r="6" spans="18:19">
      <c r="R6">
        <v>14863.06</v>
      </c>
    </row>
    <row r="7" spans="18:19">
      <c r="R7">
        <v>17519.740000000002</v>
      </c>
      <c r="S7">
        <f>R7/R6</f>
        <v>1.1787438118395541</v>
      </c>
    </row>
    <row r="31" spans="20:20">
      <c r="T31">
        <f>2.5*1.05</f>
        <v>2.625</v>
      </c>
    </row>
    <row r="32" spans="20:20">
      <c r="T32">
        <f>1.5*1.05</f>
        <v>1.5750000000000002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75"/>
      <c r="B3" s="3175"/>
      <c r="C3" s="3175"/>
      <c r="D3" s="801" t="s">
        <v>925</v>
      </c>
      <c r="E3" s="801" t="s">
        <v>931</v>
      </c>
      <c r="F3" s="801" t="s">
        <v>925</v>
      </c>
      <c r="G3" s="801" t="s">
        <v>926</v>
      </c>
      <c r="H3" s="801" t="s">
        <v>925</v>
      </c>
      <c r="I3" s="801" t="s">
        <v>926</v>
      </c>
    </row>
    <row r="4" spans="1:9" ht="30">
      <c r="A4" s="1403" t="str">
        <f>项目基本情况!S2</f>
        <v>北京市昌平区百葛路9号院6号楼房地产</v>
      </c>
      <c r="B4" s="801">
        <f>项目基本情况!C17</f>
        <v>9096.41</v>
      </c>
      <c r="C4" s="801">
        <f>项目基本情况!C18</f>
        <v>0</v>
      </c>
      <c r="D4" s="801">
        <f ca="1">结果表!D118</f>
        <v>5136</v>
      </c>
      <c r="E4" s="801">
        <f ca="1">结果表!E118</f>
        <v>5646</v>
      </c>
      <c r="F4" s="801">
        <f ca="1">结果表!F118</f>
        <v>6863</v>
      </c>
      <c r="G4" s="801">
        <f ca="1">结果表!G118</f>
        <v>7545</v>
      </c>
      <c r="H4" s="801">
        <f ca="1">结果表!H118</f>
        <v>11999</v>
      </c>
      <c r="I4" s="801">
        <f ca="1">结果表!I118</f>
        <v>13191</v>
      </c>
    </row>
    <row r="5" spans="1:9" ht="30" customHeight="1">
      <c r="A5" s="3175" t="s">
        <v>927</v>
      </c>
      <c r="B5" s="3175"/>
      <c r="C5" s="3175"/>
      <c r="D5" s="3175" t="str">
        <f ca="1">结果表!D119</f>
        <v>伍仟壹佰叁拾陆万元整</v>
      </c>
      <c r="E5" s="3175"/>
      <c r="F5" s="3175" t="str">
        <f ca="1">结果表!F119</f>
        <v>陆仟捌佰陆拾叁万元整</v>
      </c>
      <c r="G5" s="3175"/>
      <c r="H5" s="3175" t="str">
        <f ca="1">结果表!H119</f>
        <v>壹亿壹仟玖佰玖拾玖万元整</v>
      </c>
      <c r="I5" s="3175"/>
    </row>
    <row r="6" spans="1:9" ht="15.75">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75">
      <c r="A8" s="3174" t="str">
        <f>结果表!A122</f>
        <v>房地产抵押价值</v>
      </c>
      <c r="B8" s="3174"/>
      <c r="C8" s="3174"/>
      <c r="D8" s="3174">
        <f ca="1">结果表!D122</f>
        <v>11999</v>
      </c>
      <c r="E8" s="3174"/>
      <c r="F8" s="3174"/>
      <c r="G8" s="3174"/>
      <c r="H8" s="3174"/>
      <c r="I8" s="3174"/>
    </row>
    <row r="9" spans="1:9" ht="15">
      <c r="A9" s="3175" t="s">
        <v>927</v>
      </c>
      <c r="B9" s="3175"/>
      <c r="C9" s="3175"/>
      <c r="D9" s="3175" t="str">
        <f ca="1">结果表!D123</f>
        <v>壹亿壹仟玖佰玖拾玖万元整</v>
      </c>
      <c r="E9" s="3175"/>
      <c r="F9" s="3175"/>
      <c r="G9" s="3175"/>
      <c r="H9" s="3175"/>
      <c r="I9" s="3175"/>
    </row>
    <row r="10" spans="1:9" ht="15.75">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75">
      <c r="A12" s="3174" t="str">
        <f>结果表!A126</f>
        <v/>
      </c>
      <c r="B12" s="3174"/>
      <c r="C12" s="3174"/>
      <c r="D12" s="3174" t="str">
        <f>结果表!D126</f>
        <v>——</v>
      </c>
      <c r="E12" s="3174"/>
      <c r="F12" s="3174"/>
      <c r="G12" s="3174"/>
      <c r="H12" s="3174"/>
      <c r="I12" s="3174"/>
    </row>
    <row r="13" spans="1:9" ht="15.75" thickBot="1">
      <c r="A13" s="3172" t="s">
        <v>927</v>
      </c>
      <c r="B13" s="3172"/>
      <c r="C13" s="3172"/>
      <c r="D13" s="3172" t="e">
        <f>结果表!D127</f>
        <v>#VALUE!</v>
      </c>
      <c r="E13" s="3172"/>
      <c r="F13" s="3172"/>
      <c r="G13" s="3172"/>
      <c r="H13" s="3172"/>
      <c r="I13" s="3172"/>
    </row>
    <row r="14" spans="1:9" ht="15" thickTop="1">
      <c r="A14" s="3173" t="s">
        <v>932</v>
      </c>
      <c r="B14" s="3173"/>
      <c r="C14" s="3173"/>
      <c r="D14" s="3173"/>
      <c r="E14" s="3173"/>
      <c r="F14" s="3173"/>
      <c r="G14" s="3173"/>
      <c r="H14" s="3173"/>
      <c r="I14" s="317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8">
      <c r="A6" s="3188" t="s">
        <v>939</v>
      </c>
      <c r="B6" s="3188"/>
      <c r="C6" s="3188"/>
      <c r="D6" s="318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9"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（1）根据估价对象《房屋所有权证》复印件、，截至价值时点，估价对象抵押权未见登记。</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5" t="s">
        <v>956</v>
      </c>
      <c r="B15" s="3190" t="s">
        <v>109</v>
      </c>
      <c r="C15" s="3191"/>
    </row>
    <row r="16" spans="1:7" ht="13.5">
      <c r="A16" s="3196"/>
      <c r="B16" s="3190" t="s">
        <v>42</v>
      </c>
      <c r="C16" s="3191"/>
    </row>
    <row r="17" spans="1:3" ht="13.5">
      <c r="A17" s="3196"/>
      <c r="B17" s="3193" t="s">
        <v>957</v>
      </c>
      <c r="C17" s="1429" t="s">
        <v>956</v>
      </c>
    </row>
    <row r="18" spans="1:3" ht="13.5">
      <c r="A18" s="3196"/>
      <c r="B18" s="3193"/>
      <c r="C18" s="1429" t="s">
        <v>958</v>
      </c>
    </row>
    <row r="19" spans="1:3" ht="13.5">
      <c r="A19" s="3196"/>
      <c r="B19" s="3193"/>
      <c r="C19" s="1429" t="s">
        <v>959</v>
      </c>
    </row>
    <row r="20" spans="1:3" ht="13.5">
      <c r="A20" s="3197"/>
      <c r="B20" s="3192" t="s">
        <v>960</v>
      </c>
      <c r="C20" s="3191"/>
    </row>
    <row r="21" spans="1:3" ht="13.5">
      <c r="A21" s="1430" t="s">
        <v>961</v>
      </c>
      <c r="B21" s="1431"/>
      <c r="C21" s="1432"/>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9" t="s">
        <v>967</v>
      </c>
    </row>
    <row r="26" spans="1:3" ht="13.5">
      <c r="A26" s="3194"/>
      <c r="B26" s="3193"/>
      <c r="C26" s="1429" t="s">
        <v>968</v>
      </c>
    </row>
    <row r="27" spans="1:3" ht="13.5">
      <c r="A27" s="3194"/>
      <c r="B27" s="3193"/>
      <c r="C27" s="1429" t="s">
        <v>969</v>
      </c>
    </row>
    <row r="28" spans="1:3" ht="13.5">
      <c r="A28" s="3194"/>
      <c r="B28" s="3193"/>
      <c r="C28" s="1429" t="s">
        <v>970</v>
      </c>
    </row>
    <row r="29" spans="1:3" ht="13.5">
      <c r="A29" s="3194"/>
      <c r="B29" s="3193"/>
      <c r="C29" s="1429" t="s">
        <v>971</v>
      </c>
    </row>
    <row r="30" spans="1:3" ht="13.5">
      <c r="A30" s="3194"/>
      <c r="B30" s="3193"/>
      <c r="C30" s="1429" t="s">
        <v>972</v>
      </c>
    </row>
    <row r="31" spans="1:3" ht="13.5">
      <c r="A31" s="3194"/>
      <c r="B31" s="3193"/>
      <c r="C31" s="1429" t="s">
        <v>973</v>
      </c>
    </row>
    <row r="32" spans="1:3" ht="13.5">
      <c r="A32" s="3194"/>
      <c r="B32" s="3193"/>
      <c r="C32" s="1429" t="s">
        <v>974</v>
      </c>
    </row>
    <row r="33" spans="1:3" ht="13.5">
      <c r="A33" s="3194"/>
      <c r="B33" s="319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2136</v>
      </c>
      <c r="B2" s="2157">
        <f ca="1">TODAY()</f>
        <v>45590</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f ca="1">IF(C4&lt;B2,"已过期",1119970066)</f>
        <v>1119970066</v>
      </c>
      <c r="C4" s="2162">
        <v>45937</v>
      </c>
      <c r="D4" s="2163" t="str">
        <f ca="1">A4&amp;"（注册号："&amp;B4&amp;"）"</f>
        <v>梁津（注册号：1119970066）</v>
      </c>
      <c r="E4" s="2164" t="s">
        <v>2145</v>
      </c>
      <c r="F4" s="1219">
        <f ca="1">IF(G4&lt;B2,"已过期",96010014)</f>
        <v>96010014</v>
      </c>
      <c r="G4" s="2165">
        <v>47118</v>
      </c>
      <c r="H4" s="2166" t="str">
        <f ca="1">E4&amp;"（注册号："&amp;F4&amp;"）"</f>
        <v>梁津（注册号：96010014）</v>
      </c>
    </row>
    <row r="5" spans="1:8" ht="24" customHeight="1">
      <c r="A5" s="1219" t="s">
        <v>2146</v>
      </c>
      <c r="B5" s="1219">
        <f ca="1">IF(C5&lt;B2,"已过期",1119970111)</f>
        <v>1119970111</v>
      </c>
      <c r="C5" s="2162">
        <v>45937</v>
      </c>
      <c r="D5" s="2163" t="str">
        <f t="shared" ref="D5:D15" ca="1" si="0">A5&amp;"（注册号："&amp;B5&amp;"）"</f>
        <v>叶凌（注册号：1119970111）</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f ca="1">IF(C7&lt;B2,"已过期",1120000080)</f>
        <v>1120000080</v>
      </c>
      <c r="C7" s="2162">
        <v>45937</v>
      </c>
      <c r="D7" s="2163" t="str">
        <f t="shared" ca="1" si="0"/>
        <v>欧红伟（注册号：1120000080）</v>
      </c>
      <c r="E7" s="2164" t="s">
        <v>2148</v>
      </c>
      <c r="F7" s="1219">
        <f ca="1">IF(G7&lt;B2,"已过期",2000110082)</f>
        <v>2000110082</v>
      </c>
      <c r="G7" s="2165">
        <v>46387</v>
      </c>
      <c r="H7" s="2166" t="str">
        <f t="shared" ca="1" si="1"/>
        <v>欧红伟（注册号：2000110082）</v>
      </c>
    </row>
    <row r="8" spans="1:8" ht="24" customHeight="1">
      <c r="A8" s="1219" t="s">
        <v>2149</v>
      </c>
      <c r="B8" s="1219">
        <f ca="1">IF(C8&lt;B2,"已过期",1419970001)</f>
        <v>1419970001</v>
      </c>
      <c r="C8" s="2162">
        <v>45937</v>
      </c>
      <c r="D8" s="2163" t="str">
        <f t="shared" ca="1" si="0"/>
        <v>吴薇（注册号：1419970001）</v>
      </c>
      <c r="E8" s="2164" t="s">
        <v>2149</v>
      </c>
      <c r="F8" s="1219">
        <f ca="1">IF(G8&lt;B2,"已过期",2002110125)</f>
        <v>2002110125</v>
      </c>
      <c r="G8" s="2165">
        <v>47118</v>
      </c>
      <c r="H8" s="2166" t="str">
        <f t="shared" ca="1" si="1"/>
        <v>吴薇（注册号：2002110125）</v>
      </c>
    </row>
    <row r="9" spans="1:8" ht="24" customHeight="1">
      <c r="A9" s="1219" t="s">
        <v>2150</v>
      </c>
      <c r="B9" s="1219">
        <f ca="1">IF(C9&lt;B2,"已过期",1120060040)</f>
        <v>1120060040</v>
      </c>
      <c r="C9" s="2167">
        <v>45592</v>
      </c>
      <c r="D9" s="2163" t="str">
        <f t="shared" ca="1" si="0"/>
        <v>陈颖（注册号：1120060040）</v>
      </c>
      <c r="E9" s="2164" t="s">
        <v>2150</v>
      </c>
      <c r="F9" s="1219">
        <f ca="1">IF(G9&lt;B2,"已过期",2004110096)</f>
        <v>2004110096</v>
      </c>
      <c r="G9" s="2165">
        <v>47118</v>
      </c>
      <c r="H9" s="2166" t="str">
        <f t="shared" ca="1" si="1"/>
        <v>陈颖（注册号：2004110096）</v>
      </c>
    </row>
    <row r="10" spans="1:8" ht="24" customHeight="1">
      <c r="A10" s="1219" t="s">
        <v>2151</v>
      </c>
      <c r="B10" s="1219">
        <f ca="1">IF(C10&lt;B2,"已过期",1120100036)</f>
        <v>1120100036</v>
      </c>
      <c r="C10" s="2167">
        <v>45752</v>
      </c>
      <c r="D10" s="2163" t="str">
        <f t="shared" ca="1" si="0"/>
        <v>崔锴（注册号：1120100036）</v>
      </c>
      <c r="E10" s="2164" t="s">
        <v>2151</v>
      </c>
      <c r="F10" s="1219">
        <f ca="1">IF(G10&lt;B2,"已过期",2010110070)</f>
        <v>2010110070</v>
      </c>
      <c r="G10" s="2165">
        <v>47907</v>
      </c>
      <c r="H10" s="2166" t="str">
        <f t="shared" ca="1" si="1"/>
        <v>崔锴（注册号：2010110070）</v>
      </c>
    </row>
    <row r="11" spans="1:8" ht="24" customHeight="1">
      <c r="A11" s="1219" t="s">
        <v>2152</v>
      </c>
      <c r="B11" s="1219">
        <f ca="1">IF(C11&lt;B2,"已过期",1120070131)</f>
        <v>1120070131</v>
      </c>
      <c r="C11" s="2162">
        <v>45937</v>
      </c>
      <c r="D11" s="2163" t="str">
        <f t="shared" ca="1" si="0"/>
        <v>郑燚（注册号：1120070131）</v>
      </c>
      <c r="E11" s="2164" t="s">
        <v>2152</v>
      </c>
      <c r="F11" s="1219">
        <f ca="1">IF(G11&lt;B2,"已过期",2014110011)</f>
        <v>2014110011</v>
      </c>
      <c r="G11" s="2165">
        <v>49302</v>
      </c>
      <c r="H11" s="2166" t="str">
        <f t="shared" ca="1" si="1"/>
        <v>郑燚（注册号：2014110011）</v>
      </c>
    </row>
    <row r="12" spans="1:8" ht="24" customHeight="1">
      <c r="A12" s="1219" t="s">
        <v>2153</v>
      </c>
      <c r="B12" s="1219">
        <f ca="1">IF(C12&lt;B2,"已过期",1120040230)</f>
        <v>1120040230</v>
      </c>
      <c r="C12" s="2167">
        <v>45937</v>
      </c>
      <c r="D12" s="2163" t="str">
        <f t="shared" ca="1" si="0"/>
        <v>苏海（注册号：1120040230）</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2157</v>
      </c>
      <c r="B17" s="3198"/>
      <c r="C17" s="3198"/>
      <c r="D17" s="3198"/>
      <c r="E17" s="3198"/>
      <c r="F17" s="3198"/>
      <c r="G17" s="3198"/>
      <c r="H17" s="3198"/>
    </row>
    <row r="18" spans="1:8" ht="24" customHeight="1">
      <c r="A18" s="3199" t="s">
        <v>2158</v>
      </c>
      <c r="B18" s="3199"/>
      <c r="C18" s="3199"/>
      <c r="D18" s="2160"/>
      <c r="E18" s="3200" t="s">
        <v>2159</v>
      </c>
      <c r="F18" s="3199"/>
      <c r="G18" s="3199"/>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比较法</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比较法!Print_Area</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2024-10-25T09:15:20Z</dcterms:modified>
</cp:coreProperties>
</file>