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3.17-武哥通州希尔顿酒店询价\"/>
    </mc:Choice>
  </mc:AlternateContent>
  <xr:revisionPtr revIDLastSave="0" documentId="13_ncr:1_{1FEC9ED9-A50F-4136-BB8C-D0AB59EEE219}" xr6:coauthVersionLast="47" xr6:coauthVersionMax="47" xr10:uidLastSave="{00000000-0000-0000-0000-000000000000}"/>
  <bookViews>
    <workbookView xWindow="-120" yWindow="-120" windowWidth="29040" windowHeight="158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测绘分层面积" sheetId="80" r:id="rId37"/>
    <sheet name="酒店物业明细" sheetId="81" r:id="rId38"/>
    <sheet name="酒店营业收入及成本明细" sheetId="82" r:id="rId39"/>
    <sheet name="土地案例"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酒店物业明细!$1:$2</definedName>
    <definedName name="_xlnm.Print_Titles" localSheetId="38">酒店营业收入及成本明细!$1:$2</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区片价!$J$1:$J$21</definedName>
    <definedName name="二级分类" localSheetId="36">[2]修正!$C$17:$C$39</definedName>
    <definedName name="二级分类">修正!$C$19:$C$51</definedName>
    <definedName name="法定最高年限" localSheetId="36">[2]定义!$G$1:$G$4</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[3]定义!$D$1:$D$4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区片价!$Q$1:$Q$51</definedName>
    <definedName name="居住社区成熟度" localSheetId="36">[2]定义!$K$1:$K$6</definedName>
    <definedName name="居住社区成熟度">定义!$K$1:$K$6</definedName>
    <definedName name="类别" localSheetId="36">[2]定义!$J$1:$J$3</definedName>
    <definedName name="类别">定义!$J$1:$J$3</definedName>
    <definedName name="临街状况" localSheetId="36">[2]定义!$T$1:$T$5</definedName>
    <definedName name="临街状况">定义!$T$1:$T$5</definedName>
    <definedName name="六级">区片价!$N$1:$N$64</definedName>
    <definedName name="内部装修维护情况" localSheetId="36">[2]定义!$U$1:$U$6</definedName>
    <definedName name="内部装修维护情况">定义!$U$1:$U$6</definedName>
    <definedName name="判定">[2]定义!$D$1:$D$4</definedName>
    <definedName name="七级">区片价!$O$1:$O$45</definedName>
    <definedName name="七通一平" localSheetId="36">[2]修正!$A$6:$A$14</definedName>
    <definedName name="七通一平">修正!$A$8:$A$16</definedName>
    <definedName name="区域土地利用方向" localSheetId="36">[2]定义!$P$1:$P$6</definedName>
    <definedName name="区域土地利用方向">定义!$P$1:$P$6</definedName>
    <definedName name="三级">区片价!$K$1:$K$26</definedName>
    <definedName name="商业层高" localSheetId="36">'[2]比较法-商业'!$B$116:$M$116</definedName>
    <definedName name="商业层高">'比较法-商业'!$B$116:$M$116</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[2]修正!$C$59:$C$119</definedName>
    <definedName name="商业街名称">修正!$C$71:$C$138</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'[2]土地比较法-住宅、综合'!$A$73:$M$73</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'[2]土地比较法-住宅、综合'!$B$106:$M$106</definedName>
    <definedName name="套综道路等级">'土地比较法-住宅、综合'!$B$105:$M$105</definedName>
    <definedName name="套综工程地质条件" localSheetId="36">'[2]土地比较法-住宅、综合'!$B$125:$M$125</definedName>
    <definedName name="套综工程地质条件">'土地比较法-住宅、综合'!$B$124:$M$124</definedName>
    <definedName name="套综交易情况" localSheetId="36">'[2]土地比较法-住宅、综合'!$A$73:$M$73</definedName>
    <definedName name="套综交易情况">'土地比较法-住宅、综合'!$A$72:$M$72</definedName>
    <definedName name="套综临街宽度及深度" localSheetId="36">'[2]土地比较法-住宅、综合'!$B$121:$M$121</definedName>
    <definedName name="套综临街宽度及深度">'土地比较法-住宅、综合'!$B$120:$M$120</definedName>
    <definedName name="套综土地级别" localSheetId="36">'[2]土地比较法-住宅、综合'!$B$108:$M$108</definedName>
    <definedName name="套综土地级别">'土地比较法-住宅、综合'!$B$107:$M$107</definedName>
    <definedName name="套综用途" localSheetId="36">'[2]土地比较法-住宅、综合'!$B$75:$M$75</definedName>
    <definedName name="套综用途">'土地比较法-住宅、综合'!$B$74:$M$74</definedName>
    <definedName name="套综宗地内开发程度" localSheetId="36">'[2]土地比较法-住宅、综合'!$B$123:$M$123</definedName>
    <definedName name="套综宗地内开发程度">'土地比较法-住宅、综合'!$B$122:$M$122</definedName>
    <definedName name="套综宗地形状" localSheetId="36">'[2]土地比较法-住宅、综合'!$B$119:$M$119</definedName>
    <definedName name="套综宗地形状">'土地比较法-住宅、综合'!$B$118:$M$118</definedName>
    <definedName name="土地估价师">估价师及机构信息!$D$3:$D$24</definedName>
    <definedName name="土地级别" localSheetId="36">[2]定义!$C$1:$C$14</definedName>
    <definedName name="土地级别">定义!$C$1:$C$14</definedName>
    <definedName name="土地利用方向">定义!$P$1:$P$6</definedName>
    <definedName name="土地年限区间" localSheetId="36">[2]定义!$I$1:$I$8</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区片价!$M$1:$M$41</definedName>
    <definedName name="项目类型" localSheetId="36">'[2]数据-汇总表'!$C$17:$C$26</definedName>
    <definedName name="项目类型" localSheetId="22">'[1]数据-汇总表'!$C$17:$C$26</definedName>
    <definedName name="项目类型">'数据-汇总表'!$C$17:$C$26</definedName>
    <definedName name="写字楼等级" localSheetId="36">'[2]比较法-办公'!$B$113:$M$113</definedName>
    <definedName name="写字楼等级">'比较法-办公'!$B$113:$M$113</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[2]定义!$F$1:$F$10</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'比较法-住宅'!$B$120:$M$120</definedName>
    <definedName name="注册房地产估价师" localSheetId="36">[2]估价师及机构信息!$A$3:$A$24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C36" i="77" l="1"/>
  <c r="H20" i="82"/>
  <c r="H21" i="82" s="1"/>
  <c r="G20" i="82"/>
  <c r="G21" i="82" s="1"/>
  <c r="F20" i="82"/>
  <c r="F21" i="82" s="1"/>
  <c r="E20" i="82"/>
  <c r="E21" i="82" s="1"/>
  <c r="H3" i="82"/>
  <c r="H33" i="82" s="1"/>
  <c r="G3" i="82"/>
  <c r="G33" i="82" s="1"/>
  <c r="F3" i="82"/>
  <c r="F33" i="82" s="1"/>
  <c r="E3" i="82"/>
  <c r="E33" i="82" s="1"/>
  <c r="D47" i="81"/>
  <c r="E16" i="81"/>
  <c r="B4" i="77"/>
  <c r="J52" i="15"/>
  <c r="J49" i="15"/>
  <c r="N21" i="1"/>
  <c r="N19" i="1"/>
  <c r="L18" i="1"/>
  <c r="K18" i="1"/>
  <c r="K20" i="1"/>
  <c r="K19" i="1"/>
  <c r="G51" i="43"/>
  <c r="G52" i="43"/>
  <c r="G53" i="43"/>
  <c r="G54" i="43"/>
  <c r="G55" i="43"/>
  <c r="G56" i="43"/>
  <c r="G57" i="43"/>
  <c r="G58" i="43"/>
  <c r="G50" i="43"/>
  <c r="D38" i="43"/>
  <c r="D37" i="43"/>
  <c r="D33" i="43"/>
  <c r="G19" i="6"/>
  <c r="F19" i="6"/>
  <c r="K13" i="3"/>
  <c r="I13" i="3"/>
  <c r="N37" i="80"/>
  <c r="N39" i="80" s="1"/>
  <c r="L37" i="80"/>
  <c r="H16" i="80"/>
  <c r="G16" i="80"/>
  <c r="H15" i="80"/>
  <c r="G15" i="80"/>
  <c r="H14" i="80"/>
  <c r="G14" i="80"/>
  <c r="H13" i="80"/>
  <c r="G13" i="80"/>
  <c r="H12" i="80"/>
  <c r="G12" i="80"/>
  <c r="H11" i="80"/>
  <c r="G11" i="80"/>
  <c r="H9" i="80"/>
  <c r="G9" i="80"/>
  <c r="H8" i="80"/>
  <c r="H17" i="80" s="1"/>
  <c r="G8" i="80"/>
  <c r="R7" i="80"/>
  <c r="H7" i="80"/>
  <c r="G7" i="80"/>
  <c r="H6" i="80"/>
  <c r="G6" i="80"/>
  <c r="G3" i="80"/>
  <c r="G17" i="80" s="1"/>
  <c r="C60" i="78"/>
  <c r="D60" i="78" s="1"/>
  <c r="D53" i="78"/>
  <c r="D52" i="78"/>
  <c r="B51" i="78"/>
  <c r="B56" i="78" s="1"/>
  <c r="E5" i="82" l="1"/>
  <c r="E7" i="82"/>
  <c r="E9" i="82"/>
  <c r="E11" i="82"/>
  <c r="E13" i="82"/>
  <c r="E15" i="82"/>
  <c r="E17" i="82"/>
  <c r="E19" i="82"/>
  <c r="E23" i="82"/>
  <c r="E25" i="82"/>
  <c r="E27" i="82"/>
  <c r="E29" i="82"/>
  <c r="E31" i="82"/>
  <c r="F5" i="82"/>
  <c r="F7" i="82"/>
  <c r="F9" i="82"/>
  <c r="F11" i="82"/>
  <c r="F13" i="82"/>
  <c r="F15" i="82"/>
  <c r="F17" i="82"/>
  <c r="F19" i="82"/>
  <c r="F23" i="82"/>
  <c r="F25" i="82"/>
  <c r="F27" i="82"/>
  <c r="F29" i="82"/>
  <c r="F31" i="82"/>
  <c r="G5" i="82"/>
  <c r="G7" i="82"/>
  <c r="G9" i="82"/>
  <c r="G11" i="82"/>
  <c r="G13" i="82"/>
  <c r="G15" i="82"/>
  <c r="G17" i="82"/>
  <c r="G19" i="82"/>
  <c r="G23" i="82"/>
  <c r="G25" i="82"/>
  <c r="G27" i="82"/>
  <c r="G29" i="82"/>
  <c r="G31" i="82"/>
  <c r="H5" i="82"/>
  <c r="H7" i="82"/>
  <c r="H9" i="82"/>
  <c r="H11" i="82"/>
  <c r="H13" i="82"/>
  <c r="H15" i="82"/>
  <c r="H17" i="82"/>
  <c r="H19" i="82"/>
  <c r="H23" i="82"/>
  <c r="H25" i="82"/>
  <c r="H27" i="82"/>
  <c r="H29" i="82"/>
  <c r="H31" i="82"/>
  <c r="L23" i="1"/>
  <c r="L24" i="1" s="1"/>
  <c r="B55" i="78"/>
  <c r="D55" i="78" s="1"/>
  <c r="D51" i="78"/>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D32" i="77"/>
  <c r="D38" i="77" s="1"/>
  <c r="D39"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39"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H18" i="35"/>
  <c r="AB18" i="35" s="1"/>
  <c r="J18" i="35"/>
  <c r="W18" i="35" s="1"/>
  <c r="H21" i="37"/>
  <c r="AB21" i="37" s="1"/>
  <c r="F21" i="37"/>
  <c r="H21" i="34"/>
  <c r="AB21" i="34" s="1"/>
  <c r="H21" i="33"/>
  <c r="U21" i="33" s="1"/>
  <c r="F21" i="33"/>
  <c r="E83" i="21"/>
  <c r="F83" i="21" s="1"/>
  <c r="H1" i="69"/>
  <c r="AC25" i="40"/>
  <c r="W25" i="40"/>
  <c r="U25" i="40"/>
  <c r="W29" i="39"/>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J46" i="21" s="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4" i="39"/>
  <c r="AC44" i="39" s="1"/>
  <c r="H36" i="39"/>
  <c r="AB36" i="39" s="1"/>
  <c r="J35" i="39"/>
  <c r="AC35" i="39" s="1"/>
  <c r="F35" i="39"/>
  <c r="AA35" i="39" s="1"/>
  <c r="J36" i="39"/>
  <c r="AC36" i="39" s="1"/>
  <c r="U9" i="39"/>
  <c r="W40" i="39"/>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U34" i="35"/>
  <c r="F36" i="34"/>
  <c r="J35" i="34"/>
  <c r="U34" i="34"/>
  <c r="H39" i="33"/>
  <c r="AB39" i="33"/>
  <c r="F26" i="33"/>
  <c r="AA26" i="33"/>
  <c r="U33" i="33"/>
  <c r="U35" i="33"/>
  <c r="S40" i="33"/>
  <c r="W33" i="33"/>
  <c r="W39" i="33"/>
  <c r="H39" i="37"/>
  <c r="AB39" i="37" s="1"/>
  <c r="S27" i="35"/>
  <c r="F11" i="40"/>
  <c r="AA11" i="40" s="1"/>
  <c r="H11" i="40"/>
  <c r="AB11" i="40"/>
  <c r="W8" i="40"/>
  <c r="AA9" i="40"/>
  <c r="U9" i="40"/>
  <c r="S34" i="40"/>
  <c r="U38" i="40"/>
  <c r="U34"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c r="S38" i="33"/>
  <c r="F32" i="33"/>
  <c r="AA32" i="33" s="1"/>
  <c r="J19" i="33"/>
  <c r="AC19" i="33" s="1"/>
  <c r="J15" i="33"/>
  <c r="AC15" i="33"/>
  <c r="F11" i="33"/>
  <c r="AA11" i="33" s="1"/>
  <c r="S26" i="33"/>
  <c r="U40" i="33"/>
  <c r="W40" i="33"/>
  <c r="F37" i="40"/>
  <c r="AA37" i="40" s="1"/>
  <c r="F36" i="40"/>
  <c r="AA36" i="40" s="1"/>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AA13" i="33" s="1"/>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A14" i="37"/>
  <c r="AB46" i="34"/>
  <c r="AA14"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C36" i="34"/>
  <c r="AC31" i="33"/>
  <c r="AC45" i="33"/>
  <c r="W44"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AZ291" i="3"/>
  <c r="BO5" i="3"/>
  <c r="BM5" i="3"/>
  <c r="BJ5" i="3"/>
  <c r="BH5" i="3"/>
  <c r="BF5" i="3"/>
  <c r="BD5"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43" i="21"/>
  <c r="U35" i="21"/>
  <c r="AC35" i="21"/>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69" i="3"/>
  <c r="AZ74"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AZ473" i="3"/>
  <c r="BL14" i="3"/>
  <c r="U30" i="33"/>
  <c r="AC13" i="34"/>
  <c r="AA47" i="34"/>
  <c r="W28" i="37"/>
  <c r="S19" i="39"/>
  <c r="F12" i="33"/>
  <c r="H12" i="39"/>
  <c r="AB12" i="39" s="1"/>
  <c r="F39" i="40"/>
  <c r="S39" i="40" s="1"/>
  <c r="BA14" i="3"/>
  <c r="AZ14" i="3" s="1"/>
  <c r="AZ367" i="3"/>
  <c r="AZ29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12" i="33"/>
  <c r="AA12" i="33"/>
  <c r="J32" i="39"/>
  <c r="W32" i="39" s="1"/>
  <c r="H32" i="39"/>
  <c r="AB32" i="39" s="1"/>
  <c r="AA32" i="39"/>
  <c r="S32" i="39"/>
  <c r="AB21" i="39"/>
  <c r="U21" i="39"/>
  <c r="AA21" i="39"/>
  <c r="S21" i="39"/>
  <c r="AC17" i="37"/>
  <c r="S17" i="37"/>
  <c r="J19" i="37"/>
  <c r="W19" i="37" s="1"/>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S25" i="33"/>
  <c r="AA25" i="33"/>
  <c r="J25" i="33"/>
  <c r="AC25" i="33" s="1"/>
  <c r="F23" i="33"/>
  <c r="G85" i="33"/>
  <c r="H19" i="33"/>
  <c r="U19" i="33" s="1"/>
  <c r="G81" i="33"/>
  <c r="H17" i="33"/>
  <c r="U17" i="33" s="1"/>
  <c r="F17" i="33"/>
  <c r="S17" i="33" s="1"/>
  <c r="S37" i="21"/>
  <c r="AB15" i="21"/>
  <c r="J23" i="21"/>
  <c r="F85" i="21"/>
  <c r="G85" i="21" s="1"/>
  <c r="H23" i="21"/>
  <c r="S13" i="21"/>
  <c r="AP7" i="1"/>
  <c r="AA32" i="21"/>
  <c r="W9" i="21"/>
  <c r="AC9" i="21"/>
  <c r="AB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8" i="67"/>
  <c r="F8" i="67"/>
  <c r="B11" i="76"/>
  <c r="F7" i="67"/>
  <c r="F7" i="73"/>
  <c r="M26" i="67"/>
  <c r="M6" i="67"/>
  <c r="F43" i="67"/>
  <c r="L47" i="67"/>
  <c r="E2" i="68"/>
  <c r="L47" i="15"/>
  <c r="F40" i="15"/>
  <c r="J15" i="67"/>
  <c r="L48" i="67"/>
  <c r="B13" i="76"/>
  <c r="B8" i="76"/>
  <c r="M24" i="67"/>
  <c r="F5" i="73"/>
  <c r="F6" i="15"/>
  <c r="M23" i="67"/>
  <c r="M22" i="67"/>
  <c r="E7" i="76"/>
  <c r="M23" i="15"/>
  <c r="M6" i="15"/>
  <c r="E10" i="76"/>
  <c r="F4" i="73"/>
  <c r="F3" i="73"/>
  <c r="B12" i="76"/>
  <c r="E9" i="76"/>
  <c r="E2" i="69"/>
  <c r="B10" i="76"/>
  <c r="F20" i="31"/>
  <c r="F6" i="73"/>
  <c r="E12" i="76"/>
  <c r="AO13" i="1"/>
  <c r="E11" i="76"/>
  <c r="E13" i="76"/>
  <c r="E8" i="76"/>
  <c r="M28" i="67"/>
  <c r="B7" i="76"/>
  <c r="F40" i="67"/>
  <c r="F36" i="67"/>
  <c r="F16" i="67"/>
  <c r="F26" i="67"/>
  <c r="B9" i="76"/>
  <c r="M8" i="67"/>
  <c r="M9" i="67"/>
  <c r="C76" i="67"/>
  <c r="F36" i="15"/>
  <c r="D6" i="73"/>
  <c r="D52" i="43" l="1"/>
  <c r="F52" i="9"/>
  <c r="F32" i="15"/>
  <c r="F60" i="15" s="1"/>
  <c r="D68" i="9"/>
  <c r="F28" i="15"/>
  <c r="C28" i="15" s="1"/>
  <c r="F32" i="67"/>
  <c r="F60" i="67" s="1"/>
  <c r="F28" i="67"/>
  <c r="C28" i="67" s="1"/>
  <c r="M18" i="15"/>
  <c r="M18" i="67"/>
  <c r="F30" i="11"/>
  <c r="C48" i="11" s="1"/>
  <c r="F54" i="9"/>
  <c r="F30" i="69"/>
  <c r="F48" i="69" s="1"/>
  <c r="F31" i="12"/>
  <c r="C40" i="69"/>
  <c r="C21" i="68"/>
  <c r="AZ365" i="3"/>
  <c r="AB19" i="33"/>
  <c r="W27" i="33"/>
  <c r="W23" i="37"/>
  <c r="AB9" i="21"/>
  <c r="W17" i="33"/>
  <c r="W17" i="21"/>
  <c r="AA27" i="40"/>
  <c r="AB27" i="40"/>
  <c r="AZ140" i="3"/>
  <c r="AZ505" i="3"/>
  <c r="AZ525" i="3"/>
  <c r="AZ529" i="3"/>
  <c r="AZ537" i="3"/>
  <c r="AZ526" i="3"/>
  <c r="AZ564" i="3"/>
  <c r="AZ580" i="3"/>
  <c r="S11" i="36"/>
  <c r="AB30" i="37"/>
  <c r="U30" i="37"/>
  <c r="U23" i="33"/>
  <c r="AB25" i="33"/>
  <c r="AA19" i="37"/>
  <c r="U12" i="39"/>
  <c r="AB36" i="33"/>
  <c r="AB45" i="21"/>
  <c r="AA23" i="21"/>
  <c r="AA19" i="33"/>
  <c r="AC15" i="21"/>
  <c r="AC20" i="36"/>
  <c r="AA39" i="39"/>
  <c r="AC15" i="37"/>
  <c r="AC34" i="33"/>
  <c r="AA30" i="40"/>
  <c r="AC11" i="39"/>
  <c r="F29" i="6"/>
  <c r="E29" i="6" s="1"/>
  <c r="K15" i="1" s="1"/>
  <c r="AZ391" i="3"/>
  <c r="AZ318" i="3"/>
  <c r="AZ364" i="3"/>
  <c r="AZ329" i="3"/>
  <c r="AZ304" i="3"/>
  <c r="AZ139" i="3"/>
  <c r="AZ306" i="3"/>
  <c r="AA15" i="37"/>
  <c r="U11" i="33"/>
  <c r="AZ535" i="3"/>
  <c r="AZ577" i="3"/>
  <c r="AZ557" i="3"/>
  <c r="AZ513" i="3"/>
  <c r="AZ575" i="3"/>
  <c r="AZ528" i="3"/>
  <c r="AZ566" i="3"/>
  <c r="AZ574" i="3"/>
  <c r="AZ582" i="3"/>
  <c r="AZ540" i="3"/>
  <c r="AZ502" i="3"/>
  <c r="S45" i="33"/>
  <c r="W31" i="34"/>
  <c r="U46" i="33"/>
  <c r="U30" i="21"/>
  <c r="S28" i="34"/>
  <c r="J31" i="39"/>
  <c r="W25" i="37"/>
  <c r="AC31" i="40"/>
  <c r="W31" i="40"/>
  <c r="AC30" i="36"/>
  <c r="W30" i="36"/>
  <c r="H23" i="36"/>
  <c r="J23" i="36"/>
  <c r="F23" i="36"/>
  <c r="D6" i="52"/>
  <c r="S36" i="33"/>
  <c r="AA23" i="37"/>
  <c r="W33" i="34"/>
  <c r="AA40" i="34"/>
  <c r="AZ345" i="3"/>
  <c r="AZ372" i="3"/>
  <c r="AZ347" i="3"/>
  <c r="AZ337" i="3"/>
  <c r="AZ123" i="3"/>
  <c r="AZ376" i="3"/>
  <c r="AZ309" i="3"/>
  <c r="AA11" i="39"/>
  <c r="AC12" i="37"/>
  <c r="AZ515" i="3"/>
  <c r="AZ569" i="3"/>
  <c r="AZ571" i="3"/>
  <c r="AZ579" i="3"/>
  <c r="AZ516" i="3"/>
  <c r="AZ524" i="3"/>
  <c r="AC11" i="35"/>
  <c r="AA29" i="35"/>
  <c r="U34" i="21"/>
  <c r="AB34" i="21"/>
  <c r="B101" i="43"/>
  <c r="B79" i="43"/>
  <c r="F12" i="35"/>
  <c r="H12" i="35"/>
  <c r="J12" i="34"/>
  <c r="F12" i="34"/>
  <c r="S12" i="34" s="1"/>
  <c r="J39" i="40"/>
  <c r="H39" i="40"/>
  <c r="BL587" i="3"/>
  <c r="AZ587" i="3" s="1"/>
  <c r="BL586" i="3"/>
  <c r="AZ586" i="3" s="1"/>
  <c r="F9" i="34"/>
  <c r="AA9" i="34" s="1"/>
  <c r="H9" i="34"/>
  <c r="J23" i="35"/>
  <c r="H23" i="35"/>
  <c r="F25" i="37"/>
  <c r="G556" i="3"/>
  <c r="BA551" i="3"/>
  <c r="AZ551" i="3" s="1"/>
  <c r="BA550" i="3"/>
  <c r="BL548" i="3"/>
  <c r="AZ548" i="3" s="1"/>
  <c r="AZ451" i="3"/>
  <c r="AZ402" i="3"/>
  <c r="AZ406" i="3"/>
  <c r="AC27" i="35"/>
  <c r="J45" i="39"/>
  <c r="W45" i="39" s="1"/>
  <c r="BL585" i="3"/>
  <c r="AZ585" i="3" s="1"/>
  <c r="F9" i="33"/>
  <c r="AA9" i="33" s="1"/>
  <c r="J9" i="34"/>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BA446" i="3"/>
  <c r="BA450" i="3"/>
  <c r="AZ450" i="3" s="1"/>
  <c r="BA453" i="3"/>
  <c r="BA455" i="3"/>
  <c r="AZ455" i="3" s="1"/>
  <c r="BL457" i="3"/>
  <c r="BL460" i="3"/>
  <c r="BL461" i="3"/>
  <c r="BL463" i="3"/>
  <c r="BA471" i="3"/>
  <c r="BL317" i="3"/>
  <c r="G551" i="3"/>
  <c r="BL550" i="3"/>
  <c r="G542" i="3"/>
  <c r="BL15" i="3"/>
  <c r="AZ15" i="3" s="1"/>
  <c r="BA398" i="3"/>
  <c r="AZ398" i="3" s="1"/>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AZ442" i="3" s="1"/>
  <c r="BL444" i="3"/>
  <c r="G446" i="3"/>
  <c r="G447" i="3"/>
  <c r="BL448" i="3"/>
  <c r="G450" i="3"/>
  <c r="G451" i="3"/>
  <c r="BA454" i="3"/>
  <c r="BA457" i="3"/>
  <c r="AZ457" i="3" s="1"/>
  <c r="BA459" i="3"/>
  <c r="BA460" i="3"/>
  <c r="BA461" i="3"/>
  <c r="AZ461" i="3" s="1"/>
  <c r="BL464" i="3"/>
  <c r="AZ464" i="3" s="1"/>
  <c r="BL466" i="3"/>
  <c r="G468" i="3"/>
  <c r="G469" i="3"/>
  <c r="BL476" i="3"/>
  <c r="AZ476" i="3" s="1"/>
  <c r="BL477" i="3"/>
  <c r="BL478" i="3"/>
  <c r="G479" i="3"/>
  <c r="G480" i="3"/>
  <c r="BL480" i="3"/>
  <c r="G482" i="3"/>
  <c r="BA483" i="3"/>
  <c r="BL483" i="3"/>
  <c r="AZ483" i="3" s="1"/>
  <c r="BA486" i="3"/>
  <c r="BL489" i="3"/>
  <c r="BL491" i="3"/>
  <c r="AZ228" i="3"/>
  <c r="AZ404" i="3"/>
  <c r="AZ405" i="3"/>
  <c r="AZ407" i="3"/>
  <c r="AZ419" i="3"/>
  <c r="AZ422" i="3"/>
  <c r="AZ444" i="3"/>
  <c r="AZ448" i="3"/>
  <c r="AZ466" i="3"/>
  <c r="AZ480" i="3"/>
  <c r="BA482" i="3"/>
  <c r="BL350"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301" i="3"/>
  <c r="BL302" i="3"/>
  <c r="BA114" i="3"/>
  <c r="BL122" i="3"/>
  <c r="BA126" i="3"/>
  <c r="BA134" i="3"/>
  <c r="BL139" i="3"/>
  <c r="G140" i="3"/>
  <c r="BL141" i="3"/>
  <c r="BL143" i="3"/>
  <c r="AZ143" i="3" s="1"/>
  <c r="G146" i="3"/>
  <c r="G147" i="3"/>
  <c r="G154" i="3"/>
  <c r="BL161" i="3"/>
  <c r="G162" i="3"/>
  <c r="BL162" i="3"/>
  <c r="AZ162" i="3" s="1"/>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G286" i="3"/>
  <c r="BL286" i="3"/>
  <c r="AZ286" i="3" s="1"/>
  <c r="G289" i="3"/>
  <c r="G290" i="3"/>
  <c r="G291" i="3"/>
  <c r="BA296" i="3"/>
  <c r="BA298" i="3"/>
  <c r="AZ298" i="3" s="1"/>
  <c r="BA301" i="3"/>
  <c r="AZ301" i="3" s="1"/>
  <c r="BA302" i="3"/>
  <c r="AZ302" i="3" s="1"/>
  <c r="G115" i="3"/>
  <c r="BA116" i="3"/>
  <c r="AZ116" i="3" s="1"/>
  <c r="BA121" i="3"/>
  <c r="AZ121" i="3" s="1"/>
  <c r="BL121" i="3"/>
  <c r="BL123" i="3"/>
  <c r="G127" i="3"/>
  <c r="BA129" i="3"/>
  <c r="BL133" i="3"/>
  <c r="AZ133" i="3" s="1"/>
  <c r="BL134" i="3"/>
  <c r="BA156" i="3"/>
  <c r="AZ156" i="3" s="1"/>
  <c r="BL157" i="3"/>
  <c r="AZ157" i="3" s="1"/>
  <c r="BL159" i="3"/>
  <c r="AZ159" i="3" s="1"/>
  <c r="BA349" i="3"/>
  <c r="AZ349" i="3" s="1"/>
  <c r="BA353" i="3"/>
  <c r="BL353" i="3"/>
  <c r="BA358" i="3"/>
  <c r="AZ358" i="3" s="1"/>
  <c r="BL365"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3" i="3"/>
  <c r="AZ283" i="3" s="1"/>
  <c r="BL292" i="3"/>
  <c r="BA294" i="3"/>
  <c r="AZ294" i="3" s="1"/>
  <c r="BL295" i="3"/>
  <c r="BL300" i="3"/>
  <c r="BA128" i="3"/>
  <c r="AZ128" i="3" s="1"/>
  <c r="G136" i="3"/>
  <c r="BA137" i="3"/>
  <c r="AZ137" i="3" s="1"/>
  <c r="BL138" i="3"/>
  <c r="BA140" i="3"/>
  <c r="BA142" i="3"/>
  <c r="BL149" i="3"/>
  <c r="AZ149" i="3" s="1"/>
  <c r="BL150" i="3"/>
  <c r="AZ150" i="3" s="1"/>
  <c r="BA152" i="3"/>
  <c r="AZ152" i="3" s="1"/>
  <c r="BA154" i="3"/>
  <c r="AZ154"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D44" i="71"/>
  <c r="T44" i="71"/>
  <c r="D34" i="71"/>
  <c r="C35" i="71"/>
  <c r="C55" i="71"/>
  <c r="D54" i="71"/>
  <c r="D67" i="71"/>
  <c r="C66" i="71"/>
  <c r="O67" i="71"/>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G38" i="3"/>
  <c r="BA38" i="3"/>
  <c r="BA41" i="3"/>
  <c r="AZ41" i="3" s="1"/>
  <c r="BA42" i="3"/>
  <c r="G46" i="3"/>
  <c r="G47" i="3"/>
  <c r="BL48" i="3"/>
  <c r="AZ48" i="3" s="1"/>
  <c r="BA55" i="3"/>
  <c r="AZ55" i="3" s="1"/>
  <c r="BA56" i="3"/>
  <c r="BA57" i="3"/>
  <c r="BL58" i="3"/>
  <c r="BA60" i="3"/>
  <c r="BA63" i="3"/>
  <c r="BA66" i="3"/>
  <c r="AZ66" i="3" s="1"/>
  <c r="BA71" i="3"/>
  <c r="AZ71" i="3" s="1"/>
  <c r="G76" i="3"/>
  <c r="BL82" i="3"/>
  <c r="BL86" i="3"/>
  <c r="AZ86" i="3" s="1"/>
  <c r="G87" i="3"/>
  <c r="BA91" i="3"/>
  <c r="AZ91" i="3" s="1"/>
  <c r="BL93" i="3"/>
  <c r="BL94" i="3"/>
  <c r="AZ94" i="3" s="1"/>
  <c r="BA109" i="3"/>
  <c r="C64" i="71"/>
  <c r="D63" i="7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BA48" i="3"/>
  <c r="BA49" i="3"/>
  <c r="BA51" i="3"/>
  <c r="BL52" i="3"/>
  <c r="AZ52" i="3" s="1"/>
  <c r="G53" i="3"/>
  <c r="BL53" i="3"/>
  <c r="BL57" i="3"/>
  <c r="G62" i="3"/>
  <c r="BL62" i="3"/>
  <c r="BL63" i="3"/>
  <c r="G65" i="3"/>
  <c r="BL65" i="3"/>
  <c r="BL66" i="3"/>
  <c r="BL67" i="3"/>
  <c r="AZ67" i="3" s="1"/>
  <c r="G69" i="3"/>
  <c r="G70" i="3"/>
  <c r="BL70" i="3"/>
  <c r="BL71" i="3"/>
  <c r="BL72" i="3"/>
  <c r="AZ72" i="3" s="1"/>
  <c r="G74" i="3"/>
  <c r="G75" i="3"/>
  <c r="BL75" i="3"/>
  <c r="AZ75" i="3" s="1"/>
  <c r="BL83" i="3"/>
  <c r="G86" i="3"/>
  <c r="G92" i="3"/>
  <c r="G93" i="3"/>
  <c r="BA98" i="3"/>
  <c r="BA100" i="3"/>
  <c r="AZ100" i="3" s="1"/>
  <c r="BA102" i="3"/>
  <c r="AZ102" i="3" s="1"/>
  <c r="BL105" i="3"/>
  <c r="AZ105" i="3" s="1"/>
  <c r="G107" i="3"/>
  <c r="BL107" i="3"/>
  <c r="AA21" i="37"/>
  <c r="S21" i="37"/>
  <c r="D31" i="71"/>
  <c r="C32" i="71"/>
  <c r="D50" i="71"/>
  <c r="C51" i="71"/>
  <c r="BA45" i="3"/>
  <c r="BA46" i="3"/>
  <c r="AZ46" i="3" s="1"/>
  <c r="BL49" i="3"/>
  <c r="BL50" i="3"/>
  <c r="AZ50" i="3" s="1"/>
  <c r="BL51" i="3"/>
  <c r="BA53" i="3"/>
  <c r="AZ53" i="3" s="1"/>
  <c r="BA54" i="3"/>
  <c r="AZ62" i="3"/>
  <c r="AZ64" i="3"/>
  <c r="AZ65" i="3"/>
  <c r="AZ70" i="3"/>
  <c r="BL79" i="3"/>
  <c r="BL81" i="3"/>
  <c r="BA82" i="3"/>
  <c r="AZ82" i="3" s="1"/>
  <c r="BA95" i="3"/>
  <c r="BA97" i="3"/>
  <c r="AZ97" i="3" s="1"/>
  <c r="AZ108" i="3"/>
  <c r="AA21" i="33"/>
  <c r="S21" i="33"/>
  <c r="T28" i="71"/>
  <c r="D28" i="71"/>
  <c r="U28" i="71" s="1"/>
  <c r="C27" i="71"/>
  <c r="C60" i="71"/>
  <c r="D59" i="71"/>
  <c r="F66" i="71"/>
  <c r="Q67" i="71"/>
  <c r="V24" i="71"/>
  <c r="E23" i="71"/>
  <c r="E22" i="71" s="1"/>
  <c r="E21" i="71" s="1"/>
  <c r="E20" i="71" s="1"/>
  <c r="F3" i="35"/>
  <c r="G54" i="3"/>
  <c r="G55" i="3"/>
  <c r="BL56" i="3"/>
  <c r="BA58" i="3"/>
  <c r="BL59" i="3"/>
  <c r="AZ59" i="3" s="1"/>
  <c r="BL60" i="3"/>
  <c r="BA61" i="3"/>
  <c r="AZ61" i="3" s="1"/>
  <c r="BA68" i="3"/>
  <c r="BA73" i="3"/>
  <c r="BA80" i="3"/>
  <c r="G84" i="3"/>
  <c r="BL84" i="3"/>
  <c r="BA89" i="3"/>
  <c r="G103" i="3"/>
  <c r="BA103" i="3"/>
  <c r="AZ103" i="3" s="1"/>
  <c r="BA104" i="3"/>
  <c r="AZ104" i="3" s="1"/>
  <c r="BA106" i="3"/>
  <c r="AZ106" i="3" s="1"/>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77" i="3"/>
  <c r="AZ77" i="3" s="1"/>
  <c r="BA79" i="3"/>
  <c r="AZ79" i="3" s="1"/>
  <c r="G82" i="3"/>
  <c r="G83" i="3"/>
  <c r="BA84" i="3"/>
  <c r="BL88" i="3"/>
  <c r="AZ88" i="3" s="1"/>
  <c r="G90" i="3"/>
  <c r="BL90" i="3"/>
  <c r="AZ90" i="3" s="1"/>
  <c r="BL92" i="3"/>
  <c r="G101" i="3"/>
  <c r="BA101" i="3"/>
  <c r="AZ101" i="3" s="1"/>
  <c r="G108" i="3"/>
  <c r="G109" i="3"/>
  <c r="BL112" i="3"/>
  <c r="AB21" i="3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BL281" i="3"/>
  <c r="AZ281" i="3" s="1"/>
  <c r="BA285" i="3"/>
  <c r="AZ285" i="3" s="1"/>
  <c r="BA287" i="3"/>
  <c r="AZ287" i="3" s="1"/>
  <c r="AZ153"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B21" i="21"/>
  <c r="AZ78" i="3"/>
  <c r="G77" i="3"/>
  <c r="G5" i="3" s="1"/>
  <c r="B3" i="3" s="1"/>
  <c r="BA81" i="3"/>
  <c r="AZ81" i="3" s="1"/>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J53" i="67"/>
  <c r="J57" i="67"/>
  <c r="J55" i="67" s="1"/>
  <c r="J58" i="67" s="1"/>
  <c r="Q50" i="67" s="1"/>
  <c r="L56" i="67"/>
  <c r="I54" i="67"/>
  <c r="F66" i="67"/>
  <c r="L59" i="15"/>
  <c r="N59" i="15"/>
  <c r="M59" i="15"/>
  <c r="Q71" i="67"/>
  <c r="F64" i="15"/>
  <c r="C27" i="67"/>
  <c r="F71" i="67"/>
  <c r="N59" i="67"/>
  <c r="L59" i="67"/>
  <c r="L58" i="67"/>
  <c r="M59" i="67"/>
  <c r="B13" i="70"/>
  <c r="M7" i="67"/>
  <c r="J6" i="67" s="1"/>
  <c r="F50" i="67"/>
  <c r="F68" i="67"/>
  <c r="F64" i="67"/>
  <c r="F68" i="15"/>
  <c r="D9" i="69"/>
  <c r="C36" i="69"/>
  <c r="F34" i="68"/>
  <c r="D9" i="68"/>
  <c r="C36" i="68"/>
  <c r="F9" i="15"/>
  <c r="F9" i="67"/>
  <c r="M9" i="15"/>
  <c r="F13" i="67"/>
  <c r="J15" i="15"/>
  <c r="F8" i="15"/>
  <c r="D3" i="73"/>
  <c r="D5" i="73"/>
  <c r="F42" i="15"/>
  <c r="M29" i="15"/>
  <c r="F38" i="15"/>
  <c r="F7" i="15"/>
  <c r="F37" i="67"/>
  <c r="F42" i="67"/>
  <c r="F37" i="15"/>
  <c r="M24" i="15"/>
  <c r="F16" i="15"/>
  <c r="D4" i="73"/>
  <c r="D7" i="73"/>
  <c r="M28" i="15"/>
  <c r="F43" i="15"/>
  <c r="M8" i="15"/>
  <c r="F13" i="15"/>
  <c r="F6" i="67"/>
  <c r="M26" i="15"/>
  <c r="F26" i="15"/>
  <c r="L48" i="15"/>
  <c r="C76" i="15"/>
  <c r="M29" i="67"/>
  <c r="M22" i="15"/>
  <c r="C16" i="67"/>
  <c r="C31" i="12" l="1"/>
  <c r="E26" i="43"/>
  <c r="E59" i="40"/>
  <c r="Q71" i="15"/>
  <c r="I54" i="15"/>
  <c r="L58" i="15"/>
  <c r="Q60" i="15" s="1"/>
  <c r="J53" i="15"/>
  <c r="L56" i="15" s="1"/>
  <c r="J57" i="15"/>
  <c r="J55" i="15" s="1"/>
  <c r="J58" i="15" s="1"/>
  <c r="Q50" i="15" s="1"/>
  <c r="C27" i="15"/>
  <c r="C6" i="67"/>
  <c r="C32" i="67" s="1"/>
  <c r="F31" i="67"/>
  <c r="F71" i="15"/>
  <c r="F65" i="15"/>
  <c r="F65" i="67"/>
  <c r="F31" i="15"/>
  <c r="M7" i="15"/>
  <c r="J6" i="15" s="1"/>
  <c r="J18" i="15" s="1"/>
  <c r="F50" i="15"/>
  <c r="F66" i="15"/>
  <c r="C6" i="15"/>
  <c r="C32" i="15" s="1"/>
  <c r="F51" i="15"/>
  <c r="T32" i="71"/>
  <c r="D32" i="71"/>
  <c r="C36" i="71"/>
  <c r="D35" i="71"/>
  <c r="W12" i="34"/>
  <c r="AC12" i="34"/>
  <c r="P6" i="1"/>
  <c r="C13" i="12" s="1"/>
  <c r="AZ107" i="3"/>
  <c r="AZ89" i="3"/>
  <c r="AZ129" i="3"/>
  <c r="AZ279" i="3"/>
  <c r="G16" i="1"/>
  <c r="F10" i="39" s="1"/>
  <c r="C40" i="71"/>
  <c r="D39" i="71"/>
  <c r="D75" i="71"/>
  <c r="C74" i="71"/>
  <c r="D74" i="71" s="1"/>
  <c r="AZ58" i="3"/>
  <c r="AZ45" i="3"/>
  <c r="AZ51" i="3"/>
  <c r="AZ57" i="3"/>
  <c r="AZ271" i="3"/>
  <c r="AZ368" i="3"/>
  <c r="AZ353" i="3"/>
  <c r="AZ282" i="3"/>
  <c r="AZ397" i="3"/>
  <c r="AZ454" i="3"/>
  <c r="AZ471" i="3"/>
  <c r="AC9" i="34"/>
  <c r="W9" i="34"/>
  <c r="AB9" i="34"/>
  <c r="U9" i="34"/>
  <c r="U39" i="40"/>
  <c r="AB39" i="40"/>
  <c r="U12" i="35"/>
  <c r="AB12" i="35"/>
  <c r="U23" i="36"/>
  <c r="AB23" i="36"/>
  <c r="C26" i="71"/>
  <c r="D26" i="71" s="1"/>
  <c r="D27" i="71"/>
  <c r="AC23" i="35"/>
  <c r="W23" i="35"/>
  <c r="B20" i="31"/>
  <c r="B21" i="31" s="1"/>
  <c r="K16" i="1"/>
  <c r="AZ109" i="3"/>
  <c r="AZ174" i="3"/>
  <c r="AZ264" i="3"/>
  <c r="AZ209" i="3"/>
  <c r="AZ475" i="3"/>
  <c r="AZ234" i="3"/>
  <c r="D79" i="71"/>
  <c r="C78" i="71"/>
  <c r="D78" i="71" s="1"/>
  <c r="C52" i="71"/>
  <c r="D51" i="71"/>
  <c r="AZ49" i="3"/>
  <c r="AZ19" i="3"/>
  <c r="AZ63" i="3"/>
  <c r="AZ27" i="3"/>
  <c r="AZ118" i="3"/>
  <c r="AZ38" i="3"/>
  <c r="AZ241" i="3"/>
  <c r="AZ273" i="3"/>
  <c r="AZ491" i="3"/>
  <c r="AZ460" i="3"/>
  <c r="AZ408" i="3"/>
  <c r="AA25" i="37"/>
  <c r="S25" i="37"/>
  <c r="AC39" i="40"/>
  <c r="W39" i="40"/>
  <c r="C70" i="71"/>
  <c r="D70" i="71" s="1"/>
  <c r="D71" i="71"/>
  <c r="O65" i="71"/>
  <c r="D66" i="71"/>
  <c r="O66" i="71"/>
  <c r="AC23" i="36"/>
  <c r="W23" i="36"/>
  <c r="D17" i="53"/>
  <c r="B36" i="72" s="1"/>
  <c r="AC45" i="39"/>
  <c r="AZ84" i="3"/>
  <c r="D83" i="71"/>
  <c r="C82" i="71"/>
  <c r="D82" i="71" s="1"/>
  <c r="D60" i="71"/>
  <c r="T60" i="71"/>
  <c r="C56" i="71"/>
  <c r="D55" i="71"/>
  <c r="AZ25" i="3"/>
  <c r="AZ274" i="3"/>
  <c r="AZ277" i="3"/>
  <c r="AZ256" i="3"/>
  <c r="AZ210" i="3"/>
  <c r="AZ126" i="3"/>
  <c r="AZ459" i="3"/>
  <c r="AZ421" i="3"/>
  <c r="AZ453" i="3"/>
  <c r="AZ429" i="3"/>
  <c r="AZ550" i="3"/>
  <c r="U23" i="35"/>
  <c r="AB23" i="35"/>
  <c r="AA23" i="36"/>
  <c r="S23" i="36"/>
  <c r="W31" i="39"/>
  <c r="AC31" i="39"/>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J18" i="67"/>
  <c r="F1" i="67"/>
  <c r="Q52" i="67"/>
  <c r="Q61" i="67"/>
  <c r="Q74" i="67"/>
  <c r="Q74" i="15"/>
  <c r="Q61" i="15"/>
  <c r="AE11" i="1"/>
  <c r="AE6" i="1"/>
  <c r="AE9" i="1"/>
  <c r="AE7" i="1"/>
  <c r="AE8" i="1"/>
  <c r="AE12" i="1"/>
  <c r="AE10" i="1"/>
  <c r="F27" i="68"/>
  <c r="C16" i="15"/>
  <c r="F41" i="67"/>
  <c r="G1" i="73"/>
  <c r="J5" i="15" l="1"/>
  <c r="J24" i="15" s="1"/>
  <c r="H6" i="3"/>
  <c r="AC6" i="3"/>
  <c r="C49" i="15"/>
  <c r="E3" i="6"/>
  <c r="Q73" i="15"/>
  <c r="F1" i="15"/>
  <c r="Q52" i="15"/>
  <c r="T40" i="71"/>
  <c r="D40" i="71"/>
  <c r="T52" i="71"/>
  <c r="D52" i="71"/>
  <c r="D56" i="71"/>
  <c r="T56"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67"/>
  <c r="M27" i="15"/>
  <c r="F41" i="15"/>
  <c r="C48" i="15" l="1"/>
  <c r="C66" i="15" s="1"/>
  <c r="F22" i="68"/>
  <c r="C44" i="68" s="1"/>
  <c r="D41" i="68" s="1"/>
  <c r="F22" i="11"/>
  <c r="C23" i="11" s="1"/>
  <c r="F24" i="67"/>
  <c r="C24" i="67" s="1"/>
  <c r="F24" i="15"/>
  <c r="C24" i="15" s="1"/>
  <c r="F22" i="69"/>
  <c r="F41" i="69"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12"/>
  <c r="D25" i="12" s="1"/>
  <c r="C66" i="67"/>
  <c r="C60" i="67"/>
  <c r="D10" i="69"/>
  <c r="C34" i="69"/>
  <c r="D10" i="68"/>
  <c r="C17" i="67"/>
  <c r="C14" i="67"/>
  <c r="C17" i="15"/>
  <c r="C44" i="11" l="1"/>
  <c r="D41" i="11" s="1"/>
  <c r="C26" i="68"/>
  <c r="D22" i="68"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8" i="68"/>
  <c r="C5" i="68" s="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1" i="68" l="1"/>
  <c r="C52" i="68" s="1"/>
  <c r="B2" i="68" s="1"/>
  <c r="D13" i="77"/>
  <c r="D12" i="77" s="1"/>
  <c r="D11" i="77"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B3" i="68"/>
  <c r="D2" i="21"/>
  <c r="D34" i="9"/>
  <c r="D35" i="9"/>
  <c r="C20" i="9"/>
  <c r="C103" i="9" l="1"/>
  <c r="C102" i="9"/>
  <c r="C21" i="9"/>
  <c r="E11" i="77"/>
  <c r="E7" i="77" s="1"/>
  <c r="C27" i="77" s="1"/>
  <c r="D7" i="77"/>
  <c r="C26" i="77" s="1"/>
  <c r="C32" i="77" s="1"/>
  <c r="C38" i="77" s="1"/>
  <c r="C39" i="77" s="1"/>
  <c r="C40" i="77" s="1"/>
  <c r="C41"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9" i="1"/>
  <c r="AO12" i="1"/>
  <c r="AO8" i="1"/>
  <c r="AO6" i="1"/>
  <c r="C7" i="71" l="1"/>
  <c r="D8" i="71"/>
  <c r="L46" i="15"/>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7"/>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F118" i="9"/>
  <c r="F4" i="52" s="1"/>
  <c r="B51" i="72" s="1"/>
  <c r="D118" i="9"/>
  <c r="D4" i="52" s="1"/>
  <c r="B47" i="72" s="1"/>
  <c r="H118" i="9"/>
  <c r="H4" i="52" s="1"/>
  <c r="D119" i="9" l="1"/>
  <c r="D5" i="52" s="1"/>
  <c r="B49" i="72" s="1"/>
  <c r="G118" i="9"/>
  <c r="G4" i="52" s="1"/>
  <c r="B52" i="72" s="1"/>
  <c r="F119" i="9"/>
  <c r="F5" i="52" s="1"/>
  <c r="B53" i="72" s="1"/>
  <c r="H101" i="9"/>
  <c r="C104" i="9"/>
  <c r="H119" i="9"/>
  <c r="H5" i="52" s="1"/>
  <c r="I118" i="9"/>
  <c r="C105" i="9" l="1"/>
  <c r="I4" i="52"/>
  <c r="H102" i="9"/>
  <c r="E118" i="9"/>
  <c r="E4" i="52" s="1"/>
  <c r="B48" i="72" s="1"/>
  <c r="H107" i="9"/>
  <c r="D5" i="53"/>
  <c r="M48" i="9"/>
  <c r="D45" i="9"/>
  <c r="C5" i="74" l="1"/>
  <c r="D7" i="53"/>
  <c r="B21" i="72" s="1"/>
  <c r="D52" i="9"/>
  <c r="C78" i="9"/>
  <c r="C73" i="9" s="1"/>
  <c r="C93" i="9"/>
  <c r="C86" i="9" s="1"/>
  <c r="C64" i="9"/>
  <c r="C63" i="9" s="1"/>
  <c r="C67" i="9" s="1"/>
  <c r="C85" i="9"/>
  <c r="D55" i="9"/>
  <c r="M53" i="9" s="1"/>
  <c r="C72" i="9"/>
  <c r="D53" i="9"/>
  <c r="B20" i="72"/>
  <c r="D6" i="53"/>
  <c r="B22" i="72" s="1"/>
  <c r="D122" i="9"/>
  <c r="M49" i="9"/>
  <c r="D13" i="53"/>
  <c r="H108" i="9"/>
  <c r="C95" i="9" l="1"/>
  <c r="D14" i="53"/>
  <c r="B32" i="72" s="1"/>
  <c r="B30" i="72"/>
  <c r="C6" i="74"/>
  <c r="D15" i="53"/>
  <c r="B31" i="72" s="1"/>
  <c r="L64" i="9"/>
  <c r="M64" i="9" s="1"/>
  <c r="L63" i="9"/>
  <c r="M63" i="9" s="1"/>
  <c r="L68" i="9"/>
  <c r="M68" i="9" s="1"/>
  <c r="L65" i="9"/>
  <c r="M65" i="9" s="1"/>
  <c r="L67" i="9"/>
  <c r="M67" i="9" s="1"/>
  <c r="L66" i="9"/>
  <c r="M66" i="9" s="1"/>
  <c r="D59" i="9"/>
  <c r="M55" i="9" s="1"/>
  <c r="C68" i="9"/>
  <c r="D54" i="9" s="1"/>
  <c r="C96" i="9"/>
  <c r="E96" i="9" s="1"/>
  <c r="E97" i="9" s="1"/>
  <c r="D123" i="9"/>
  <c r="D9" i="52" s="1"/>
  <c r="D8" i="52"/>
  <c r="C79" i="9"/>
  <c r="C80" i="9" l="1"/>
  <c r="E80" i="9" s="1"/>
  <c r="E81" i="9" s="1"/>
  <c r="C97" i="9"/>
  <c r="D58" i="9" s="1"/>
  <c r="D56" i="9" s="1"/>
  <c r="M54" i="9" s="1"/>
  <c r="N57" i="9" s="1"/>
  <c r="M69" i="9"/>
  <c r="N69" i="9" s="1"/>
  <c r="P57" i="9" l="1"/>
  <c r="N58"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Snowie Wang</author>
  </authors>
  <commentList>
    <comment ref="C16" authorId="0" shapeId="0" xr:uid="{DABABAFD-B97C-4388-9C3E-EA2862CE8EDB}">
      <text>
        <r>
          <rPr>
            <b/>
            <sz val="9"/>
            <rFont val="宋体"/>
            <family val="3"/>
            <charset val="134"/>
          </rPr>
          <t>月饼、粽子等</t>
        </r>
      </text>
    </comment>
    <comment ref="E16" authorId="0" shapeId="0" xr:uid="{16DEE703-6BB1-4069-B67F-92226F665E86}">
      <text>
        <r>
          <rPr>
            <b/>
            <sz val="9"/>
            <rFont val="宋体"/>
            <family val="3"/>
            <charset val="134"/>
          </rPr>
          <t>22年为冬奥会合作销售</t>
        </r>
      </text>
    </comment>
    <comment ref="F26" authorId="0" shapeId="0" xr:uid="{FA3F4D17-3904-4EAA-8E7C-F9F9D05E16F7}">
      <text>
        <r>
          <rPr>
            <b/>
            <sz val="9"/>
            <rFont val="宋体"/>
            <family val="3"/>
            <charset val="134"/>
          </rPr>
          <t>希尔顿销售路演活动代收代付</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<sst xmlns="http://schemas.openxmlformats.org/spreadsheetml/2006/main" count="8214" uniqueCount="3691">
  <si>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</si>
  <si>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</si>
  <si>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</si>
  <si>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</si>
  <si>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</si>
  <si>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</si>
  <si>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</si>
  <si>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</si>
  <si>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</si>
  <si>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</si>
  <si>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</si>
  <si>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</si>
  <si>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</si>
  <si>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</si>
  <si>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</si>
  <si>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</si>
  <si>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</si>
  <si>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</si>
  <si>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</si>
  <si>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</si>
  <si>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</si>
  <si>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</si>
  <si>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</si>
  <si>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</si>
  <si>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</si>
  <si>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</si>
  <si>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</si>
  <si>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</si>
  <si>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</si>
  <si>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</si>
  <si>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</si>
  <si>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</si>
  <si>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</si>
  <si>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</si>
  <si>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</si>
  <si>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</si>
  <si>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</si>
  <si>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</si>
  <si>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</si>
  <si>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</si>
  <si>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</si>
  <si>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</si>
  <si>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</si>
  <si>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</si>
  <si>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</si>
  <si>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</si>
  <si>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</si>
  <si>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</si>
  <si>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</si>
  <si>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</si>
  <si>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</si>
  <si>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</si>
  <si>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</si>
  <si>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</si>
  <si>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</si>
  <si>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</si>
  <si>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</si>
  <si>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</si>
  <si>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</si>
  <si>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</si>
  <si>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</si>
  <si>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</si>
  <si>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</si>
  <si>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</si>
  <si>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</si>
  <si>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</si>
  <si>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</si>
  <si>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</si>
  <si>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</si>
  <si>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</si>
  <si>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</si>
  <si>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</si>
  <si>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</si>
  <si>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</si>
  <si>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</si>
  <si>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</si>
  <si>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</si>
  <si>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</si>
  <si>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</si>
  <si>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</si>
  <si>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</si>
  <si>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</si>
  <si>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</si>
  <si>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</si>
  <si>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</si>
  <si>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</si>
  <si>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</si>
  <si>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</si>
  <si>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</si>
  <si>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</si>
  <si>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</si>
  <si>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</si>
  <si>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</si>
  <si>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</si>
  <si>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</si>
  <si>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</si>
  <si>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</si>
  <si>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</si>
  <si>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</si>
  <si>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</si>
  <si>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</si>
  <si>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</si>
  <si>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</si>
  <si>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</si>
  <si>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</si>
  <si>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</si>
  <si>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</si>
  <si>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</si>
  <si>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</si>
  <si>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</si>
  <si>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</si>
  <si>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</si>
  <si>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</si>
  <si>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</si>
  <si>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</si>
  <si>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</si>
  <si>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</si>
  <si>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</si>
  <si>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</si>
  <si>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</si>
  <si>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</si>
  <si>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</si>
  <si>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</si>
  <si>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</si>
  <si>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</si>
  <si>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</si>
  <si>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</si>
  <si>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</si>
  <si>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</si>
  <si>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</si>
  <si>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</si>
  <si>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</si>
  <si>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</si>
  <si>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</si>
  <si>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</si>
  <si>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</si>
  <si>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</si>
  <si>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</si>
  <si>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</si>
  <si>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</si>
  <si>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</si>
  <si>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</si>
  <si>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</si>
  <si>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</si>
  <si>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</si>
  <si>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</si>
  <si>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</si>
  <si>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</si>
  <si>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</si>
  <si>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</si>
  <si>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</si>
  <si>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</si>
  <si>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</si>
  <si>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</si>
  <si>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</si>
  <si>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</si>
  <si>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</si>
  <si>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</si>
  <si>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</si>
  <si>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</si>
  <si>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</si>
  <si>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</si>
  <si>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</si>
  <si>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</si>
  <si>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</si>
  <si>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</si>
  <si>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</si>
  <si>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</si>
  <si>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</si>
  <si>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</si>
  <si>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</si>
  <si>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</si>
  <si>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</si>
  <si>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</si>
  <si>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</si>
  <si>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</si>
  <si>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</si>
  <si>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</si>
  <si>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</si>
  <si>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</si>
  <si>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</si>
  <si>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</si>
  <si>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</si>
  <si>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</si>
  <si>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</si>
  <si>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</si>
  <si>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</si>
  <si>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</si>
  <si>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</si>
  <si>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</si>
  <si>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</si>
  <si>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</si>
  <si>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</si>
  <si>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</si>
  <si>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</si>
  <si>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</si>
  <si>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</si>
  <si>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</si>
  <si>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</si>
  <si>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</si>
  <si>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</si>
  <si>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</si>
  <si>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</si>
  <si>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</si>
  <si>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</si>
  <si>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</si>
  <si>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</si>
  <si>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</si>
  <si>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</si>
  <si>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</si>
  <si>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</si>
  <si>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</si>
  <si>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</si>
  <si>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</si>
  <si>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</si>
  <si>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</si>
  <si>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</si>
  <si>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</si>
  <si>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</si>
  <si>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</si>
  <si>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</si>
  <si>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</si>
  <si>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</si>
  <si>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</si>
  <si>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</si>
  <si>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</si>
  <si>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</si>
  <si>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</si>
  <si>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</si>
  <si>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</si>
  <si>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</si>
  <si>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</si>
  <si>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</si>
  <si>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</si>
  <si>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</si>
  <si>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</si>
  <si>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</si>
  <si>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</si>
  <si>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</si>
  <si>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</si>
  <si>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</si>
  <si>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</si>
  <si>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</si>
  <si>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</si>
  <si>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</si>
  <si>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</si>
  <si>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</si>
  <si>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</si>
  <si>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</si>
  <si>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</si>
  <si>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</si>
  <si>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</si>
  <si>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</si>
  <si>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</si>
  <si>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</si>
  <si>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</si>
  <si>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</si>
  <si>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</si>
  <si>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</si>
  <si>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</si>
  <si>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</si>
  <si>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</si>
  <si>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</si>
  <si>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</si>
  <si>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</si>
  <si>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</si>
  <si>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</si>
  <si>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</si>
  <si>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</si>
  <si>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</si>
  <si>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</si>
  <si>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</si>
  <si>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</si>
  <si>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</si>
  <si>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</si>
  <si>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</si>
  <si>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</si>
  <si>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</si>
  <si>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</si>
  <si>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</si>
  <si>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</si>
  <si>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</si>
  <si>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</si>
  <si>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</si>
  <si>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</si>
  <si>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</si>
  <si>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</si>
  <si>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</si>
  <si>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</si>
  <si>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</si>
  <si>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</si>
  <si>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</si>
  <si>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</si>
  <si>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</si>
  <si>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</si>
  <si>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</si>
  <si>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</si>
  <si>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</si>
  <si>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</si>
  <si>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</si>
  <si>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</si>
  <si>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</si>
  <si>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</si>
  <si>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</si>
  <si>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</si>
  <si>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</si>
  <si>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</si>
  <si>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</si>
  <si>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</si>
  <si>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</si>
  <si>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</si>
  <si>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</si>
  <si>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</si>
  <si>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</si>
  <si>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</si>
  <si>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</si>
  <si>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</si>
  <si>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</si>
  <si>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</si>
  <si>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</si>
  <si>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</si>
  <si>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</si>
  <si>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</si>
  <si>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</si>
  <si>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</si>
  <si>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</si>
  <si>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</si>
  <si>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</si>
  <si>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</si>
  <si>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</si>
  <si>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</si>
  <si>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</si>
  <si>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</si>
  <si>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</si>
  <si>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</si>
  <si>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</si>
  <si>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</si>
  <si>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</si>
  <si>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</si>
  <si>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</si>
  <si>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</si>
  <si>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</si>
  <si>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</si>
  <si>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</si>
  <si>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</si>
  <si>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</si>
  <si>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</si>
  <si>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</si>
  <si>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</si>
  <si>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</si>
  <si>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</si>
  <si>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</si>
  <si>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</si>
  <si>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</si>
  <si>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</si>
  <si>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</si>
  <si>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</si>
  <si>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</si>
  <si>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</si>
  <si>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</si>
  <si>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</si>
  <si>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</si>
  <si>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</si>
  <si>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</si>
  <si>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</si>
  <si>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</si>
  <si>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</si>
  <si>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</si>
  <si>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</si>
  <si>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</si>
  <si>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</si>
  <si>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</si>
  <si>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</si>
  <si>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</si>
  <si>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</si>
  <si>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</si>
  <si>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</si>
  <si>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</si>
  <si>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</si>
  <si>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</si>
  <si>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</si>
  <si>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</si>
  <si>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</si>
  <si>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</si>
  <si>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</si>
  <si>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</si>
  <si>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</si>
  <si>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</si>
  <si>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</si>
  <si>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</si>
  <si>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</si>
  <si>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</si>
  <si>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</si>
  <si>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</si>
  <si>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</si>
  <si>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</si>
  <si>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</si>
  <si>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</si>
  <si>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</si>
  <si>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</si>
  <si>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</si>
  <si>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</si>
  <si>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</si>
  <si>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</si>
  <si>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</si>
  <si>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</si>
  <si>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</si>
  <si>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</si>
  <si>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</si>
  <si>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</si>
  <si>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</si>
  <si>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</si>
  <si>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</si>
  <si>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</si>
  <si>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</si>
  <si>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</si>
  <si>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</si>
  <si>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</si>
  <si>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</si>
  <si>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</si>
  <si>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</si>
  <si>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</si>
  <si>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</si>
  <si>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</si>
  <si>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</si>
  <si>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</si>
  <si>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</si>
  <si>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</si>
  <si>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</si>
  <si>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</si>
  <si>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</si>
  <si>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</si>
  <si>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</si>
  <si>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</si>
  <si>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</si>
  <si>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</si>
  <si>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</si>
  <si>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</si>
  <si>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</si>
  <si>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</si>
  <si>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</si>
  <si>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</si>
  <si>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</si>
  <si>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</si>
  <si>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</si>
  <si>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</si>
  <si>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</si>
  <si>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</si>
  <si>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</si>
  <si>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</si>
  <si>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</si>
  <si>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</si>
  <si>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</si>
  <si>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</si>
  <si>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</si>
  <si>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</si>
  <si>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</si>
  <si>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</si>
  <si>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</si>
  <si>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</si>
  <si>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</si>
  <si>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</si>
  <si>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</si>
  <si>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</si>
  <si>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</si>
  <si>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</si>
  <si>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</si>
  <si>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</si>
  <si>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</si>
  <si>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</si>
  <si>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</si>
  <si>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</si>
  <si>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</si>
  <si>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</si>
  <si>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</si>
  <si>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</si>
  <si>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</si>
  <si>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</si>
  <si>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</si>
  <si>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</si>
  <si>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</si>
  <si>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</si>
  <si>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</si>
  <si>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</si>
  <si>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</si>
  <si>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</si>
  <si>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</si>
  <si>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</si>
  <si>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</si>
  <si>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</si>
  <si>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</si>
  <si>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</si>
  <si>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</si>
  <si>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</si>
  <si>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</si>
  <si>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</si>
  <si>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</si>
  <si>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</si>
  <si>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</si>
  <si>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</si>
  <si>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</si>
  <si>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</si>
  <si>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</si>
  <si>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</si>
  <si>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</si>
  <si>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</si>
  <si>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</si>
  <si>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</si>
  <si>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</si>
  <si>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</si>
  <si>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</si>
  <si>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</si>
  <si>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</si>
  <si>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</si>
  <si>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</si>
  <si>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</si>
  <si>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</si>
  <si>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</si>
  <si>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</si>
  <si>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</si>
  <si>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</si>
  <si>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</si>
  <si>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</si>
  <si>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</si>
  <si>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</si>
  <si>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</si>
  <si>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</si>
  <si>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</si>
  <si>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</si>
  <si>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</si>
  <si>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</si>
  <si>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</si>
  <si>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</si>
  <si>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</si>
  <si>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</si>
  <si>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</si>
  <si>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</si>
  <si>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</si>
  <si>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</si>
  <si>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</si>
  <si>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</si>
  <si>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</si>
  <si>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</si>
  <si>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</si>
  <si>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</si>
  <si>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</si>
  <si>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</si>
  <si>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</si>
  <si>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</si>
  <si>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</si>
  <si>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</si>
  <si>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</si>
  <si>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</si>
  <si>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</si>
  <si>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</si>
  <si>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</si>
  <si>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</si>
  <si>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</si>
  <si>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</si>
  <si>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</si>
  <si>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</si>
  <si>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</si>
  <si>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</si>
  <si>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</si>
  <si>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</si>
  <si>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</si>
  <si>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</si>
  <si>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</si>
  <si>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</si>
  <si>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</si>
  <si>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</si>
  <si>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</si>
  <si>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</si>
  <si>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</si>
  <si>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</si>
  <si>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</si>
  <si>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</si>
  <si>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</si>
  <si>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</si>
  <si>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</si>
  <si>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</si>
  <si>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</si>
  <si>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</si>
  <si>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</si>
  <si>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</si>
  <si>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</si>
  <si>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</si>
  <si>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</si>
  <si>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</si>
  <si>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</si>
  <si>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</si>
  <si>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</si>
  <si>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</si>
  <si>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</si>
  <si>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</si>
  <si>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</si>
  <si>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</si>
  <si>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</si>
  <si>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</si>
  <si>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</si>
  <si>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</si>
  <si>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</si>
  <si>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</si>
  <si>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</si>
  <si>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</si>
  <si>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</si>
  <si>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</si>
  <si>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</si>
  <si>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</si>
  <si>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</si>
  <si>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</si>
  <si>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</si>
  <si>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</si>
  <si>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</si>
  <si>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</si>
  <si>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</si>
  <si>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</si>
  <si>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</si>
  <si>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</si>
  <si>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</si>
  <si>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</si>
  <si>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</si>
  <si>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</si>
  <si>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</si>
  <si>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</si>
  <si>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</si>
  <si>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</si>
  <si>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</si>
  <si>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</si>
  <si>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</si>
  <si>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</si>
  <si>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</si>
  <si>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</si>
  <si>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</si>
  <si>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</si>
  <si>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</si>
  <si>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</si>
  <si>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</si>
  <si>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</si>
  <si>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</si>
  <si>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</si>
  <si>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</si>
  <si>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</si>
  <si>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</si>
  <si>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</si>
  <si>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</si>
  <si>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</si>
  <si>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</si>
  <si>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</si>
  <si>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</si>
  <si>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</si>
  <si>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</si>
  <si>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</si>
  <si>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</si>
  <si>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</si>
  <si>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</si>
  <si>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</si>
  <si>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</si>
  <si>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</si>
  <si>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</si>
  <si>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</si>
  <si>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</si>
  <si>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</si>
  <si>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</si>
  <si>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</si>
  <si>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</si>
  <si>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</si>
  <si>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</si>
  <si>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</si>
  <si>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</si>
  <si>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</si>
  <si>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</si>
  <si>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</si>
  <si>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</si>
  <si>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</si>
  <si>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</si>
  <si>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</si>
  <si>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</si>
  <si>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</si>
  <si>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</si>
  <si>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</si>
  <si>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</si>
  <si>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</si>
  <si>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</si>
  <si>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</si>
  <si>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</si>
  <si>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</si>
  <si>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</si>
  <si>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</si>
  <si>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</si>
  <si>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</si>
  <si>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</si>
  <si>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</si>
  <si>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</si>
  <si>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</si>
  <si>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</si>
  <si>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</si>
  <si>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</si>
  <si>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</si>
  <si>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</si>
  <si>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</si>
  <si>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</si>
  <si>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</si>
  <si>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</si>
  <si>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</si>
  <si>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</si>
  <si>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</si>
  <si>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</si>
  <si>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</si>
  <si>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</si>
  <si>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</si>
  <si>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</si>
  <si>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</si>
  <si>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</si>
  <si>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</si>
  <si>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</si>
  <si>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</si>
  <si>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</si>
  <si>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</si>
  <si>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</si>
  <si>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</si>
  <si>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</si>
  <si>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</si>
  <si>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</si>
  <si>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</si>
  <si>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</si>
  <si>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</si>
  <si>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</si>
  <si>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</si>
  <si>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</si>
  <si>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</si>
  <si>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</si>
  <si>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</si>
  <si>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</si>
  <si>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</si>
  <si>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</si>
  <si>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</si>
  <si>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</si>
  <si>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</si>
  <si>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</si>
  <si>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</si>
  <si>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</si>
  <si>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</si>
  <si>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</si>
  <si>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</si>
  <si>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</si>
  <si>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</si>
  <si>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</si>
  <si>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</si>
  <si>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</si>
  <si>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</si>
  <si>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</si>
  <si>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</si>
  <si>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</si>
  <si>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</si>
  <si>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</si>
  <si>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</si>
  <si>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</si>
  <si>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</si>
  <si>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</si>
  <si>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</si>
  <si>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</si>
  <si>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</si>
  <si>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</si>
  <si>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</si>
  <si>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</si>
  <si>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</si>
  <si>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</si>
  <si>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</si>
  <si>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</si>
  <si>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</si>
  <si>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</si>
  <si>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</si>
  <si>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</si>
  <si>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</si>
  <si>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</si>
  <si>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</si>
  <si>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</si>
  <si>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</si>
  <si>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</si>
  <si>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</si>
  <si>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</si>
  <si>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</si>
  <si>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</si>
  <si>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</si>
  <si>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</si>
  <si>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</si>
  <si>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</si>
  <si>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</si>
  <si>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</si>
  <si>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</si>
  <si>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</si>
  <si>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</si>
  <si>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</si>
  <si>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</si>
  <si>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</si>
  <si>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</si>
  <si>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</si>
  <si>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</si>
  <si>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</si>
  <si>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</si>
  <si>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</si>
  <si>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</si>
  <si>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</si>
  <si>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</si>
  <si>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</si>
  <si>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</si>
  <si>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</si>
  <si>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</si>
  <si>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</si>
  <si>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</si>
  <si>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</si>
  <si>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</si>
  <si>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</si>
  <si>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</si>
  <si>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</si>
  <si>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</si>
  <si>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</si>
  <si>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</si>
  <si>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</si>
  <si>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</si>
  <si>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</si>
  <si>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</si>
  <si>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</si>
  <si>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</si>
  <si>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</si>
  <si>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</si>
  <si>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</si>
  <si>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</si>
  <si>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</si>
  <si>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</si>
  <si>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</si>
  <si>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</si>
  <si>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</si>
  <si>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</si>
  <si>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</si>
  <si>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</si>
  <si>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</si>
  <si>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</si>
  <si>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</si>
  <si>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</si>
  <si>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</si>
  <si>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</si>
  <si>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</si>
  <si>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</si>
  <si>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</si>
  <si>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</si>
  <si>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</si>
  <si>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</si>
  <si>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</si>
  <si>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</si>
  <si>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</si>
  <si>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</si>
  <si>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</si>
  <si>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</si>
  <si>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</si>
  <si>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</si>
  <si>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</si>
  <si>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</si>
  <si>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</si>
  <si>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</si>
  <si>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</si>
  <si>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</si>
  <si>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</si>
  <si>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</si>
  <si>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</si>
  <si>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</si>
  <si>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</si>
  <si>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</si>
  <si>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</si>
  <si>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</si>
  <si>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</si>
  <si>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</si>
  <si>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</si>
  <si>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</si>
  <si>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</si>
  <si>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</si>
  <si>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</si>
  <si>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</si>
  <si>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</si>
  <si>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</si>
  <si>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</si>
  <si>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</si>
  <si>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</si>
  <si>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</si>
  <si>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</si>
  <si>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</si>
  <si>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</si>
  <si>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</si>
  <si>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</si>
  <si>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</si>
  <si>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</si>
  <si>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</si>
  <si>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</si>
  <si>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</si>
  <si>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</si>
  <si>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</si>
  <si>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</si>
  <si>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</si>
  <si>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</si>
  <si>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</si>
  <si>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</si>
  <si>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</si>
  <si>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</si>
  <si>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</si>
  <si>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</si>
  <si>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</si>
  <si>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</si>
  <si>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</si>
  <si>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</si>
  <si>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</si>
  <si>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</si>
  <si>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</si>
  <si>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</si>
  <si>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</si>
  <si>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</si>
  <si>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</si>
  <si>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</si>
  <si>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</si>
  <si>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</si>
  <si>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</si>
  <si>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</si>
  <si>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</si>
  <si>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</si>
  <si>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</si>
  <si>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</si>
  <si>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</si>
  <si>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</si>
  <si>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</si>
  <si>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</si>
  <si>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</si>
  <si>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</si>
  <si>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</si>
  <si>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</si>
  <si>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</si>
  <si>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</si>
  <si>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</si>
  <si>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</si>
  <si>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</si>
  <si>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</si>
  <si>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</si>
  <si>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</si>
  <si>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</si>
  <si>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</si>
  <si>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</si>
  <si>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</si>
  <si>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</si>
  <si>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</si>
  <si>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</si>
  <si>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</si>
  <si>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</si>
  <si>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</si>
  <si>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</si>
  <si>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</si>
  <si>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</si>
  <si>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</si>
  <si>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</si>
  <si>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</si>
  <si>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</si>
  <si>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</si>
  <si>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</si>
  <si>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</si>
  <si>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</si>
  <si>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</si>
  <si>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</si>
  <si>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</si>
  <si>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</si>
  <si>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</si>
  <si>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</si>
  <si>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</si>
  <si>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</si>
  <si>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</si>
  <si>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</si>
  <si>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</si>
  <si>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</si>
  <si>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</si>
  <si>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</si>
  <si>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</si>
  <si>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</si>
  <si>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</si>
  <si>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</si>
  <si>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</si>
  <si>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</si>
  <si>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</si>
  <si>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</si>
  <si>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</si>
  <si>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</si>
  <si>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</si>
  <si>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</si>
  <si>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</si>
  <si>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</si>
  <si>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</si>
  <si>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</si>
  <si>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</si>
  <si>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</si>
  <si>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</si>
  <si>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</si>
  <si>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</si>
  <si>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</si>
  <si>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</si>
  <si>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</si>
  <si>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</si>
  <si>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</si>
  <si>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</si>
  <si>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</si>
  <si>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</si>
  <si>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</si>
  <si>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</si>
  <si>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</si>
  <si>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</si>
  <si>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</si>
  <si>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</si>
  <si>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</si>
  <si>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</si>
  <si>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</si>
  <si>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</si>
  <si>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</si>
  <si>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</si>
  <si>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</si>
  <si>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</si>
  <si>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</si>
  <si>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</si>
  <si>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</si>
  <si>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</si>
  <si>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</si>
  <si>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</si>
  <si>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</si>
  <si>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</si>
  <si>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</si>
  <si>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</si>
  <si>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</si>
  <si>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</si>
  <si>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</si>
  <si>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</si>
  <si>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</si>
  <si>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</si>
  <si>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</si>
  <si>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</si>
  <si>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</si>
  <si>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</si>
  <si>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</si>
  <si>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</si>
  <si>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</si>
  <si>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</si>
  <si>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</si>
  <si>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</si>
  <si>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</si>
  <si>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</si>
  <si>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</si>
  <si>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</si>
  <si>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</si>
  <si>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</si>
  <si>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</si>
  <si>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</si>
  <si>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</si>
  <si>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</si>
  <si>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</si>
  <si>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</si>
  <si>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</si>
  <si>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</si>
  <si>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</si>
  <si>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</si>
  <si>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</si>
  <si>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</si>
  <si>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</si>
  <si>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</si>
  <si>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</si>
  <si>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</si>
  <si>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</si>
  <si>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</si>
  <si>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</si>
  <si>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</si>
  <si>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</si>
  <si>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</si>
  <si>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</si>
  <si>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</si>
  <si>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</si>
  <si>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</si>
  <si>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</si>
  <si>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</si>
  <si>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</si>
  <si>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</si>
  <si>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</si>
  <si>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</si>
  <si>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</si>
  <si>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</si>
  <si>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</si>
  <si>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</si>
  <si>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</si>
  <si>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</si>
  <si>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</si>
  <si>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</si>
  <si>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</si>
  <si>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</si>
  <si>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</si>
  <si>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</si>
  <si>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</si>
  <si>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</si>
  <si>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</si>
  <si>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</si>
  <si>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</si>
  <si>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</si>
  <si>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</si>
  <si>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</si>
  <si>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</si>
  <si>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</si>
  <si>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</si>
  <si>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</si>
  <si>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</si>
  <si>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</si>
  <si>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</si>
  <si>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</si>
  <si>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</si>
  <si>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</si>
  <si>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</si>
  <si>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</si>
  <si>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</si>
  <si>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</si>
  <si>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</si>
  <si>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</si>
  <si>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</si>
  <si>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</si>
  <si>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</si>
  <si>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</si>
  <si>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</si>
  <si>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</si>
  <si>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</si>
  <si>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</si>
  <si>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</si>
  <si>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</si>
  <si>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</si>
  <si>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</si>
  <si>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</si>
  <si>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</si>
  <si>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</si>
  <si>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</si>
  <si>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</si>
  <si>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</si>
  <si>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</si>
  <si>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</si>
  <si>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</si>
  <si>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</si>
  <si>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</si>
  <si>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</si>
  <si>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</si>
  <si>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</si>
  <si>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</si>
  <si>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</si>
  <si>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</si>
  <si>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</si>
  <si>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</si>
  <si>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</si>
  <si>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</si>
  <si>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</si>
  <si>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</si>
  <si>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</si>
  <si>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</si>
  <si>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</si>
  <si>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</si>
  <si>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</si>
  <si>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</si>
  <si>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</si>
  <si>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</si>
  <si>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</si>
  <si>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</si>
  <si>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</si>
  <si>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</si>
  <si>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</si>
  <si>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</si>
  <si>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</si>
  <si>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</si>
  <si>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</si>
  <si>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</si>
  <si>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</si>
  <si>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</si>
  <si>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</si>
  <si>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</si>
  <si>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</si>
  <si>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</si>
  <si>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</si>
  <si>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</si>
  <si>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</si>
  <si>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</si>
  <si>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</si>
  <si>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</si>
  <si>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</si>
  <si>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</si>
  <si>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</si>
  <si>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</si>
  <si>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</si>
  <si>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</si>
  <si>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</si>
  <si>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</si>
  <si>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</si>
  <si>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</si>
  <si>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</si>
  <si>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</si>
  <si>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</si>
  <si>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</si>
  <si>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</si>
  <si>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</si>
  <si>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</si>
  <si>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</si>
  <si>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</si>
  <si>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</si>
  <si>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</si>
  <si>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</si>
  <si>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</si>
  <si>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</si>
  <si>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</si>
  <si>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</si>
  <si>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</si>
  <si>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</si>
  <si>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</si>
  <si>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</si>
  <si>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</si>
  <si>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</si>
  <si>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</si>
  <si>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</si>
  <si>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</si>
  <si>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</si>
  <si>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</si>
  <si>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</si>
  <si>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</si>
  <si>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</si>
  <si>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</si>
  <si>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</si>
  <si>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</si>
  <si>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</si>
  <si>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</si>
  <si>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</si>
  <si>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</si>
  <si>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</si>
  <si>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</si>
  <si>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</si>
  <si>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</si>
  <si>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</si>
  <si>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</si>
  <si>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</si>
  <si>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</si>
  <si>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</si>
  <si>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</si>
  <si>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</si>
  <si>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</si>
  <si>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</si>
  <si>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</si>
  <si>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</si>
  <si>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</si>
  <si>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</si>
  <si>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</si>
  <si>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</si>
  <si>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</si>
  <si>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</si>
  <si>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</si>
  <si>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</si>
  <si>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</si>
  <si>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</si>
  <si>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</si>
  <si>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</si>
  <si>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</si>
  <si>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</si>
  <si>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</si>
  <si>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</si>
  <si>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</si>
  <si>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</si>
  <si>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</si>
  <si>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</si>
  <si>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</si>
  <si>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</si>
  <si>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</si>
  <si>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</si>
  <si>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</si>
  <si>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</si>
  <si>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</si>
  <si>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</si>
  <si>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</si>
  <si>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</si>
  <si>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</si>
  <si>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</si>
  <si>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</si>
  <si>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</si>
  <si>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</si>
  <si>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</si>
  <si>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</si>
  <si>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</si>
  <si>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</si>
  <si>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</si>
  <si>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</si>
  <si>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</si>
  <si>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</si>
  <si>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</si>
  <si>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</si>
  <si>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</si>
  <si>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</si>
  <si>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</si>
  <si>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</si>
  <si>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</si>
  <si>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</si>
  <si>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</si>
  <si>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</si>
  <si>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</si>
  <si>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</si>
  <si>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</si>
  <si>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</si>
  <si>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</si>
  <si>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</si>
  <si>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</si>
  <si>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</si>
  <si>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</si>
  <si>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</si>
  <si>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</si>
  <si>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</si>
  <si>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</si>
  <si>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</si>
  <si>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</si>
  <si>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</si>
  <si>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</si>
  <si>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</si>
  <si>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</si>
  <si>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</si>
  <si>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</si>
  <si>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</si>
  <si>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</si>
  <si>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</si>
  <si>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</si>
  <si>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</si>
  <si>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</si>
  <si>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</si>
  <si>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</si>
  <si>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</si>
  <si>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</si>
  <si>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</si>
  <si>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</si>
  <si>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</si>
  <si>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</si>
  <si>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</si>
  <si>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</si>
  <si>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</si>
  <si>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</si>
  <si>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</si>
  <si>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</si>
  <si>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</si>
  <si>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</si>
  <si>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</si>
  <si>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</si>
  <si>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</si>
  <si>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</si>
  <si>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</si>
  <si>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</si>
  <si>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</si>
  <si>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</si>
  <si>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</si>
  <si>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</si>
  <si>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</si>
  <si>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</si>
  <si>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</si>
  <si>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</si>
  <si>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</si>
  <si>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</si>
  <si>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</si>
  <si>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</si>
  <si>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</si>
  <si>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</si>
  <si>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</si>
  <si>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</si>
  <si>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</si>
  <si>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</si>
  <si>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</si>
  <si>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</si>
  <si>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</si>
  <si>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</si>
  <si>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</si>
  <si>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</si>
  <si>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</si>
  <si>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</si>
  <si>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</si>
  <si>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</si>
  <si>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</si>
  <si>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</si>
  <si>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</si>
  <si>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</si>
  <si>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</si>
  <si>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</si>
  <si>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</si>
  <si>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</si>
  <si>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</si>
  <si>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</si>
  <si>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</si>
  <si>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</si>
  <si>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</si>
  <si>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</si>
  <si>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</si>
  <si>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</si>
  <si>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</si>
  <si>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</si>
  <si>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</si>
  <si>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</si>
  <si>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</si>
  <si>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</si>
  <si>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</si>
  <si>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</si>
  <si>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</si>
  <si>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</si>
  <si>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</si>
  <si>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</si>
  <si>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</si>
  <si>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</si>
  <si>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</si>
  <si>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</si>
  <si>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</si>
  <si>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</si>
  <si>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</si>
  <si>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</si>
  <si>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</si>
  <si>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</si>
  <si>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</si>
  <si>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</si>
  <si>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</si>
  <si>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</si>
  <si>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</si>
  <si>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</si>
  <si>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</si>
  <si>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</si>
  <si>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</si>
  <si>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</si>
  <si>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</si>
  <si>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</si>
  <si>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</si>
  <si>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</si>
  <si>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</si>
  <si>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</si>
  <si>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</si>
  <si>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</si>
  <si>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</si>
  <si>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</si>
  <si>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</si>
  <si>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</si>
  <si>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</si>
  <si>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</si>
  <si>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</si>
  <si>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</si>
  <si>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</si>
  <si>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</si>
  <si>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</si>
  <si>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</si>
  <si>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</si>
  <si>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</si>
  <si>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</si>
  <si>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</si>
  <si>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</si>
  <si>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</si>
  <si>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</si>
  <si>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</si>
  <si>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</si>
  <si>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</si>
  <si>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</si>
  <si>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</si>
  <si>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</si>
  <si>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</si>
  <si>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</si>
  <si>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</si>
  <si>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</si>
  <si>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</si>
  <si>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</si>
  <si>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</si>
  <si>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</si>
  <si>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</si>
  <si>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</si>
  <si>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</si>
  <si>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</si>
  <si>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</si>
  <si>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</si>
  <si>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</si>
  <si>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</si>
  <si>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</si>
  <si>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</si>
  <si>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</si>
  <si>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</si>
  <si>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</si>
  <si>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</si>
  <si>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</si>
  <si>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</si>
  <si>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</si>
  <si>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</si>
  <si>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</si>
  <si>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</si>
  <si>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</si>
  <si>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</si>
  <si>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</si>
  <si>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</si>
  <si>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</si>
  <si>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</si>
  <si>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</si>
  <si>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</si>
  <si>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</si>
  <si>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</si>
  <si>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</si>
  <si>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</si>
  <si>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</si>
  <si>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</si>
  <si>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</si>
  <si>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</si>
  <si>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</si>
  <si>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</si>
  <si>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</si>
  <si>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</si>
  <si>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</si>
  <si>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</si>
  <si>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</si>
  <si>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</si>
  <si>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</si>
  <si>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</si>
  <si>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</si>
  <si>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</si>
  <si>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</si>
  <si>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</si>
  <si>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</si>
  <si>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</si>
  <si>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</si>
  <si>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</si>
  <si>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</si>
  <si>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</si>
  <si>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</si>
  <si>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</si>
  <si>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</si>
  <si>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</si>
  <si>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</si>
  <si>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</si>
  <si>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</si>
  <si>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</si>
  <si>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</si>
  <si>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</si>
  <si>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</si>
  <si>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</si>
  <si>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</si>
  <si>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</si>
  <si>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</si>
  <si>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</si>
  <si>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</si>
  <si>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</si>
  <si>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</si>
  <si>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</si>
  <si>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</si>
  <si>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</si>
  <si>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</si>
  <si>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</si>
  <si>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</si>
  <si>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</si>
  <si>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</si>
  <si>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</si>
  <si>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</si>
  <si>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</si>
  <si>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</si>
  <si>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</si>
  <si>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</si>
  <si>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</si>
  <si>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</si>
  <si>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</si>
  <si>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</si>
  <si>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</si>
  <si>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</si>
  <si>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</si>
  <si>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</si>
  <si>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</si>
  <si>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</si>
  <si>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</si>
  <si>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</si>
  <si>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</si>
  <si>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</si>
  <si>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</si>
  <si>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</si>
  <si>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</si>
  <si>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</si>
  <si>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</si>
  <si>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</si>
  <si>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</si>
  <si>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</si>
  <si>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</si>
  <si>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</si>
  <si>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</si>
  <si>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</si>
  <si>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</si>
  <si>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</si>
  <si>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</si>
  <si>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</si>
  <si>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</si>
  <si>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</si>
  <si>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</si>
  <si>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</si>
  <si>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</si>
  <si>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</si>
  <si>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</si>
  <si>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</si>
  <si>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</si>
  <si>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</si>
  <si>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</si>
  <si>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</si>
  <si>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</si>
  <si>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</si>
  <si>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</si>
  <si>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</si>
  <si>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</si>
  <si>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</si>
  <si>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</si>
  <si>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</si>
  <si>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</si>
  <si>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</si>
  <si>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</si>
  <si>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</si>
  <si>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</si>
  <si>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</si>
  <si>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</si>
  <si>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</si>
  <si>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</si>
  <si>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</si>
  <si>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</si>
  <si>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</si>
  <si>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</si>
  <si>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</si>
  <si>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</si>
  <si>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</si>
  <si>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</si>
  <si>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</si>
  <si>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</si>
  <si>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</si>
  <si>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</si>
  <si>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</si>
  <si>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</si>
  <si>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</si>
  <si>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</si>
  <si>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</si>
  <si>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</si>
  <si>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</si>
  <si>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</si>
  <si>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</si>
  <si>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</si>
  <si>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</si>
  <si>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</si>
  <si>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</si>
  <si>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</si>
  <si>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</si>
  <si>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</si>
  <si>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</si>
  <si>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</si>
  <si>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</si>
  <si>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</si>
  <si>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</si>
  <si>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</si>
  <si>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</si>
  <si>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</si>
  <si>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</si>
  <si>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</si>
  <si>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</si>
  <si>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</si>
  <si>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</si>
  <si>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</si>
  <si>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</si>
  <si>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</si>
  <si>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</si>
  <si>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</si>
  <si>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</si>
  <si>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</si>
  <si>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</si>
  <si>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</si>
  <si>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</si>
  <si>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</si>
  <si>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</si>
  <si>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</si>
  <si>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</si>
  <si>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</si>
  <si>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</si>
  <si>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</si>
  <si>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</si>
  <si>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</si>
  <si>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</si>
  <si>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</si>
  <si>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</si>
  <si>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</si>
  <si>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</si>
  <si>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</si>
  <si>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</si>
  <si>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</si>
  <si>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</si>
  <si>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</si>
  <si>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</si>
  <si>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</si>
  <si>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</si>
  <si>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</si>
  <si>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</si>
  <si>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</si>
  <si>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</si>
  <si>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</si>
  <si>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</si>
  <si>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</si>
  <si>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</si>
  <si>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</si>
  <si>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</si>
  <si>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</si>
  <si>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</si>
  <si>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</si>
  <si>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</si>
  <si>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</si>
  <si>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</si>
  <si>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</si>
  <si>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</si>
  <si>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</si>
  <si>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</si>
  <si>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</si>
  <si>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</si>
  <si>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</si>
  <si>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</si>
  <si>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</si>
  <si>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</si>
  <si>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</si>
  <si>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</si>
  <si>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</si>
  <si>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</si>
  <si>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</si>
  <si>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</si>
  <si>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</si>
  <si>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</si>
  <si>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</si>
  <si>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</si>
  <si>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</si>
  <si>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</si>
  <si>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</si>
  <si>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</si>
  <si>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</si>
  <si>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</si>
  <si>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</si>
  <si>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</si>
  <si>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</si>
  <si>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</si>
  <si>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</si>
  <si>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</si>
  <si>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</si>
  <si>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</si>
  <si>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</si>
  <si>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</si>
  <si>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</si>
  <si>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</si>
  <si>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</si>
  <si>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</si>
  <si>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</si>
  <si>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</si>
  <si>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</si>
  <si>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</si>
  <si>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</si>
  <si>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</si>
  <si>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</si>
  <si>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</si>
  <si>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</si>
  <si>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</si>
  <si>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</si>
  <si>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</si>
  <si>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</si>
  <si>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</si>
  <si>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</si>
  <si>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</si>
  <si>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</si>
  <si>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</si>
  <si>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</si>
  <si>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</si>
  <si>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</si>
  <si>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</si>
  <si>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</si>
  <si>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</si>
  <si>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</si>
  <si>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</si>
  <si>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</si>
  <si>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</si>
  <si>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</si>
  <si>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</si>
  <si>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</si>
  <si>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</si>
  <si>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</si>
  <si>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</si>
  <si>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</si>
  <si>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</si>
  <si>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</si>
  <si>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</si>
  <si>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</si>
  <si>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</si>
  <si>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</si>
  <si>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</si>
  <si>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</si>
  <si>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</si>
  <si>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</si>
  <si>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</si>
  <si>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</si>
  <si>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</si>
  <si>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</si>
  <si>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</si>
  <si>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</si>
  <si>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</si>
  <si>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</si>
  <si>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</si>
  <si>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</si>
  <si>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</si>
  <si>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</si>
  <si>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</si>
  <si>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</si>
  <si>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</si>
  <si>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</si>
  <si>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</si>
  <si>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</si>
  <si>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</si>
  <si>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</si>
  <si>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</si>
  <si>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</si>
  <si>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</si>
  <si>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</si>
  <si>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</si>
  <si>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</si>
  <si>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</si>
  <si>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</si>
  <si>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</si>
  <si>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</si>
  <si>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</si>
  <si>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</si>
  <si>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</si>
  <si>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</si>
  <si>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</si>
  <si>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</si>
  <si>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</si>
  <si>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</si>
  <si>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</si>
  <si>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</si>
  <si>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</si>
  <si>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</si>
  <si>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</si>
  <si>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</si>
  <si>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</si>
  <si>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</si>
  <si>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</si>
  <si>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</si>
  <si>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</si>
  <si>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</si>
  <si>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</si>
  <si>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</si>
  <si>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</si>
  <si>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</si>
  <si>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</si>
  <si>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</si>
  <si>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</si>
  <si>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</si>
  <si>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</si>
  <si>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</si>
  <si>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</si>
  <si>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</si>
  <si>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</si>
  <si>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</si>
  <si>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</si>
  <si>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</si>
  <si>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</si>
  <si>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</si>
  <si>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</si>
  <si>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</si>
  <si>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</si>
  <si>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</si>
  <si>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</si>
  <si>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</si>
  <si>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</si>
  <si>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</si>
  <si>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</si>
  <si>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</si>
  <si>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</si>
  <si>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</si>
  <si>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</si>
  <si>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</si>
  <si>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</si>
  <si>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</si>
  <si>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</si>
  <si>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</si>
  <si>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</si>
  <si>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</si>
  <si>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</si>
  <si>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</si>
  <si>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</si>
  <si>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</si>
  <si>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</si>
  <si>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</si>
  <si>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</si>
  <si>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</si>
  <si>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</si>
  <si>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</si>
  <si>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</si>
  <si>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</si>
  <si>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</si>
  <si>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</si>
  <si>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</si>
  <si>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</si>
  <si>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</si>
  <si>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</si>
  <si>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</si>
  <si>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</si>
  <si>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</si>
  <si>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</si>
  <si>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</si>
  <si>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</si>
  <si>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</si>
  <si>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</si>
  <si>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</si>
  <si>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</si>
  <si>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</si>
  <si>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</si>
  <si>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</si>
  <si>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</si>
  <si>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</si>
  <si>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</si>
  <si>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</si>
  <si>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</si>
  <si>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</si>
  <si>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</si>
  <si>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</si>
  <si>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</si>
  <si>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</si>
  <si>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</si>
  <si>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</si>
  <si>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</si>
  <si>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</si>
  <si>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</si>
  <si>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</si>
  <si>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</si>
  <si>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</si>
  <si>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</si>
  <si>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</si>
  <si>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</si>
  <si>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</si>
  <si>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</si>
  <si>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</si>
  <si>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</si>
  <si>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</si>
  <si>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</si>
  <si>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</si>
  <si>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</si>
  <si>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</si>
  <si>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</si>
  <si>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</si>
  <si>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</si>
  <si>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</si>
  <si>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</si>
  <si>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</si>
  <si>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</si>
  <si>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</si>
  <si>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</si>
  <si>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</si>
  <si>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</si>
  <si>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</si>
  <si>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</si>
  <si>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</si>
  <si>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</si>
  <si>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</si>
  <si>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</si>
  <si>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</si>
  <si>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</si>
  <si>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</si>
  <si>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</si>
  <si>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</si>
  <si>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</si>
  <si>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</si>
  <si>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</si>
  <si>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</si>
  <si>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</si>
  <si>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</si>
  <si>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</si>
  <si>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</si>
  <si>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</si>
  <si>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</si>
  <si>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</si>
  <si>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</si>
  <si>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</si>
  <si>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</si>
  <si>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</si>
  <si>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</si>
  <si>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</si>
  <si>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</si>
  <si>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</si>
  <si>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</si>
  <si>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</si>
  <si>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</si>
  <si>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</si>
  <si>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</si>
  <si>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</si>
  <si>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</si>
  <si>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</si>
  <si>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</si>
  <si>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</si>
  <si>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</si>
  <si>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</si>
  <si>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</si>
  <si>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</si>
  <si>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</si>
  <si>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</si>
  <si>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</si>
  <si>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</si>
  <si>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</si>
  <si>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</si>
  <si>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</si>
  <si>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</si>
  <si>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</si>
  <si>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</si>
  <si>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</si>
  <si>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</si>
  <si>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</si>
  <si>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</si>
  <si>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</si>
  <si>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</si>
  <si>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</si>
  <si>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</si>
  <si>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</si>
  <si>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</si>
  <si>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</si>
  <si>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</si>
  <si>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</si>
  <si>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</si>
  <si>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</si>
  <si>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</si>
  <si>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</si>
  <si>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</si>
  <si>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</si>
  <si>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</si>
  <si>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</si>
  <si>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</si>
  <si>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</si>
  <si>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</si>
  <si>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</si>
  <si>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</si>
  <si>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</si>
  <si>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</si>
  <si>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</si>
  <si>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</si>
  <si>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</si>
  <si>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</si>
  <si>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</si>
  <si>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</si>
  <si>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</si>
  <si>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</si>
  <si>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</si>
  <si>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</si>
  <si>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</si>
  <si>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</si>
  <si>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</si>
  <si>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</si>
  <si>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</si>
  <si>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</si>
  <si>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</si>
  <si>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</si>
  <si>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</si>
  <si>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</si>
  <si>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</si>
  <si>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</si>
  <si>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</si>
  <si>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</si>
  <si>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</si>
  <si>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</si>
  <si>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</si>
  <si>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</si>
  <si>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</si>
  <si>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</si>
  <si>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</si>
  <si>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</si>
  <si>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</si>
  <si>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</si>
  <si>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</si>
  <si>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</si>
  <si>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</si>
  <si>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</si>
  <si>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</si>
  <si>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</si>
  <si>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</si>
  <si>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</si>
  <si>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</si>
  <si>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</si>
  <si>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</si>
  <si>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</si>
  <si>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</si>
  <si>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</si>
  <si>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</si>
  <si>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</si>
  <si>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</si>
  <si>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</si>
  <si>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</si>
  <si>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</si>
  <si>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</si>
  <si>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</si>
  <si>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</si>
  <si>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</si>
  <si>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</si>
  <si>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</si>
  <si>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</si>
  <si>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</si>
  <si>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</si>
  <si>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</si>
  <si>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</si>
  <si>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</si>
  <si>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</si>
  <si>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</si>
  <si>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</si>
  <si>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</si>
  <si>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</si>
  <si>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</si>
  <si>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</si>
  <si>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</si>
  <si>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</si>
  <si>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</si>
  <si>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</si>
  <si>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</si>
  <si>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</si>
  <si>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</si>
  <si>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</si>
  <si>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</si>
  <si>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</si>
  <si>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</si>
  <si>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</si>
  <si>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</si>
  <si>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</si>
  <si>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</si>
  <si>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</si>
  <si>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</si>
  <si>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</si>
  <si>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</si>
  <si>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</si>
  <si>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</si>
  <si>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</si>
  <si>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</si>
  <si>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</si>
  <si>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</si>
  <si>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</si>
  <si>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</si>
  <si>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</si>
  <si>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</si>
  <si>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</si>
  <si>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</si>
  <si>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</si>
  <si>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</si>
  <si>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</si>
  <si>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</si>
  <si>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</si>
  <si>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</si>
  <si>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</si>
  <si>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</si>
  <si>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</si>
  <si>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</si>
  <si>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</si>
  <si>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</si>
  <si>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</si>
  <si>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</si>
  <si>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</si>
  <si>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</si>
  <si>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</si>
  <si>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</si>
  <si>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</si>
  <si>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</si>
  <si>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</si>
  <si>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</si>
  <si>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</si>
  <si>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</si>
  <si>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</si>
  <si>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</si>
  <si>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</si>
  <si>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</si>
  <si>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</si>
  <si>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</si>
  <si>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</si>
  <si>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</si>
  <si>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</si>
  <si>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</si>
  <si>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</si>
  <si>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</si>
  <si>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</si>
  <si>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</si>
  <si>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</si>
  <si>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</si>
  <si>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</si>
  <si>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</si>
  <si>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</si>
  <si>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</si>
  <si>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</si>
  <si>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</si>
  <si>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</si>
  <si>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</si>
  <si>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</si>
  <si>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</si>
  <si>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</si>
  <si>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</si>
  <si>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</si>
  <si>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</si>
  <si>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</si>
  <si>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</si>
  <si>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</si>
  <si>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</si>
  <si>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</si>
  <si>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</si>
  <si>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</si>
  <si>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</si>
  <si>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</si>
  <si>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</si>
  <si>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</si>
  <si>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</si>
  <si>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</si>
  <si>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</si>
  <si>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</si>
  <si>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</si>
  <si>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</si>
  <si>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</si>
  <si>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</si>
  <si>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</si>
  <si>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</si>
  <si>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</si>
  <si>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</si>
  <si>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</si>
  <si>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</si>
  <si>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</si>
  <si>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</si>
  <si>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</si>
  <si>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</si>
  <si>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</si>
  <si>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</si>
  <si>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</si>
  <si>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</si>
  <si>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</si>
  <si>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</si>
  <si>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</si>
  <si>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</si>
  <si>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</si>
  <si>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</si>
  <si>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</si>
  <si>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</si>
  <si>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</si>
  <si>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</si>
  <si>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</si>
  <si>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</si>
  <si>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</si>
  <si>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</si>
  <si>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</si>
  <si>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</si>
  <si>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</si>
  <si>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</si>
  <si>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</si>
  <si>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</si>
  <si>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</si>
  <si>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</si>
  <si>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</si>
  <si>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</si>
  <si>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</si>
  <si>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</si>
  <si>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</si>
  <si>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</si>
  <si>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</si>
  <si>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</si>
  <si>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</si>
  <si>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</si>
  <si>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</si>
  <si>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</si>
  <si>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</si>
  <si>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</si>
  <si>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</si>
  <si>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</si>
  <si>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</si>
  <si>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</si>
  <si>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</si>
  <si>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</si>
  <si>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</si>
  <si>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</si>
  <si>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</si>
  <si>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</si>
  <si>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</si>
  <si>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</si>
  <si>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</si>
  <si>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</si>
  <si>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</si>
  <si>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</si>
  <si>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</si>
  <si>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</si>
  <si>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</si>
  <si>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</si>
  <si>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</si>
  <si>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</si>
  <si>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</si>
  <si>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</si>
  <si>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</si>
  <si>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</si>
  <si>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</si>
  <si>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</si>
  <si>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</si>
  <si>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</si>
  <si>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</si>
  <si>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</si>
  <si>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</si>
  <si>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</si>
  <si>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</si>
  <si>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</si>
  <si>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</si>
  <si>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</si>
  <si>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</si>
  <si>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</si>
  <si>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</si>
  <si>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</si>
  <si>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</si>
  <si>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</si>
  <si>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</si>
  <si>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</si>
  <si>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</si>
  <si>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</si>
  <si>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</si>
  <si>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</si>
  <si>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</si>
  <si>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</si>
  <si>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</si>
  <si>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</si>
  <si>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</si>
  <si>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</si>
  <si>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</si>
  <si>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</si>
  <si>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</si>
  <si>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</si>
  <si>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</si>
  <si>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</si>
  <si>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</si>
  <si>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</si>
  <si>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</si>
  <si>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</si>
  <si>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</si>
  <si>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</si>
  <si>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</si>
  <si>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</si>
  <si>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</si>
  <si>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</si>
  <si>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</si>
  <si>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</si>
  <si>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</si>
  <si>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</si>
  <si>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</si>
  <si>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</si>
  <si>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</si>
  <si>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</si>
  <si>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</si>
  <si>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</si>
  <si>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</si>
  <si>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</si>
  <si>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</si>
  <si>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</si>
  <si>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</si>
  <si>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</si>
  <si>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</si>
  <si>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</si>
  <si>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</si>
  <si>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</si>
  <si>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</si>
  <si>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</si>
  <si>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</si>
  <si>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</si>
  <si>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</si>
  <si>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</si>
  <si>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</si>
  <si>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</si>
  <si>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</si>
  <si>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</si>
  <si>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</si>
  <si>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</si>
  <si>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</si>
  <si>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</si>
  <si>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</si>
  <si>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</si>
  <si>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</si>
  <si>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</si>
  <si>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</si>
  <si>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</si>
  <si>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</si>
  <si>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</si>
  <si>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</si>
  <si>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</si>
  <si>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</si>
  <si>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</si>
  <si>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</si>
  <si>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</si>
  <si>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</si>
  <si>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</si>
  <si>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</si>
  <si>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</si>
  <si>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</si>
  <si>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</si>
  <si>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</si>
  <si>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</si>
  <si>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</si>
  <si>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</si>
  <si>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</si>
  <si>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</si>
  <si>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</si>
  <si>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</si>
  <si>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</si>
  <si>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</si>
  <si>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</si>
  <si>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</si>
  <si>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</si>
  <si>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</si>
  <si>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</si>
  <si>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</si>
  <si>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</si>
  <si>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</si>
  <si>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</si>
  <si>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</si>
  <si>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</si>
  <si>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</si>
  <si>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</si>
  <si>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</si>
  <si>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</si>
  <si>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</si>
  <si>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</si>
  <si>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</si>
  <si>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</si>
  <si>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</si>
  <si>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</si>
  <si>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</si>
  <si>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</si>
  <si>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</si>
  <si>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</si>
  <si>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</si>
  <si>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</si>
  <si>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</si>
  <si>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</si>
  <si>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</si>
  <si>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</si>
  <si>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</si>
  <si>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</si>
  <si>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</si>
  <si>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</si>
  <si>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</si>
  <si>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</si>
  <si>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</si>
  <si>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</si>
  <si>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</si>
  <si>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</si>
  <si>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</si>
  <si>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</si>
  <si>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</si>
  <si>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</si>
  <si>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</si>
  <si>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</si>
  <si>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</si>
  <si>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</si>
  <si>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</si>
  <si>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</si>
  <si>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</si>
  <si>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</si>
  <si>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</si>
  <si>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</si>
  <si>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</si>
  <si>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</si>
  <si>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</si>
  <si>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</si>
  <si>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</si>
  <si>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</si>
  <si>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</si>
  <si>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</si>
  <si>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</si>
  <si>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</si>
  <si>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</si>
  <si>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</si>
  <si>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</si>
  <si>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</si>
  <si>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</si>
  <si>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</si>
  <si>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</si>
  <si>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</si>
  <si>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</si>
  <si>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</si>
  <si>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</si>
  <si>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</si>
  <si>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</si>
  <si>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</si>
  <si>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</si>
  <si>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</si>
  <si>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</si>
  <si>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</si>
  <si>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</si>
  <si>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</si>
  <si>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</si>
  <si>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</si>
  <si>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</si>
  <si>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</si>
  <si>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</si>
  <si>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</si>
  <si>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</si>
  <si>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</si>
  <si>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</si>
  <si>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</si>
  <si>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</si>
  <si>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</si>
  <si>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</si>
  <si>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</si>
  <si>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</si>
  <si>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</si>
  <si>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</si>
  <si>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</si>
  <si>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</si>
  <si>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</si>
  <si>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</si>
  <si>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</si>
  <si>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</si>
  <si>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</si>
  <si>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</si>
  <si>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</si>
  <si>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</si>
  <si>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</si>
  <si>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</si>
  <si>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</si>
  <si>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</si>
  <si>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</si>
  <si>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</si>
  <si>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</si>
  <si>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</si>
  <si>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</si>
  <si>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</si>
  <si>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</si>
  <si>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</si>
  <si>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</si>
  <si>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</si>
  <si>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</si>
  <si>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</si>
  <si>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</si>
  <si>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</si>
  <si>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</si>
  <si>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</si>
  <si>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</si>
  <si>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</si>
  <si>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</si>
  <si>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</si>
  <si>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</si>
  <si>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</si>
  <si>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</si>
  <si>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</si>
  <si>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</si>
  <si>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</si>
  <si>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</si>
  <si>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</si>
  <si>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</si>
  <si>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</si>
  <si>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</si>
  <si>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</si>
  <si>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</si>
  <si>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</si>
  <si>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</si>
  <si>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</si>
  <si>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</si>
  <si>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</si>
  <si>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</si>
  <si>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</si>
  <si>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</si>
  <si>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</si>
  <si>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</si>
  <si>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</si>
  <si>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</si>
  <si>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</si>
  <si>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</si>
  <si>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</si>
  <si>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</si>
  <si>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</si>
  <si>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</si>
  <si>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</si>
  <si>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</si>
  <si>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</si>
  <si>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</si>
  <si>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</si>
  <si>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</si>
  <si>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</si>
  <si>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</si>
  <si>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</si>
  <si>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</si>
  <si>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</si>
  <si>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</si>
  <si>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</si>
  <si>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</si>
  <si>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</si>
  <si>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</si>
  <si>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</si>
  <si>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</si>
  <si>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</si>
  <si>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</si>
  <si>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</si>
  <si>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</si>
  <si>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</si>
  <si>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</si>
  <si>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</si>
  <si>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</si>
  <si>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</si>
  <si>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</si>
  <si>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</si>
  <si>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</si>
  <si>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</si>
  <si>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</si>
  <si>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</si>
  <si>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</si>
  <si>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</si>
  <si>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</si>
  <si>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</si>
  <si>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</si>
  <si>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</si>
  <si>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</si>
  <si>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</si>
  <si>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</si>
  <si>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</si>
  <si>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</si>
  <si>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</si>
  <si>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</si>
  <si>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</si>
  <si>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</si>
  <si>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</si>
  <si>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</si>
  <si>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</si>
  <si>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</si>
  <si>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</si>
  <si>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</si>
  <si>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</si>
  <si>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</si>
  <si>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</si>
  <si>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</si>
  <si>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</si>
  <si>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</si>
  <si>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</si>
  <si>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</si>
  <si>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</si>
  <si>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</si>
  <si>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</si>
  <si>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</si>
  <si>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</si>
  <si>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</si>
  <si>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</si>
  <si>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</si>
  <si>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</si>
  <si>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</si>
  <si>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</si>
  <si>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</si>
  <si>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</si>
  <si>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</si>
  <si>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</si>
  <si>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</si>
  <si>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</si>
  <si>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</si>
  <si>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</si>
  <si>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</si>
  <si>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</si>
  <si>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</si>
  <si>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</si>
  <si>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</si>
  <si>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</si>
  <si>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</si>
  <si>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</si>
  <si>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</si>
  <si>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</si>
  <si>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</si>
  <si>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</si>
  <si>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</si>
  <si>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</si>
  <si>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</si>
  <si>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</si>
  <si>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</si>
  <si>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</si>
  <si>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</si>
  <si>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</si>
  <si>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</si>
  <si>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</si>
  <si>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</si>
  <si>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</si>
  <si>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</si>
  <si>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</si>
  <si>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</si>
  <si>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</si>
  <si>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</si>
  <si>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</si>
  <si>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</si>
  <si>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</si>
  <si>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</si>
  <si>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</si>
  <si>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</si>
  <si>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</si>
  <si>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</si>
  <si>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</si>
  <si>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</si>
  <si>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</si>
  <si>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</si>
  <si>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</si>
  <si>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</si>
  <si>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</si>
  <si>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</si>
  <si>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</si>
  <si>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</si>
  <si>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</si>
  <si>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</si>
  <si>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</si>
  <si>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</si>
  <si>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</si>
  <si>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</si>
  <si>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</si>
  <si>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</si>
  <si>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</si>
  <si>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</si>
  <si>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</si>
  <si>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</si>
  <si>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</si>
  <si>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</si>
  <si>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</si>
  <si>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</si>
  <si>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</si>
  <si>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</si>
  <si>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</si>
  <si>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</si>
  <si>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</si>
  <si>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</si>
  <si>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</si>
  <si>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</si>
  <si>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</si>
  <si>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</si>
  <si>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</si>
  <si>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</si>
  <si>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</si>
  <si>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</si>
  <si>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</si>
  <si>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</si>
  <si>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</si>
  <si>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</si>
  <si>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</si>
  <si>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</si>
  <si>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</si>
  <si>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</si>
  <si>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</si>
  <si>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</si>
  <si>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</si>
  <si>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</si>
  <si>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</si>
  <si>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</si>
  <si>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</si>
  <si>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</si>
  <si>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</si>
  <si>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</si>
  <si>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</si>
  <si>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</si>
  <si>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</si>
  <si>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</si>
  <si>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</si>
  <si>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</si>
  <si>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</si>
  <si>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</si>
  <si>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</si>
  <si>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</si>
  <si>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</si>
  <si>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</si>
  <si>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</si>
  <si>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</si>
  <si>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</si>
  <si>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</si>
  <si>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</si>
  <si>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</si>
  <si>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</si>
  <si>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</si>
  <si>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</si>
  <si>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</si>
  <si>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</si>
  <si>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</si>
  <si>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</si>
  <si>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</si>
  <si>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</si>
  <si>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</si>
  <si>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</si>
  <si>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</si>
  <si>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</si>
  <si>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</si>
  <si>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</si>
  <si>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</si>
  <si>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</si>
  <si>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</si>
  <si>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</si>
  <si>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</si>
  <si>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</si>
  <si>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</si>
  <si>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</si>
  <si>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</si>
  <si>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</si>
  <si>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</si>
  <si>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</si>
  <si>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</si>
  <si>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</si>
  <si>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</si>
  <si>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</si>
  <si>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</si>
  <si>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</si>
  <si>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</si>
  <si>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</si>
  <si>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</si>
  <si>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</si>
  <si>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</si>
  <si>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</si>
  <si>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</si>
  <si>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</si>
  <si>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</si>
  <si>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</si>
  <si>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</si>
  <si>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</si>
  <si>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</si>
  <si>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</si>
  <si>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</si>
  <si>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</si>
  <si>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</si>
  <si>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</si>
  <si>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</si>
  <si>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</si>
  <si>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</si>
  <si>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</si>
  <si>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</si>
  <si>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</si>
  <si>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</si>
  <si>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</si>
  <si>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</si>
  <si>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</si>
  <si>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</si>
  <si>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</si>
  <si>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</si>
  <si>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</si>
  <si>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</si>
  <si>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</si>
  <si>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</si>
  <si>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</si>
  <si>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</si>
  <si>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</si>
  <si>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</si>
  <si>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</si>
  <si>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</si>
  <si>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</si>
  <si>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</si>
  <si>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</si>
  <si>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</si>
  <si>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</si>
  <si>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</si>
  <si>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</si>
  <si>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</si>
  <si>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</si>
  <si>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</si>
  <si>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</si>
  <si>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</si>
  <si>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</si>
  <si>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</si>
  <si>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</si>
  <si>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</si>
  <si>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</si>
  <si>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</si>
  <si>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</si>
  <si>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</si>
  <si>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</si>
  <si>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</si>
  <si>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</si>
  <si>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</si>
  <si>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</si>
  <si>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</si>
  <si>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</si>
  <si>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</si>
  <si>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</si>
  <si>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</si>
  <si>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</si>
  <si>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</si>
  <si>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</si>
  <si>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</si>
  <si>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</si>
  <si>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</si>
  <si>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</si>
  <si>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</si>
  <si>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</si>
  <si>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</si>
  <si>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</si>
  <si>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</si>
  <si>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</si>
  <si>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</si>
  <si>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</si>
  <si>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</si>
  <si>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</si>
  <si>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</si>
  <si>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</si>
  <si>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</si>
  <si>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</si>
  <si>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</si>
  <si>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</si>
  <si>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</si>
  <si>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</si>
  <si>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</si>
  <si>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</si>
  <si>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</si>
  <si>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</si>
  <si>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</si>
  <si>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</si>
  <si>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</si>
  <si>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</si>
  <si>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</si>
  <si>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</si>
  <si>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</si>
  <si>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</si>
  <si>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</si>
  <si>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</si>
  <si>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</si>
  <si>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</si>
  <si>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</si>
  <si>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</si>
  <si>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</si>
  <si>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</si>
  <si>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</si>
  <si>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</si>
  <si>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</si>
  <si>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</si>
  <si>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</si>
  <si>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</si>
  <si>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</si>
  <si>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</si>
  <si>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</si>
  <si>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</si>
  <si>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</si>
  <si>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</si>
  <si>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</si>
  <si>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</si>
  <si>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</si>
  <si>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</si>
  <si>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</si>
  <si>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</si>
  <si>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</si>
  <si>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</si>
  <si>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</si>
  <si>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</si>
  <si>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</si>
  <si>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</si>
  <si>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</si>
  <si>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</si>
  <si>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</si>
  <si>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</si>
  <si>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</si>
  <si>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</si>
  <si>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</si>
  <si>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</si>
  <si>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</si>
  <si>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</si>
  <si>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</si>
  <si>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</si>
  <si>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</si>
  <si>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</si>
  <si>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</si>
  <si>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</si>
  <si>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</si>
  <si>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</si>
  <si>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</si>
  <si>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</si>
  <si>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</si>
  <si>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</si>
  <si>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</si>
  <si>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</si>
  <si>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</si>
  <si>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</si>
  <si>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</si>
  <si>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</si>
  <si>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</si>
  <si>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</si>
  <si>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</si>
  <si>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</si>
  <si>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</si>
  <si>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</si>
  <si>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</si>
  <si>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</si>
  <si>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</si>
  <si>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</si>
  <si>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</si>
  <si>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</si>
  <si>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</si>
  <si>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</si>
  <si>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</si>
  <si>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</si>
  <si>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</si>
  <si>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</si>
  <si>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</si>
  <si>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</si>
  <si>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</si>
  <si>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</si>
  <si>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</si>
  <si>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</si>
  <si>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</si>
  <si>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</si>
  <si>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</si>
  <si>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</si>
  <si>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</si>
  <si>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</si>
  <si>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</si>
  <si>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</si>
  <si>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</si>
  <si>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</si>
  <si>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</si>
  <si>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</si>
  <si>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</si>
  <si>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</si>
  <si>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</si>
  <si>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</si>
  <si>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</si>
  <si>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</si>
  <si>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</si>
  <si>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</si>
  <si>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</si>
  <si>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</si>
  <si>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</si>
  <si>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</si>
  <si>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</si>
  <si>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</si>
  <si>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</si>
  <si>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</si>
  <si>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</si>
  <si>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</si>
  <si>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</si>
  <si>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</si>
  <si>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</si>
  <si>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</si>
  <si>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</si>
  <si>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</si>
  <si>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</si>
  <si>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</si>
  <si>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</si>
  <si>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</si>
  <si>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</si>
  <si>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</si>
  <si>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</si>
  <si>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</si>
  <si>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</si>
  <si>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</si>
  <si>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</si>
  <si>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</si>
  <si>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</si>
  <si>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</si>
  <si>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</si>
  <si>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</si>
  <si>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</si>
  <si>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</si>
  <si>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</si>
  <si>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</si>
  <si>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</si>
  <si>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</si>
  <si>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</si>
  <si>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</si>
  <si>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</si>
  <si>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</si>
  <si>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</si>
  <si>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</si>
  <si>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</si>
  <si>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</si>
  <si>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</si>
  <si>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</si>
  <si>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</si>
  <si>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</si>
  <si>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</si>
  <si>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</si>
  <si>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</si>
  <si>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</si>
  <si>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</si>
  <si>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</si>
  <si>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</si>
  <si>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</si>
  <si>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</si>
  <si>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</si>
  <si>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</si>
  <si>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</si>
  <si>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</si>
  <si>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</si>
  <si>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</si>
  <si>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</si>
  <si>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</si>
  <si>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</si>
  <si>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</si>
  <si>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</si>
  <si>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</si>
  <si>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</si>
  <si>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</si>
  <si>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</si>
  <si>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</si>
  <si>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</si>
  <si>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</si>
  <si>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</si>
  <si>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</si>
  <si>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</si>
  <si>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</si>
  <si>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</si>
  <si>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</si>
  <si>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</si>
  <si>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</si>
  <si>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</si>
  <si>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</si>
  <si>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</si>
  <si>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</si>
  <si>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</si>
  <si>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</si>
  <si>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</si>
  <si>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</si>
  <si>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</si>
  <si>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</si>
  <si>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</si>
  <si>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</si>
  <si>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</si>
  <si>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</si>
  <si>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</si>
  <si>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</si>
  <si>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</si>
  <si>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</si>
  <si>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</si>
  <si>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</si>
  <si>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</si>
  <si>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</si>
  <si>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</si>
  <si>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</si>
  <si>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</si>
  <si>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</si>
  <si>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</si>
  <si>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</si>
  <si>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</si>
  <si>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</si>
  <si>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</si>
  <si>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</si>
  <si>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</si>
  <si>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</si>
  <si>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</si>
  <si>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</si>
  <si>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</si>
  <si>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</si>
  <si>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</si>
  <si>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</si>
  <si>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</si>
  <si>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</si>
  <si>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</si>
  <si>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</si>
  <si>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</si>
  <si>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</si>
  <si>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</si>
  <si>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</si>
  <si>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</si>
  <si>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</si>
  <si>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</si>
  <si>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</si>
  <si>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</si>
  <si>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</si>
  <si>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</si>
  <si>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</si>
  <si>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</si>
  <si>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</si>
  <si>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</si>
  <si>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</si>
  <si>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</si>
  <si>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</si>
  <si>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</si>
  <si>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</si>
  <si>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</si>
  <si>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</si>
  <si>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</si>
  <si>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</si>
  <si>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</si>
  <si>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</si>
  <si>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</si>
  <si>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</si>
  <si>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</si>
  <si>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</si>
  <si>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</si>
  <si>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</si>
  <si>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</si>
  <si>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</si>
  <si>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</si>
  <si>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</si>
  <si>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</si>
  <si>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</si>
  <si>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</si>
  <si>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</si>
  <si>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</si>
  <si>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</si>
  <si>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</si>
  <si>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</si>
  <si>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</si>
  <si>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</si>
  <si>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</si>
  <si>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</si>
  <si>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</si>
  <si>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</si>
  <si>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</si>
  <si>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</si>
  <si>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</si>
  <si>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</si>
  <si>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</si>
  <si>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</si>
  <si>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</si>
  <si>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</si>
  <si>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</si>
  <si>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</si>
  <si>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</si>
  <si>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</si>
  <si>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</si>
  <si>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</si>
  <si>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</si>
  <si>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</si>
  <si>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</si>
  <si>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</si>
  <si>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</si>
  <si>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</si>
  <si>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</si>
  <si>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</si>
  <si>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</si>
  <si>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</si>
  <si>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</si>
  <si>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</si>
  <si>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</si>
  <si>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</si>
  <si>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</si>
  <si>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</si>
  <si>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</si>
  <si>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</si>
  <si>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</si>
  <si>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</si>
  <si>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</si>
  <si>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</si>
  <si>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</si>
  <si>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</si>
  <si>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</si>
  <si>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</si>
  <si>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</si>
  <si>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</si>
  <si>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</si>
  <si>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</si>
  <si>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</si>
  <si>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</si>
  <si>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</si>
  <si>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</si>
  <si>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</si>
  <si>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</si>
  <si>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</si>
  <si>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</si>
  <si>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</si>
  <si>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</si>
  <si>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</si>
  <si>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</si>
  <si>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</si>
  <si>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</si>
  <si>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</si>
  <si>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</si>
  <si>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</si>
  <si>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</si>
  <si>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</si>
  <si>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</si>
  <si>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</si>
  <si>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</si>
  <si>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</si>
  <si>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</si>
  <si>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</si>
  <si>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</si>
  <si>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</si>
  <si>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</si>
  <si>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</si>
  <si>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</si>
  <si>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</si>
  <si>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</si>
  <si>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</si>
  <si>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</si>
  <si>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</si>
  <si>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</si>
  <si>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</si>
  <si>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</si>
  <si>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</si>
  <si>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</si>
  <si>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</si>
  <si>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</si>
  <si>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</si>
  <si>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</si>
  <si>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</si>
  <si>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</si>
  <si>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</si>
  <si>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</si>
  <si>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</si>
  <si>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</si>
  <si>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</si>
  <si>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</si>
  <si>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</si>
  <si>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</si>
  <si>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</si>
  <si>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</si>
  <si>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</si>
  <si>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</si>
  <si>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</si>
  <si>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</si>
  <si>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</si>
  <si>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</si>
  <si>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</si>
  <si>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</si>
  <si>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</si>
  <si>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</si>
  <si>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</si>
  <si>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</si>
  <si>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</si>
  <si>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</si>
  <si>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</si>
  <si>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</si>
  <si>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</si>
  <si>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</si>
  <si>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</si>
  <si>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</si>
  <si>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</si>
  <si>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</si>
  <si>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</si>
  <si>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</si>
  <si>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</si>
  <si>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</si>
  <si>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</si>
  <si>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</si>
  <si>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</si>
  <si>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</si>
  <si>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</si>
  <si>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</si>
  <si>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</si>
  <si>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</si>
  <si>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</si>
  <si>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</si>
  <si>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</si>
  <si>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</si>
  <si>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</si>
  <si>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</si>
  <si>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</si>
  <si>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</si>
  <si>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</si>
  <si>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</si>
  <si>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</si>
  <si>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</si>
  <si>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</si>
  <si>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</si>
  <si>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</si>
  <si>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</si>
  <si>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</si>
  <si>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</si>
  <si>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</si>
  <si>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</si>
  <si>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</si>
  <si>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</si>
  <si>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</si>
  <si>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</si>
  <si>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</si>
  <si>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</si>
  <si>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</si>
  <si>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</si>
  <si>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</si>
  <si>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</si>
  <si>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</si>
  <si>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</si>
  <si>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</si>
  <si>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</si>
  <si>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</si>
  <si>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</si>
  <si>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</si>
  <si>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</si>
  <si>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</si>
  <si>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</si>
  <si>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</si>
  <si>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</si>
  <si>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</si>
  <si>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</si>
  <si>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</si>
  <si>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</si>
  <si>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</si>
  <si>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</si>
  <si>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</si>
  <si>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</si>
  <si>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</si>
  <si>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</si>
  <si>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</si>
  <si>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</si>
  <si>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</si>
  <si>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</si>
  <si>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</si>
  <si>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</si>
  <si>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</si>
  <si>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</si>
  <si>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</si>
  <si>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</si>
  <si>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</si>
  <si>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</si>
  <si>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</si>
  <si>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</si>
  <si>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</si>
  <si>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</si>
  <si>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</si>
  <si>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</si>
  <si>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</si>
  <si>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</si>
  <si>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</si>
  <si>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</si>
  <si>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</si>
  <si>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</si>
  <si>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</si>
  <si>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</si>
  <si>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</si>
  <si>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</si>
  <si>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</si>
  <si>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</si>
  <si>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</si>
  <si>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</si>
  <si>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</si>
  <si>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</si>
  <si>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</si>
  <si>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</si>
  <si>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</si>
  <si>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</si>
  <si>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</si>
  <si>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</si>
  <si>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北京通州希尔顿酒店各楼层面积、空间属性一览表</t>
  </si>
  <si>
    <t>序号</t>
  </si>
  <si>
    <t>楼层</t>
  </si>
  <si>
    <t>建筑面积（㎡）</t>
  </si>
  <si>
    <t>使用空间属性</t>
  </si>
  <si>
    <t>备注</t>
  </si>
  <si>
    <t>建筑面积</t>
  </si>
  <si>
    <t>层  次</t>
  </si>
  <si>
    <t>备    注</t>
  </si>
  <si>
    <t>B1</t>
  </si>
  <si>
    <t>大宴会厅、宴会厅前厅、宴会销售部、多功能厅、多功能厅前厅、会议室、董事长会议室、贵宾房、新娘房、衣帽寄存间、公共卫生间、厨房及服务区域、通道区域、设备用房</t>
  </si>
  <si>
    <t>酒店公共区域</t>
  </si>
  <si>
    <t>-4</t>
  </si>
  <si>
    <t/>
  </si>
  <si>
    <t>M</t>
  </si>
  <si>
    <t>2602（一区）</t>
  </si>
  <si>
    <t>员工宿舍、员工餐厅、员工休息室、对内厨房、内部办公区域及维修间、各类库房、高温冷库、花房、污衣收集间、预洗间、通道区域、卸料平台、设备用房</t>
  </si>
  <si>
    <t>后勤区域</t>
  </si>
  <si>
    <t>-3</t>
  </si>
  <si>
    <t>2075（二区）</t>
  </si>
  <si>
    <t>员工宿舍、更衣室及淋浴房及卫生间、内部办公区域及培训室、员工制服发放室、值班室、布草间、污布草间、洗衣房、各类仓库、通道区域、设备用房</t>
  </si>
  <si>
    <t>-2</t>
  </si>
  <si>
    <t>大堂、特色餐厅、宴会厅前厅、宴会会议室、寄存室、名品商店、公共卫生间、内部办公区域、厨房及服务区域、通道区域、设备用房</t>
  </si>
  <si>
    <t>-1</t>
  </si>
  <si>
    <t>全日式餐厅、休息区、公共卫生间、厨房及服务区域、通道区域、设备用房</t>
  </si>
  <si>
    <t>01</t>
  </si>
  <si>
    <t>地上</t>
  </si>
  <si>
    <t>室内泳池、更衣室及淋浴房及卫生间、桑拿房、湿蒸房、儿童会所、健身房、瑜伽房、服务区域、通道区域、设备用房</t>
  </si>
  <si>
    <t>02</t>
  </si>
  <si>
    <t>中餐包房（带备餐间及卫生间）、中餐大包房（带备餐间及卫生间）、中餐散座区域（带卫生间）、厨房及服务区域、通道区域、设备用房</t>
  </si>
  <si>
    <t>03</t>
  </si>
  <si>
    <t>5~12</t>
  </si>
  <si>
    <t>/</t>
  </si>
  <si>
    <t>非酒店区域</t>
  </si>
  <si>
    <t>04</t>
  </si>
  <si>
    <t>大床房、双床房、连通房、转角房、普通套房、总经理公寓、服务区域、通道、设备用房</t>
  </si>
  <si>
    <t>酒店客房楼层</t>
  </si>
  <si>
    <t>05</t>
  </si>
  <si>
    <t>15~16</t>
  </si>
  <si>
    <t>大床房、双床房、转角房、连通房、残疾人房、普通套房、服务区域、通道区域、设备用房</t>
  </si>
  <si>
    <t>06</t>
  </si>
  <si>
    <t>17~24</t>
  </si>
  <si>
    <t>大床房、双床房、转角房、连通房、普通套房、服务区域、通道区域、设备用房</t>
  </si>
  <si>
    <t>07</t>
  </si>
  <si>
    <t>25~27</t>
  </si>
  <si>
    <t>行政大床房、行政双床房、行政转角房、行政套房、服务区域、通道区域、设备用房</t>
  </si>
  <si>
    <t>酒店客房行政楼层</t>
  </si>
  <si>
    <t>08</t>
  </si>
  <si>
    <t>行政大床房、行政双床房、行政转角房、行政套房、行政酒廊、服务区域、通道区域、设备用房</t>
  </si>
  <si>
    <t>09</t>
  </si>
  <si>
    <t>行政大床房、行政双床房、行政转角房、行政套房、豪华套房、总统套房、服务区域、通道区域、设备用房</t>
  </si>
  <si>
    <t>10</t>
  </si>
  <si>
    <t>11</t>
  </si>
  <si>
    <t>12</t>
  </si>
  <si>
    <t>13</t>
  </si>
  <si>
    <t>14</t>
  </si>
  <si>
    <t>15</t>
  </si>
  <si>
    <t>16</t>
  </si>
  <si>
    <t>17</t>
  </si>
  <si>
    <t>18</t>
  </si>
  <si>
    <t>19</t>
  </si>
  <si>
    <t>20</t>
  </si>
  <si>
    <t>21</t>
  </si>
  <si>
    <t>22</t>
  </si>
  <si>
    <t>23</t>
  </si>
  <si>
    <t>24</t>
  </si>
  <si>
    <t>25</t>
  </si>
  <si>
    <t>26</t>
  </si>
  <si>
    <t>27</t>
  </si>
  <si>
    <t>28</t>
  </si>
  <si>
    <t>29</t>
  </si>
  <si>
    <t>附属机房层1</t>
  </si>
  <si>
    <t>抵押</t>
  </si>
  <si>
    <t>房地产抵押价值</t>
  </si>
  <si>
    <t>北京市</t>
  </si>
  <si>
    <t>企业</t>
  </si>
  <si>
    <t>Ⅳ-通1</t>
  </si>
  <si>
    <t>是</t>
  </si>
  <si>
    <t>酒店</t>
  </si>
  <si>
    <t>地下</t>
  </si>
  <si>
    <t>酒店</t>
    <phoneticPr fontId="7" type="noConversion"/>
  </si>
  <si>
    <t>成新度</t>
  </si>
  <si>
    <t>新华街道</t>
    <phoneticPr fontId="3" type="noConversion"/>
  </si>
  <si>
    <t>自定义容积率</t>
  </si>
  <si>
    <t>新华大街</t>
  </si>
  <si>
    <t>与级别开发程度不一致</t>
  </si>
  <si>
    <t>通路</t>
  </si>
  <si>
    <t>通电</t>
  </si>
  <si>
    <t>通讯</t>
  </si>
  <si>
    <t>通上水</t>
  </si>
  <si>
    <t>通下水</t>
  </si>
  <si>
    <t>燃气</t>
  </si>
  <si>
    <t>平整</t>
  </si>
  <si>
    <t>中心城区以外</t>
  </si>
  <si>
    <t>较好</t>
  </si>
  <si>
    <t>一般</t>
  </si>
  <si>
    <t>好</t>
  </si>
  <si>
    <t>未包含在土地购买价格中</t>
  </si>
  <si>
    <t>全部缴纳</t>
  </si>
  <si>
    <t>已包含在土地取得成本中</t>
  </si>
  <si>
    <t>主体</t>
    <phoneticPr fontId="3" type="noConversion"/>
  </si>
  <si>
    <t>地上</t>
    <phoneticPr fontId="3" type="noConversion"/>
  </si>
  <si>
    <t>地下</t>
    <phoneticPr fontId="3" type="noConversion"/>
  </si>
  <si>
    <t>装修</t>
    <phoneticPr fontId="3" type="noConversion"/>
  </si>
  <si>
    <t>设备</t>
    <phoneticPr fontId="3" type="noConversion"/>
  </si>
  <si>
    <t>外部</t>
    <phoneticPr fontId="3" type="noConversion"/>
  </si>
  <si>
    <t>钢混</t>
  </si>
  <si>
    <t>非生产用房</t>
  </si>
  <si>
    <t>否</t>
  </si>
  <si>
    <t>酒店经营性物业明细统计表</t>
  </si>
  <si>
    <t>统计时间区间：自价值时点所在月起前一年</t>
  </si>
  <si>
    <t>客房</t>
  </si>
  <si>
    <t>房型</t>
  </si>
  <si>
    <t>挂牌价格(元/天)</t>
  </si>
  <si>
    <t>房间数量</t>
  </si>
  <si>
    <t>折扣率（%）</t>
  </si>
  <si>
    <t>均入住率/天</t>
  </si>
  <si>
    <t>希尔顿客房-大床间</t>
  </si>
  <si>
    <t>希尔顿客房-双床间</t>
  </si>
  <si>
    <t>豪华客房-大床间</t>
  </si>
  <si>
    <t>豪华客房-双床间</t>
  </si>
  <si>
    <t>至尊豪华客房</t>
  </si>
  <si>
    <t>行政客房-大床间</t>
  </si>
  <si>
    <t>行政客房-双床间</t>
  </si>
  <si>
    <t>豪华套房</t>
  </si>
  <si>
    <t>大使套房</t>
  </si>
  <si>
    <t>总统套房</t>
  </si>
  <si>
    <t>无障碍客房</t>
  </si>
  <si>
    <t>合计</t>
  </si>
  <si>
    <t>会议</t>
  </si>
  <si>
    <t>会议室名称</t>
  </si>
  <si>
    <t>容纳人数
（课桌式）</t>
  </si>
  <si>
    <t>均使用率（天/月）</t>
  </si>
  <si>
    <t>平米数</t>
  </si>
  <si>
    <t>大宴会厅</t>
  </si>
  <si>
    <t>多功能厅1+2+3</t>
  </si>
  <si>
    <t>会议室1+2</t>
  </si>
  <si>
    <t>会议室3</t>
  </si>
  <si>
    <t>通州厅</t>
  </si>
  <si>
    <t>董事会议室1</t>
  </si>
  <si>
    <t>董事会议室2</t>
  </si>
  <si>
    <t>贵宾室</t>
  </si>
  <si>
    <t>餐饮</t>
  </si>
  <si>
    <t>餐饮类型</t>
  </si>
  <si>
    <t>座位数/包间数</t>
  </si>
  <si>
    <t>日均接待人数/日均使用包厢数量</t>
  </si>
  <si>
    <t>人均餐饮消费金额/包间均消费金额(元)</t>
  </si>
  <si>
    <t>散座入座率
或包间使用率/天</t>
  </si>
  <si>
    <t>大堂吧</t>
  </si>
  <si>
    <t>京味全日餐厅</t>
  </si>
  <si>
    <t>青雅中餐厅</t>
  </si>
  <si>
    <t>168（11)</t>
  </si>
  <si>
    <t>康体娱乐休闲等（万元）</t>
  </si>
  <si>
    <t>项目分类</t>
  </si>
  <si>
    <t>2023年收入</t>
  </si>
  <si>
    <t>2024年收入</t>
  </si>
  <si>
    <t>2025年收入（1月至价值时点前月）</t>
  </si>
  <si>
    <t>KTV</t>
  </si>
  <si>
    <t>足疗</t>
  </si>
  <si>
    <t>洗浴</t>
  </si>
  <si>
    <t>健身房</t>
  </si>
  <si>
    <t>店铺出租</t>
  </si>
  <si>
    <t>剧场</t>
  </si>
  <si>
    <t>说明：表格中已填内容为示例，请委托方据实填写并可根据实际情况删减增加行。</t>
  </si>
  <si>
    <t>酒店营业收入及经营成本统计明细表</t>
  </si>
  <si>
    <t>年  度</t>
  </si>
  <si>
    <t>2022年</t>
  </si>
  <si>
    <t>2023年</t>
  </si>
  <si>
    <t>2024年</t>
  </si>
  <si>
    <t>2025年1月-价值时点前月</t>
  </si>
  <si>
    <t>项目大类</t>
  </si>
  <si>
    <t>项目小类</t>
  </si>
  <si>
    <t>营业收入总计</t>
  </si>
  <si>
    <t>住宿
营业收入</t>
  </si>
  <si>
    <t>酒店客房</t>
  </si>
  <si>
    <t>金额</t>
  </si>
  <si>
    <t>比重</t>
  </si>
  <si>
    <t>餐饮
营业收入</t>
  </si>
  <si>
    <t>中餐</t>
  </si>
  <si>
    <t>西餐</t>
  </si>
  <si>
    <t>送餐</t>
  </si>
  <si>
    <t>京巷</t>
  </si>
  <si>
    <t>餐饮其他</t>
  </si>
  <si>
    <t>迷你吧</t>
  </si>
  <si>
    <t>小计</t>
  </si>
  <si>
    <t>康体、休闲、娱乐、体育营业收入</t>
  </si>
  <si>
    <t>会议营业收入</t>
  </si>
  <si>
    <t>其他
营业收入</t>
  </si>
  <si>
    <t>其他收入</t>
  </si>
  <si>
    <t>营业成本</t>
  </si>
  <si>
    <t>占营业收入比重</t>
  </si>
  <si>
    <t>销售费用</t>
  </si>
  <si>
    <t>管理费用</t>
  </si>
  <si>
    <t>成本法</t>
  </si>
  <si>
    <t>收益法-酒店模型</t>
  </si>
  <si>
    <t>总价</t>
  </si>
  <si>
    <t>成本比率</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</si>
  <si>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</si>
  <si>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</si>
  <si>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</si>
  <si>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</si>
  <si>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</si>
  <si>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</si>
  <si>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</si>
  <si>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</si>
  <si>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</si>
  <si>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</si>
  <si>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</si>
  <si>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</si>
  <si>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</si>
  <si>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</si>
  <si>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</si>
  <si>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</si>
  <si>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</si>
  <si>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</si>
  <si>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北京城市副中心站综合交通枢纽地区 FZX-0101-03单元FZX-0101-0306、 0307(2)、0309地块 F3其他类多功能用地</t>
  </si>
  <si>
    <t>京土储挂(通)[2025]008号</t>
  </si>
  <si>
    <t>商业/办公用地</t>
  </si>
  <si>
    <t>F3其他类多功能用地</t>
  </si>
  <si>
    <t>商业40 年,办公50 年</t>
  </si>
  <si>
    <t>0306:1.4, 0307(2):2.6,0309:7.5</t>
  </si>
  <si>
    <t>挂牌</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</si>
  <si>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</si>
  <si>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</si>
  <si>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</si>
  <si>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</si>
  <si>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</si>
  <si>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</si>
  <si>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</si>
  <si>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</si>
  <si>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</si>
  <si>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</si>
  <si>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</si>
  <si>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</si>
  <si>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</si>
  <si>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</si>
  <si>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</si>
  <si>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</si>
  <si>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</si>
  <si>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</si>
  <si>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</si>
  <si>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</si>
  <si>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</si>
  <si>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</si>
  <si>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</si>
  <si>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</si>
  <si>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</si>
  <si>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</si>
  <si>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</si>
  <si>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</si>
  <si>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</si>
  <si>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</si>
  <si>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</si>
  <si>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</si>
  <si>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</si>
  <si>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</si>
  <si>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</si>
  <si>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</si>
  <si>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</si>
  <si>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</si>
  <si>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</si>
  <si>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F3 其他类多功能用地</t>
  </si>
  <si>
    <t>居住70年、商业40年、办公50年</t>
  </si>
  <si>
    <t>0146容积率3.82、0148容积率2.75</t>
  </si>
  <si>
    <t>2023-07-07</t>
  </si>
  <si>
    <t>北京市通州区永顺镇0401街区 46号地块(西马庄收储) B4综合性商业金融服务业用地</t>
  </si>
  <si>
    <t>京土储挂(通)〔2023〕004号</t>
  </si>
  <si>
    <t>B4综合性商业金融服务业用地</t>
  </si>
  <si>
    <t>商业 40 年、办公 50 年</t>
  </si>
  <si>
    <t>≤2.8</t>
  </si>
  <si>
    <t>2023-04-14</t>
  </si>
  <si>
    <t>北京易创通景信息科技有限公司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</si>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</sst>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_-* #,##0.00_-;\-* #,##0.00_-;_-* &quot;-&quot;??_-;_-@_-"/>
    <numFmt numFmtId="198" formatCode="_(* #,##0.00_);_(* \(#,##0.00\);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3"/>
      <color theme="1"/>
      <name val="宋体"/>
      <family val="3"/>
      <charset val="134"/>
      <scheme val="minor"/>
    </font>
    <font>
      <sz val="11"/>
      <color rgb="FF000000"/>
      <name val="宋体"/>
      <family val="3"/>
      <charset val="134"/>
    </font>
    <font>
      <b/>
      <sz val="11"/>
      <color rgb="FF000000"/>
      <name val="宋体"/>
      <family val="3"/>
      <charset val="134"/>
    </font>
    <font>
      <b/>
      <sz val="9"/>
      <name val="宋体"/>
      <family val="3"/>
      <charset val="134"/>
    </font>
    <font>
      <sz val="12"/>
      <color theme="1"/>
      <name val="宋体"/>
      <family val="2"/>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protection locked="0"/>
    </xf>
    <xf numFmtId="179" fontId="128" fillId="0" borderId="0">
      <alignment vertical="top"/>
      <protection locked="0"/>
    </xf>
    <xf numFmtId="9" fontId="128" fillId="0" borderId="0">
      <alignment vertical="top"/>
      <protection locked="0"/>
    </xf>
    <xf numFmtId="179" fontId="128" fillId="0" borderId="0">
      <alignment vertical="top"/>
      <protection locked="0"/>
    </xf>
    <xf numFmtId="0" fontId="180" fillId="0" borderId="0">
      <protection locked="0"/>
    </xf>
    <xf numFmtId="197" fontId="94" fillId="0" borderId="0" applyFont="0" applyFill="0" applyBorder="0" applyAlignment="0" applyProtection="0">
      <alignment vertical="center"/>
    </xf>
    <xf numFmtId="0" fontId="275" fillId="0" borderId="0"/>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10" applyFont="1" applyAlignment="1">
      <alignment horizontal="center" vertical="center" wrapText="1"/>
    </xf>
    <xf numFmtId="0" fontId="95" fillId="0" borderId="0" xfId="10">
      <alignment vertical="center"/>
    </xf>
    <xf numFmtId="0" fontId="95" fillId="0" borderId="1" xfId="10" applyBorder="1" applyAlignment="1">
      <alignment horizontal="center" vertical="center" wrapText="1"/>
    </xf>
    <xf numFmtId="0" fontId="95" fillId="0" borderId="58" xfId="10" applyBorder="1" applyAlignment="1">
      <alignment horizontal="center" vertical="center" wrapText="1"/>
    </xf>
    <xf numFmtId="0" fontId="95" fillId="0" borderId="0" xfId="10" applyAlignment="1">
      <alignment horizontal="center" vertical="center"/>
    </xf>
    <xf numFmtId="0" fontId="95" fillId="0" borderId="1" xfId="10" applyBorder="1" applyAlignment="1">
      <alignment vertical="center" wrapText="1"/>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189" fillId="0" borderId="0" xfId="19" applyFont="1" applyAlignment="1" applyProtection="1">
      <alignment horizontal="center" vertical="center" wrapText="1"/>
    </xf>
    <xf numFmtId="0" fontId="272" fillId="0" borderId="0" xfId="19" applyAlignment="1" applyProtection="1">
      <alignment vertical="center" wrapText="1"/>
    </xf>
    <xf numFmtId="196" fontId="128" fillId="0" borderId="0" xfId="20" applyNumberFormat="1" applyAlignment="1" applyProtection="1">
      <alignment vertical="center" wrapText="1"/>
    </xf>
    <xf numFmtId="0" fontId="123" fillId="0" borderId="47" xfId="19" applyFont="1" applyBorder="1" applyAlignment="1" applyProtection="1">
      <alignment horizontal="left" vertical="center" wrapText="1"/>
    </xf>
    <xf numFmtId="0" fontId="273" fillId="0" borderId="6" xfId="19" applyFont="1" applyBorder="1" applyAlignment="1" applyProtection="1">
      <alignment horizontal="center" vertical="center" wrapText="1"/>
    </xf>
    <xf numFmtId="0" fontId="185" fillId="0" borderId="9" xfId="19" applyFont="1" applyBorder="1" applyAlignment="1" applyProtection="1">
      <alignment horizontal="center" vertical="center" wrapText="1"/>
    </xf>
    <xf numFmtId="0" fontId="0" fillId="0" borderId="9" xfId="19" applyFont="1" applyBorder="1" applyAlignment="1" applyProtection="1">
      <alignment vertical="center" wrapText="1"/>
    </xf>
    <xf numFmtId="0" fontId="0" fillId="0" borderId="10" xfId="19" applyFont="1" applyBorder="1" applyAlignment="1" applyProtection="1">
      <alignment vertical="center" wrapText="1"/>
    </xf>
    <xf numFmtId="0" fontId="272" fillId="0" borderId="0" xfId="19" applyAlignment="1" applyProtection="1">
      <alignment horizontal="center" vertical="center" wrapText="1"/>
    </xf>
    <xf numFmtId="0" fontId="273" fillId="0" borderId="23" xfId="19" applyFont="1" applyBorder="1" applyAlignment="1" applyProtection="1">
      <alignment horizontal="center" vertical="center" wrapText="1"/>
    </xf>
    <xf numFmtId="0" fontId="146" fillId="0" borderId="1" xfId="19" applyFont="1" applyBorder="1" applyAlignment="1" applyProtection="1">
      <alignment horizontal="center" vertical="center" wrapText="1"/>
    </xf>
    <xf numFmtId="0" fontId="146" fillId="0" borderId="24" xfId="19" applyFont="1" applyBorder="1" applyAlignment="1" applyProtection="1">
      <alignment horizontal="center" vertical="center" wrapText="1"/>
    </xf>
    <xf numFmtId="0" fontId="0" fillId="0" borderId="1" xfId="19" applyFont="1" applyBorder="1" applyAlignment="1" applyProtection="1">
      <alignment horizontal="center" vertical="center" wrapText="1"/>
    </xf>
    <xf numFmtId="0" fontId="272" fillId="0" borderId="1" xfId="19" applyBorder="1" applyAlignment="1" applyProtection="1">
      <alignment horizontal="center" vertical="center" wrapText="1"/>
    </xf>
    <xf numFmtId="181" fontId="128" fillId="0" borderId="1" xfId="21" applyNumberFormat="1" applyBorder="1" applyAlignment="1" applyProtection="1">
      <alignment horizontal="center" vertical="center" wrapText="1"/>
    </xf>
    <xf numFmtId="181" fontId="128" fillId="0" borderId="24" xfId="21" applyNumberFormat="1" applyBorder="1" applyAlignment="1" applyProtection="1">
      <alignment horizontal="center" vertical="center" wrapText="1"/>
    </xf>
    <xf numFmtId="179" fontId="128" fillId="0" borderId="0" xfId="19" applyNumberFormat="1" applyFont="1" applyAlignment="1" applyProtection="1">
      <alignment vertical="center" wrapText="1"/>
    </xf>
    <xf numFmtId="179" fontId="272" fillId="0" borderId="0" xfId="19" applyNumberFormat="1" applyAlignment="1" applyProtection="1">
      <alignment vertical="center" wrapText="1"/>
    </xf>
    <xf numFmtId="0" fontId="273" fillId="0" borderId="25" xfId="19" applyFont="1" applyBorder="1" applyAlignment="1" applyProtection="1">
      <alignment horizontal="center" vertical="center" wrapText="1"/>
    </xf>
    <xf numFmtId="0" fontId="273" fillId="0" borderId="32" xfId="19" applyFont="1" applyBorder="1" applyAlignment="1" applyProtection="1">
      <alignment horizontal="center" vertical="center" wrapText="1"/>
    </xf>
    <xf numFmtId="0" fontId="273" fillId="0" borderId="49" xfId="19" applyFont="1" applyBorder="1" applyAlignment="1" applyProtection="1">
      <alignment horizontal="center" vertical="center" wrapText="1"/>
    </xf>
    <xf numFmtId="0" fontId="185" fillId="0" borderId="10" xfId="19" applyFont="1" applyBorder="1" applyAlignment="1" applyProtection="1">
      <alignment horizontal="center" vertical="center" wrapText="1"/>
    </xf>
    <xf numFmtId="0" fontId="0" fillId="0" borderId="0" xfId="19" applyFont="1" applyAlignment="1" applyProtection="1">
      <alignment horizontal="center" vertical="center" wrapText="1"/>
    </xf>
    <xf numFmtId="0" fontId="128" fillId="0" borderId="0" xfId="19" applyFont="1" applyAlignment="1" applyProtection="1">
      <alignment horizontal="center" vertical="center" wrapText="1"/>
    </xf>
    <xf numFmtId="9" fontId="128" fillId="0" borderId="1" xfId="21" applyBorder="1" applyAlignment="1" applyProtection="1">
      <alignment horizontal="center" vertical="center" wrapText="1"/>
    </xf>
    <xf numFmtId="0" fontId="272" fillId="0" borderId="24" xfId="19" applyBorder="1" applyAlignment="1" applyProtection="1">
      <alignment horizontal="center" vertical="center" wrapText="1"/>
    </xf>
    <xf numFmtId="9" fontId="146" fillId="0" borderId="32" xfId="21" applyFont="1" applyBorder="1" applyAlignment="1" applyProtection="1">
      <alignment horizontal="center" vertical="center" wrapText="1"/>
    </xf>
    <xf numFmtId="9" fontId="272" fillId="0" borderId="24" xfId="19" applyNumberFormat="1" applyBorder="1" applyAlignment="1" applyProtection="1">
      <alignment horizontal="center" vertical="center" wrapText="1"/>
    </xf>
    <xf numFmtId="9" fontId="273" fillId="0" borderId="49" xfId="19" applyNumberFormat="1" applyFont="1" applyBorder="1" applyAlignment="1" applyProtection="1">
      <alignment horizontal="center" vertical="center" wrapText="1"/>
    </xf>
    <xf numFmtId="0" fontId="146" fillId="0" borderId="1" xfId="19" applyFont="1" applyBorder="1" applyAlignment="1" applyProtection="1">
      <alignment horizontal="center" vertical="center" wrapText="1"/>
    </xf>
    <xf numFmtId="0" fontId="146" fillId="0" borderId="24" xfId="19" applyFont="1" applyBorder="1" applyAlignment="1" applyProtection="1">
      <alignment horizontal="center" vertical="center" wrapText="1"/>
    </xf>
    <xf numFmtId="0" fontId="128" fillId="0" borderId="1" xfId="19" applyFont="1" applyBorder="1" applyAlignment="1" applyProtection="1">
      <alignment horizontal="center" vertical="center" wrapText="1"/>
    </xf>
    <xf numFmtId="0" fontId="128" fillId="0" borderId="1" xfId="19" applyFont="1" applyBorder="1" applyAlignment="1" applyProtection="1">
      <alignment horizontal="center" vertical="center" wrapText="1"/>
    </xf>
    <xf numFmtId="0" fontId="128" fillId="0" borderId="24" xfId="19" applyFont="1" applyBorder="1" applyAlignment="1" applyProtection="1">
      <alignment horizontal="center" vertical="center" wrapText="1"/>
    </xf>
    <xf numFmtId="0" fontId="128" fillId="0" borderId="0" xfId="19" applyFont="1" applyAlignment="1" applyProtection="1">
      <alignment vertical="center" wrapText="1"/>
    </xf>
    <xf numFmtId="0" fontId="146" fillId="0" borderId="32" xfId="19" applyFont="1" applyBorder="1" applyAlignment="1" applyProtection="1">
      <alignment horizontal="center" vertical="center" wrapText="1"/>
    </xf>
    <xf numFmtId="0" fontId="146" fillId="0" borderId="32" xfId="19" applyFont="1" applyBorder="1" applyAlignment="1" applyProtection="1">
      <alignment horizontal="center" vertical="center" wrapText="1"/>
    </xf>
    <xf numFmtId="0" fontId="146" fillId="0" borderId="49" xfId="19" applyFont="1" applyBorder="1" applyAlignment="1" applyProtection="1">
      <alignment horizontal="center" vertical="center" wrapText="1"/>
    </xf>
    <xf numFmtId="0" fontId="128" fillId="0" borderId="0" xfId="19" applyFont="1" applyAlignment="1" applyProtection="1">
      <alignment horizontal="left" vertical="center" wrapText="1"/>
    </xf>
    <xf numFmtId="0" fontId="0" fillId="0" borderId="0" xfId="19" applyFont="1" applyAlignment="1" applyProtection="1">
      <alignment vertical="center" wrapText="1"/>
    </xf>
    <xf numFmtId="196" fontId="128" fillId="0" borderId="0" xfId="22" applyNumberFormat="1" applyAlignment="1" applyProtection="1">
      <alignment vertical="center" wrapText="1"/>
    </xf>
    <xf numFmtId="0" fontId="185" fillId="0" borderId="6" xfId="23" applyFont="1" applyBorder="1" applyAlignment="1" applyProtection="1">
      <alignment horizontal="center" vertical="center" wrapText="1"/>
    </xf>
    <xf numFmtId="0" fontId="185" fillId="0" borderId="9" xfId="23" applyFont="1" applyBorder="1" applyAlignment="1" applyProtection="1">
      <alignment horizontal="center" vertical="center" wrapText="1"/>
    </xf>
    <xf numFmtId="0" fontId="185" fillId="0" borderId="9" xfId="23" applyFont="1" applyBorder="1" applyAlignment="1" applyProtection="1">
      <alignment horizontal="center" vertical="center" wrapText="1"/>
    </xf>
    <xf numFmtId="0" fontId="185" fillId="0" borderId="10" xfId="23" applyFont="1" applyBorder="1" applyAlignment="1" applyProtection="1">
      <alignment horizontal="center" vertical="center" wrapText="1"/>
    </xf>
    <xf numFmtId="0" fontId="273" fillId="0" borderId="0" xfId="23" applyFont="1" applyAlignment="1" applyProtection="1">
      <alignment vertical="center" wrapText="1"/>
    </xf>
    <xf numFmtId="0" fontId="185" fillId="0" borderId="11" xfId="23" applyFont="1" applyBorder="1" applyAlignment="1" applyProtection="1">
      <alignment horizontal="center" vertical="center" wrapText="1"/>
    </xf>
    <xf numFmtId="0" fontId="185" fillId="0" borderId="13" xfId="23" applyFont="1" applyBorder="1" applyAlignment="1" applyProtection="1">
      <alignment horizontal="center" vertical="center" wrapText="1"/>
    </xf>
    <xf numFmtId="197" fontId="0" fillId="0" borderId="13" xfId="24" applyFont="1" applyFill="1" applyBorder="1" applyAlignment="1" applyProtection="1">
      <alignment horizontal="center" vertical="center" wrapText="1"/>
    </xf>
    <xf numFmtId="197" fontId="0" fillId="0" borderId="61" xfId="24" applyFont="1" applyFill="1" applyBorder="1" applyAlignment="1" applyProtection="1">
      <alignment horizontal="center" vertical="center" wrapText="1"/>
    </xf>
    <xf numFmtId="0" fontId="272" fillId="0" borderId="0" xfId="23" applyFont="1" applyAlignment="1" applyProtection="1">
      <alignment vertical="center" wrapText="1"/>
    </xf>
    <xf numFmtId="0" fontId="185" fillId="0" borderId="23" xfId="23" applyFont="1" applyBorder="1" applyAlignment="1" applyProtection="1">
      <alignment horizontal="center" vertical="center" wrapText="1"/>
    </xf>
    <xf numFmtId="0" fontId="0" fillId="0" borderId="1" xfId="23" applyFont="1" applyBorder="1" applyAlignment="1" applyProtection="1">
      <alignment horizontal="center" vertical="center" wrapText="1"/>
    </xf>
    <xf numFmtId="0" fontId="0" fillId="0" borderId="1" xfId="23" applyFont="1" applyBorder="1" applyAlignment="1" applyProtection="1">
      <alignment horizontal="center" vertical="center" wrapText="1"/>
    </xf>
    <xf numFmtId="197" fontId="0" fillId="0" borderId="1" xfId="24" applyFont="1" applyFill="1" applyBorder="1" applyAlignment="1" applyProtection="1">
      <alignment horizontal="center" vertical="center" wrapText="1"/>
    </xf>
    <xf numFmtId="197" fontId="0" fillId="0" borderId="24" xfId="24" applyFont="1" applyFill="1" applyBorder="1" applyAlignment="1" applyProtection="1">
      <alignment horizontal="center" vertical="center" wrapText="1"/>
    </xf>
    <xf numFmtId="0" fontId="185" fillId="0" borderId="25" xfId="23" applyFont="1" applyBorder="1" applyAlignment="1" applyProtection="1">
      <alignment horizontal="center" vertical="center" wrapText="1"/>
    </xf>
    <xf numFmtId="0" fontId="0" fillId="0" borderId="32" xfId="23" applyFont="1" applyBorder="1" applyAlignment="1" applyProtection="1">
      <alignment horizontal="center" vertical="center" wrapText="1"/>
    </xf>
    <xf numFmtId="10" fontId="0" fillId="0" borderId="32" xfId="23" applyNumberFormat="1" applyFont="1" applyBorder="1" applyAlignment="1" applyProtection="1">
      <alignment horizontal="center" vertical="center" wrapText="1"/>
    </xf>
    <xf numFmtId="10" fontId="0" fillId="0" borderId="49" xfId="23" applyNumberFormat="1" applyFont="1" applyBorder="1" applyAlignment="1" applyProtection="1">
      <alignment horizontal="center" vertical="center" wrapText="1"/>
    </xf>
    <xf numFmtId="0" fontId="0" fillId="0" borderId="9" xfId="23" applyFont="1" applyBorder="1" applyAlignment="1" applyProtection="1">
      <alignment horizontal="center" vertical="center" wrapText="1"/>
    </xf>
    <xf numFmtId="0" fontId="0" fillId="0" borderId="9" xfId="23" applyFont="1" applyBorder="1" applyAlignment="1" applyProtection="1">
      <alignment horizontal="center" vertical="center" wrapText="1"/>
    </xf>
    <xf numFmtId="197" fontId="0" fillId="0" borderId="9" xfId="24" applyFont="1" applyFill="1" applyBorder="1" applyAlignment="1" applyProtection="1">
      <alignment horizontal="center" vertical="center" wrapText="1"/>
    </xf>
    <xf numFmtId="197" fontId="0" fillId="0" borderId="10" xfId="24" applyFont="1" applyFill="1" applyBorder="1" applyAlignment="1" applyProtection="1">
      <alignment horizontal="center" vertical="center" wrapText="1"/>
    </xf>
    <xf numFmtId="10" fontId="0" fillId="0" borderId="1" xfId="23" applyNumberFormat="1" applyFont="1" applyBorder="1" applyAlignment="1" applyProtection="1">
      <alignment horizontal="center" vertical="center" wrapText="1"/>
    </xf>
    <xf numFmtId="10" fontId="0" fillId="0" borderId="24" xfId="23" applyNumberFormat="1" applyFont="1" applyBorder="1" applyAlignment="1" applyProtection="1">
      <alignment horizontal="center" vertical="center" wrapText="1"/>
    </xf>
    <xf numFmtId="179" fontId="272" fillId="0" borderId="0" xfId="23" applyNumberFormat="1" applyFont="1" applyAlignment="1" applyProtection="1">
      <alignment vertical="center" wrapText="1"/>
    </xf>
    <xf numFmtId="197" fontId="272" fillId="0" borderId="0" xfId="24" applyFont="1" applyFill="1" applyAlignment="1" applyProtection="1">
      <alignment vertical="center" wrapText="1"/>
    </xf>
    <xf numFmtId="0" fontId="0" fillId="0" borderId="13" xfId="23" applyFont="1" applyBorder="1" applyAlignment="1" applyProtection="1">
      <alignment horizontal="center" vertical="center" wrapText="1"/>
    </xf>
    <xf numFmtId="0" fontId="0" fillId="0" borderId="74" xfId="23" applyFont="1" applyBorder="1" applyAlignment="1" applyProtection="1">
      <alignment horizontal="center" vertical="center" wrapText="1"/>
    </xf>
    <xf numFmtId="0" fontId="185" fillId="0" borderId="41" xfId="23" applyFont="1" applyBorder="1" applyAlignment="1" applyProtection="1">
      <alignment horizontal="center" vertical="center" wrapText="1"/>
    </xf>
    <xf numFmtId="0" fontId="185" fillId="0" borderId="2" xfId="23" applyFont="1" applyBorder="1" applyAlignment="1" applyProtection="1">
      <alignment horizontal="center" vertical="center" wrapText="1"/>
    </xf>
    <xf numFmtId="0" fontId="0" fillId="0" borderId="2" xfId="23" applyFont="1" applyBorder="1" applyAlignment="1" applyProtection="1">
      <alignment horizontal="center" vertical="center" wrapText="1"/>
    </xf>
    <xf numFmtId="197" fontId="0" fillId="0" borderId="2" xfId="24" applyFont="1" applyFill="1" applyBorder="1" applyAlignment="1" applyProtection="1">
      <alignment horizontal="center" vertical="center" wrapText="1"/>
    </xf>
    <xf numFmtId="197" fontId="0" fillId="0" borderId="8" xfId="24" applyFont="1" applyFill="1" applyBorder="1" applyAlignment="1" applyProtection="1">
      <alignment horizontal="center" vertical="center" wrapText="1"/>
    </xf>
    <xf numFmtId="0" fontId="185" fillId="0" borderId="1" xfId="23" applyFont="1" applyBorder="1" applyAlignment="1" applyProtection="1">
      <alignment horizontal="center" vertical="center" wrapText="1"/>
    </xf>
    <xf numFmtId="0" fontId="185" fillId="0" borderId="32" xfId="23" applyFont="1" applyBorder="1" applyAlignment="1" applyProtection="1">
      <alignment horizontal="center" vertical="center" wrapText="1"/>
    </xf>
    <xf numFmtId="0" fontId="272" fillId="0" borderId="0" xfId="23" applyFont="1" applyAlignment="1" applyProtection="1">
      <alignment horizontal="left" vertical="center" wrapText="1"/>
    </xf>
    <xf numFmtId="198" fontId="272" fillId="0" borderId="0" xfId="23" applyNumberFormat="1" applyFont="1" applyAlignment="1" applyProtection="1">
      <alignment horizontal="center" vertical="center" wrapText="1"/>
    </xf>
    <xf numFmtId="197" fontId="272" fillId="0" borderId="0" xfId="24" applyFont="1" applyFill="1" applyAlignment="1" applyProtection="1">
      <alignment horizontal="center" vertical="center" wrapText="1"/>
    </xf>
    <xf numFmtId="0" fontId="272" fillId="0" borderId="0" xfId="23" applyFont="1" applyAlignment="1" applyProtection="1">
      <alignment horizontal="center" vertical="center" wrapText="1"/>
    </xf>
    <xf numFmtId="0" fontId="276" fillId="0" borderId="0" xfId="25" applyFont="1" applyAlignment="1">
      <alignment horizontal="left" vertical="center"/>
    </xf>
    <xf numFmtId="0" fontId="276" fillId="9" borderId="0" xfId="25" applyFont="1" applyFill="1" applyAlignment="1">
      <alignment horizontal="left" vertical="center"/>
    </xf>
  </cellXfs>
  <cellStyles count="26">
    <cellStyle name="百分比" xfId="17" builtinId="5"/>
    <cellStyle name="百分比 2" xfId="14" xr:uid="{00000000-0005-0000-0000-000001000000}"/>
    <cellStyle name="百分比 2 2" xfId="21" xr:uid="{AE744C2D-3321-455D-A063-8075B9C67BE4}"/>
    <cellStyle name="常规" xfId="0" builtinId="0"/>
    <cellStyle name="常规 10" xfId="25" xr:uid="{9ACA026F-2F7C-423E-9399-523DCA8C82B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D519A441-1783-4C7C-9144-226021F55271}"/>
    <cellStyle name="常规 2 2 2 2 3" xfId="15" xr:uid="{00000000-0005-0000-0000-000007000000}"/>
    <cellStyle name="常规 3" xfId="2" xr:uid="{00000000-0005-0000-0000-000008000000}"/>
    <cellStyle name="常规 3 2" xfId="3" xr:uid="{00000000-0005-0000-0000-000009000000}"/>
    <cellStyle name="常规 3 3" xfId="23" xr:uid="{E17B22D6-E6BD-47DF-8538-EEE20DE14286}"/>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4" xr:uid="{604D516A-894F-442E-A2F1-A9D3F3F37203}"/>
    <cellStyle name="千位分隔[0] 2" xfId="20" xr:uid="{566AC009-DF73-4373-9D7D-0C066C0F31F4}"/>
    <cellStyle name="千位分隔[0] 2 2" xfId="22" xr:uid="{9C652992-D7C7-4625-97F9-72C1A102C916}"/>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14</xdr:row>
      <xdr:rowOff>85725</xdr:rowOff>
    </xdr:from>
    <xdr:to>
      <xdr:col>6</xdr:col>
      <xdr:colOff>1361052</xdr:colOff>
      <xdr:row>50</xdr:row>
      <xdr:rowOff>18244</xdr:rowOff>
    </xdr:to>
    <xdr:pic>
      <xdr:nvPicPr>
        <xdr:cNvPr id="2" name="图片 1">
          <a:extLst>
            <a:ext uri="{FF2B5EF4-FFF2-40B4-BE49-F238E27FC236}">
              <a16:creationId xmlns:a16="http://schemas.microsoft.com/office/drawing/2014/main" id="{86D73199-AE4D-F9FB-C52A-C73CC1B5A18B}"/>
            </a:ext>
          </a:extLst>
        </xdr:cNvPr>
        <xdr:cNvPicPr>
          <a:picLocks noChangeAspect="1"/>
        </xdr:cNvPicPr>
      </xdr:nvPicPr>
      <xdr:blipFill>
        <a:blip xmlns:r="http://schemas.openxmlformats.org/officeDocument/2006/relationships" r:embed="rId1"/>
        <a:stretch>
          <a:fillRect/>
        </a:stretch>
      </xdr:blipFill>
      <xdr:spPr>
        <a:xfrm>
          <a:off x="171450" y="2619375"/>
          <a:ext cx="8180952" cy="6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1\Desktop\3.17-&#27494;&#21733;&#36890;&#24030;&#24076;&#23572;&#39039;&#37202;&#24215;&#35810;&#20215;\&#21442;&#32771;\&#27979;&#31639;&#34920;-&#36890;&#24030;&#24076;&#23572;&#39039;&#37202;&#24215;-&#23828;&#20029;&#26032;20231025-163716.xlsx" TargetMode="External"/><Relationship Id="rId1" Type="http://schemas.openxmlformats.org/officeDocument/2006/relationships/externalLinkPath" Target="&#21442;&#32771;/&#27979;&#31639;&#34920;-&#36890;&#24030;&#24076;&#23572;&#39039;&#37202;&#24215;-&#23828;&#20029;&#26032;20231025-1637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分层面积"/>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酒店介绍"/>
      <sheetName val="存贷款利率"/>
      <sheetName val="成本法"/>
      <sheetName val="基准地价修正"/>
      <sheetName val="土地比较法-住宅、综合"/>
      <sheetName val="比较法-商业"/>
      <sheetName val="收益法"/>
      <sheetName val="土地案例"/>
      <sheetName val="2020年大宗"/>
      <sheetName val="大宗2022"/>
      <sheetName val="管理协议"/>
      <sheetName val="大宗2021"/>
      <sheetName val="资料"/>
      <sheetName val="房屋建筑面积总表"/>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估价对象为北京市房地产，为所有。根据《国有土地使用证》[]，估价对象（分摊）出让国有建设用地使用权面积为0平方米，建筑面积为48162.54平方米。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估价对象为北京市房地产,属开发建设的，该项目尚在开发建设中。根据《国有土地使用证》[]，估价对象（分摊）出让国有建设用地使用权面积为0平方米，规划建筑面积为48162.54平方米。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124259</v>
      </c>
    </row>
    <row r="21" spans="1:2">
      <c r="A21" s="1119" t="s">
        <v>537</v>
      </c>
      <c r="B21" s="1120">
        <f ca="1">'预评函-2'!D7</f>
        <v>25800</v>
      </c>
    </row>
    <row r="22" spans="1:2">
      <c r="A22" s="1119" t="s">
        <v>538</v>
      </c>
      <c r="B22" s="1120" t="str">
        <f ca="1">'预评函-2'!D6</f>
        <v>壹拾贰亿肆仟贰佰伍拾玖万元整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124259</v>
      </c>
    </row>
    <row r="31" spans="1:2">
      <c r="A31" s="1119" t="s">
        <v>576</v>
      </c>
      <c r="B31" s="1120">
        <f ca="1">'预评函-2'!D15</f>
        <v>25800</v>
      </c>
    </row>
    <row r="32" spans="1:2">
      <c r="A32" s="1119" t="s">
        <v>543</v>
      </c>
      <c r="B32" s="1120" t="str">
        <f ca="1">'预评函-2'!D14</f>
        <v>壹拾贰亿肆仟贰佰伍拾玖万元整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48162.54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68094</v>
      </c>
    </row>
    <row r="48" spans="1:2">
      <c r="A48" s="1119" t="s">
        <v>549</v>
      </c>
      <c r="B48" s="1120">
        <f ca="1">'预评函-3'!E4</f>
        <v>14138</v>
      </c>
    </row>
    <row r="49" spans="1:2">
      <c r="A49" s="1119" t="s">
        <v>550</v>
      </c>
      <c r="B49" s="1120" t="str">
        <f ca="1">'预评函-3'!D5</f>
        <v>陆亿捌仟零玖拾肆万元整</v>
      </c>
    </row>
    <row r="50" spans="1:2">
      <c r="A50" s="1119" t="s">
        <v>574</v>
      </c>
      <c r="B50" s="1120" t="str">
        <f>'预评函-3'!F2</f>
        <v>在建建筑物价值</v>
      </c>
    </row>
    <row r="51" spans="1:2">
      <c r="A51" s="1119" t="s">
        <v>551</v>
      </c>
      <c r="B51" s="1120">
        <f ca="1">'预评函-3'!F4</f>
        <v>56165</v>
      </c>
    </row>
    <row r="52" spans="1:2">
      <c r="A52" s="1119" t="s">
        <v>552</v>
      </c>
      <c r="B52" s="1120">
        <f ca="1">'预评函-3'!G4</f>
        <v>11662</v>
      </c>
    </row>
    <row r="53" spans="1:2">
      <c r="A53" s="1119" t="s">
        <v>580</v>
      </c>
      <c r="B53" s="1120" t="str">
        <f ca="1">'预评函-3'!F5</f>
        <v>伍亿陆仟壹佰陆拾伍万元整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45734</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1.75</v>
      </c>
      <c r="D5" s="2768">
        <f>IF(ISERROR(ROUND(POWER(1+E5,A5-C5)*(POWER(1+E5,C5)-1)/(POWER(1+E5,A5)-1),3)),0,ROUND(POWER(1+E5,A5-C5)*(POWER(1+E5,C5)-1)/(POWER(1+E5,A5)-1),4))</f>
        <v>8.3799999999999999E-2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11.76</v>
      </c>
      <c r="D6" s="2768">
        <f>IF(ISERROR(ROUND(POWER(1+E6,A6-C6)*(POWER(1+E6,C6)-1)/(POWER(1+E6,A6)-1),3)),0,ROUND(POWER(1+E6,A6-C6)*(POWER(1+E6,C6)-1)/(POWER(1+E6,A6)-1),4))</f>
        <v>0.43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31.77</v>
      </c>
      <c r="D7" s="2768">
        <f>IF(ISERROR(ROUND(POWER(1+E7,A7-C7)*(POWER(1+E7,C7)-1)/(POWER(1+E7,A7)-1),3)),0,ROUND(POWER(1+E7,A7-C7)*(POWER(1+E7,C7)-1)/(POWER(1+E7,A7)-1),4))</f>
        <v>0.76119999999999999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3476</v>
      </c>
      <c r="C8" s="2201"/>
      <c r="D8" s="3206" t="s">
        <v>2177</v>
      </c>
      <c r="E8" s="2202" t="s">
        <v>3477</v>
      </c>
      <c r="F8" s="2203"/>
      <c r="G8" s="2442"/>
      <c r="H8" s="2442"/>
      <c r="I8" s="2442"/>
      <c r="J8" s="2245"/>
      <c r="K8" s="2400"/>
      <c r="L8" s="2399"/>
      <c r="M8" s="2399"/>
      <c r="N8" s="2245"/>
      <c r="O8" s="1670"/>
      <c r="P8" s="2245"/>
      <c r="Q8" s="2245"/>
      <c r="R8" s="2245"/>
    </row>
    <row r="9" spans="1:30" ht="13.5" thickBot="1">
      <c r="A9" s="2204" t="s">
        <v>2178</v>
      </c>
      <c r="B9" s="2205" t="s">
        <v>3477</v>
      </c>
      <c r="C9" s="2206"/>
      <c r="D9" s="3207"/>
      <c r="E9" s="2205"/>
      <c r="F9" s="2207"/>
      <c r="G9" s="2443"/>
      <c r="H9" s="2443"/>
      <c r="I9" s="2443"/>
      <c r="J9" s="2245"/>
      <c r="K9" s="2402"/>
      <c r="L9" s="2399"/>
      <c r="M9" s="2399"/>
      <c r="N9" s="2245"/>
      <c r="O9" s="1670"/>
      <c r="P9" s="2245"/>
      <c r="Q9" s="2245"/>
      <c r="R9" s="2245"/>
    </row>
    <row r="10" spans="1:30" ht="13.5" thickTop="1">
      <c r="A10" s="2208" t="s">
        <v>2179</v>
      </c>
      <c r="B10" s="2209" t="s">
        <v>3478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3479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54772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24.76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48162.54</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3480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48162.54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48162.54</v>
      </c>
      <c r="H5" s="13">
        <f t="shared" ref="H5:AT5" si="0">SUM(H13:H656)</f>
        <v>48162.54</v>
      </c>
      <c r="I5" s="13">
        <f t="shared" si="0"/>
        <v>34533.280000000013</v>
      </c>
      <c r="J5" s="13">
        <f t="shared" si="0"/>
        <v>0</v>
      </c>
      <c r="K5" s="13">
        <f t="shared" si="0"/>
        <v>13629.259999999987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48162.54</v>
      </c>
      <c r="BA5" s="15">
        <f t="shared" si="1"/>
        <v>48162.54</v>
      </c>
      <c r="BB5" s="15">
        <f t="shared" si="1"/>
        <v>34533.280000000013</v>
      </c>
      <c r="BC5" s="15">
        <f t="shared" si="1"/>
        <v>13629.259999999987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3430</v>
      </c>
      <c r="J9" s="761"/>
      <c r="K9" s="1491" t="s">
        <v>3483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3482</v>
      </c>
      <c r="J11" s="1503"/>
      <c r="K11" s="1502" t="s">
        <v>3482</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酒店</v>
      </c>
      <c r="BC12" s="1512" t="str">
        <f>K11</f>
        <v>酒店</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3481</v>
      </c>
      <c r="E13" s="13">
        <f>IF($C$3="是",ROUND($A$3*G13/$B$3,2),ROUND($A$3*(G13-AT13)/$B$3,2))</f>
        <v>0</v>
      </c>
      <c r="F13" s="29"/>
      <c r="G13" s="30">
        <f>H13+AC13+AT13</f>
        <v>48162.54</v>
      </c>
      <c r="H13" s="17">
        <f>SUMIF(I$12:AB$12,"总值",I13:AB13)</f>
        <v>48162.54</v>
      </c>
      <c r="I13" s="1514">
        <f>测绘分层面积!R7</f>
        <v>34533.280000000013</v>
      </c>
      <c r="J13" s="1514"/>
      <c r="K13" s="1514">
        <f>48162.54-I13</f>
        <v>13629.259999999987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48162.54</v>
      </c>
      <c r="BA13" s="13">
        <f>SUM(BB13:BK13)</f>
        <v>48162.54</v>
      </c>
      <c r="BB13" s="13">
        <f>IF($D13="是",I13-J13,0)</f>
        <v>34533.280000000013</v>
      </c>
      <c r="BC13" s="13">
        <f>IF($D13="是",K13-L13,0)</f>
        <v>13629.259999999987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48162.54</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48162.54</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4.5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34533.280000000013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13629.259999999987</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48162.54</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3484</v>
      </c>
      <c r="D19" s="43">
        <f>ROUND($D$3*E19/$E$3,2)</f>
        <v>0</v>
      </c>
      <c r="E19" s="51">
        <f t="shared" ref="E19:E26" si="1">SUM(F19:G19)</f>
        <v>48162.54</v>
      </c>
      <c r="F19" s="2558">
        <f>'数据-基础表'!I13</f>
        <v>34533.280000000013</v>
      </c>
      <c r="G19" s="1243">
        <f>'数据-基础表'!K13</f>
        <v>13629.259999999987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48162.54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48162.54</v>
      </c>
      <c r="F27" s="1072">
        <f>IF(SUM(F19:F26)=E8,SUM(F19:F26),"地上面积有误")</f>
        <v>34533.280000000013</v>
      </c>
      <c r="G27" s="1074">
        <f>SUM(G19:G26)</f>
        <v>13629.259999999987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48162.54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48162.54</v>
      </c>
      <c r="F31" s="644">
        <f>F27+F30</f>
        <v>34533.280000000013</v>
      </c>
      <c r="G31" s="645">
        <f>G27+G30</f>
        <v>13629.259999999987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3485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酒店</v>
      </c>
      <c r="B6" s="1587" t="str">
        <f>IF(A6=0,"","经营性")</f>
        <v>经营性</v>
      </c>
      <c r="C6" s="1588" t="s">
        <v>673</v>
      </c>
      <c r="D6" s="805">
        <f>SUMIF(项目基本情况!C$12:I$12,C6,项目基本情况!C$14:I$14)</f>
        <v>40</v>
      </c>
      <c r="E6" s="804">
        <f>IF(B6="","",SUMIF(项目基本情况!C$12:I$12,C6,项目基本情况!C$13:I$13))</f>
        <v>54772</v>
      </c>
      <c r="F6" s="61">
        <f>SUMIF(项目基本情况!C$12:I$12,C6,项目基本情况!C$15:I$15)</f>
        <v>24.76</v>
      </c>
      <c r="G6" s="62">
        <f>IF(ISERROR(ROUND(POWER(1+H6,D6-F6)*(POWER(1+H6,F6)-1)/(POWER(1+H6,D6)-1),3)),0,ROUND(POWER(1+H6,D6-F6)*(POWER(1+H6,F6)-1)/(POWER(1+H6,D6)-1),3))</f>
        <v>0.81699999999999995</v>
      </c>
      <c r="H6" s="691">
        <v>0.05</v>
      </c>
      <c r="I6" s="691">
        <v>5.5E-2</v>
      </c>
      <c r="J6" s="63">
        <v>7.0000000000000007E-2</v>
      </c>
      <c r="K6" s="970">
        <f>SUMIF('数据-汇总表'!C$19:C$33,A6,'数据-汇总表'!E$19:E$33)</f>
        <v>48162.54</v>
      </c>
      <c r="L6" s="692">
        <v>9200</v>
      </c>
      <c r="M6" s="64">
        <f t="shared" ref="M6:M14" si="0">ROUND(K6*L6/10000,0)</f>
        <v>44310</v>
      </c>
      <c r="N6" s="690">
        <v>0.9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0.81699999999999995</v>
      </c>
      <c r="H16" s="84">
        <f>ROUND(SUMPRODUCT(H6:H13,K6:K13)/SUMPRODUCT((H6:H13&gt;0)*(K6:K13)),3)</f>
        <v>0.05</v>
      </c>
      <c r="I16" s="85"/>
      <c r="J16" s="85"/>
      <c r="K16" s="86">
        <f>SUM(K6:K15)</f>
        <v>48162.54</v>
      </c>
      <c r="L16" s="87">
        <f>ROUND(M16*10000/SUM(K6:K14),0)</f>
        <v>9200</v>
      </c>
      <c r="M16" s="87">
        <f>SUM(M6:M14)</f>
        <v>44310</v>
      </c>
      <c r="N16" s="88">
        <f>ROUND(SUMPRODUCT(M6:M14,N6:N14)/M16,3)</f>
        <v>0.9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3497" t="s">
        <v>3504</v>
      </c>
      <c r="K18" s="2450">
        <f>K19+K20</f>
        <v>48162.54</v>
      </c>
      <c r="L18" s="2450">
        <f>ROUND((K19*L19+K20*L20)/K18,0)</f>
        <v>5000</v>
      </c>
      <c r="M18" s="2449"/>
      <c r="N18" s="2449">
        <v>2016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3498" t="s">
        <v>3505</v>
      </c>
      <c r="K19" s="2450">
        <f>'数据-基础表'!I13</f>
        <v>34533.280000000013</v>
      </c>
      <c r="L19" s="2450">
        <v>5000</v>
      </c>
      <c r="M19" s="2449"/>
      <c r="N19" s="2449">
        <f>1-(2025-N18)/60</f>
        <v>0.85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2300</v>
      </c>
      <c r="D20" s="2452"/>
      <c r="E20" s="2439"/>
      <c r="F20" s="2439"/>
      <c r="G20" s="2439"/>
      <c r="H20" s="2439"/>
      <c r="I20" s="2439"/>
      <c r="J20" s="3498" t="s">
        <v>3506</v>
      </c>
      <c r="K20" s="2450">
        <f>'数据-基础表'!K13</f>
        <v>13629.259999999987</v>
      </c>
      <c r="L20" s="2450">
        <v>5000</v>
      </c>
      <c r="M20" s="2449"/>
      <c r="N20" s="2449">
        <v>0.95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3497" t="s">
        <v>3507</v>
      </c>
      <c r="K21" s="2450"/>
      <c r="L21" s="2450">
        <v>2000</v>
      </c>
      <c r="M21" s="2449"/>
      <c r="N21" s="2449">
        <f>(N19+N20)/2</f>
        <v>0.89999999999999991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3497" t="s">
        <v>3508</v>
      </c>
      <c r="K22" s="2450"/>
      <c r="L22" s="2450">
        <v>1500</v>
      </c>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3497" t="s">
        <v>3509</v>
      </c>
      <c r="K23" s="3499">
        <v>0.08</v>
      </c>
      <c r="L23" s="2450">
        <f>ROUND((L18+L21+L22)*K23,0)</f>
        <v>680</v>
      </c>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f>L18+L21+L22+L23</f>
        <v>9180</v>
      </c>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963</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0.1</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3388</v>
      </c>
      <c r="D44" s="2452"/>
      <c r="E44" s="2439"/>
      <c r="F44" s="3497" t="s">
        <v>3486</v>
      </c>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45734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25800</v>
      </c>
      <c r="D5" s="2300" t="e">
        <f>ROUND(B5*10000/$B$2,0)</f>
        <v>#DIV/0!</v>
      </c>
      <c r="E5" s="2462"/>
      <c r="F5" s="2463"/>
      <c r="G5" s="2463"/>
      <c r="H5" s="2463"/>
      <c r="I5" s="2463"/>
      <c r="J5" s="2463"/>
      <c r="K5" s="2463"/>
    </row>
    <row r="6" spans="1:11" ht="16.5">
      <c r="A6" s="2300" t="s">
        <v>656</v>
      </c>
      <c r="B6" s="2300">
        <f>SUM(G14:G23)</f>
        <v>0</v>
      </c>
      <c r="C6" s="2300">
        <f ca="1">IF(B6=G14,结果表!H108,ROUND(B6*10000/$B$1,0))</f>
        <v>25800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3597</v>
      </c>
      <c r="D4" s="1626" t="s">
        <v>3598</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7</v>
      </c>
      <c r="D14" s="3279">
        <v>3</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66" t="s">
        <v>2131</v>
      </c>
      <c r="F18" s="3267"/>
      <c r="G18" s="3267"/>
      <c r="H18" s="3267"/>
      <c r="I18" s="3267"/>
      <c r="K18" s="294" t="s">
        <v>1289</v>
      </c>
      <c r="L18" s="294">
        <f>IF(C1="",'数据-汇总表'!E3,SUMIF(项目类型,C1,'数据-汇总表'!E17:E26)+SUMIF(项目类型,C1,'数据-汇总表'!I17:I26))</f>
        <v>48162.54</v>
      </c>
      <c r="M18" s="294">
        <f>IF(C1="",'数据-汇总表'!E3,SUMIF(项目类型,C1,'数据-汇总表'!E17:E26))</f>
        <v>48162.54</v>
      </c>
    </row>
    <row r="19" spans="1:36" ht="15">
      <c r="A19" s="1630" t="s">
        <v>1290</v>
      </c>
      <c r="B19" s="1631" t="s">
        <v>1291</v>
      </c>
      <c r="C19" s="126">
        <f ca="1">SUMIF(INDIRECT("'"&amp;C4&amp;"'"&amp;"!A:A"),结果表!B19,INDIRECT("'"&amp;C4&amp;"'"&amp;"!B:B"))</f>
        <v>143378</v>
      </c>
      <c r="D19" s="127">
        <f ca="1">SUMIF(INDIRECT("'"&amp;D4&amp;"'"&amp;"!A:A"),结果表!B19,INDIRECT("'"&amp;D4&amp;"'"&amp;"!B:B"))</f>
        <v>79649</v>
      </c>
      <c r="E19" s="1630" t="s">
        <v>1292</v>
      </c>
      <c r="F19" s="1631" t="s">
        <v>1291</v>
      </c>
      <c r="G19" s="128">
        <f ca="1">ROUND(C19*$C$18+D19*$D$18,0)</f>
        <v>124259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29770</v>
      </c>
      <c r="D20" s="130">
        <f ca="1">SUMIF(INDIRECT("'"&amp;D4&amp;"'"&amp;"!A:A"),结果表!B20,INDIRECT("'"&amp;D4&amp;"'"&amp;"!B:B"))</f>
        <v>16538</v>
      </c>
      <c r="E20" s="1633"/>
      <c r="F20" s="43" t="s">
        <v>1295</v>
      </c>
      <c r="G20" s="131">
        <f ca="1">ROUND(C20*$C$18+D20*$D$18,0)</f>
        <v>25800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0.80012303983728605</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124259</v>
      </c>
      <c r="D32" s="1641" t="s">
        <v>3599</v>
      </c>
      <c r="E32" s="121"/>
      <c r="F32" s="121"/>
      <c r="G32" s="121"/>
      <c r="H32" s="121"/>
      <c r="I32" s="121"/>
    </row>
    <row r="33" spans="1:15" ht="15">
      <c r="A33" s="740" t="s">
        <v>1306</v>
      </c>
      <c r="B33" s="123"/>
      <c r="C33" s="1642" t="s">
        <v>3600</v>
      </c>
      <c r="D33" s="1643" t="s">
        <v>3597</v>
      </c>
      <c r="E33" s="1644" t="s">
        <v>1307</v>
      </c>
      <c r="F33" s="1645" t="str">
        <f>IF(D32="楼面单价","取值（单价）","取值（总价）")</f>
        <v>取值（总价）</v>
      </c>
      <c r="G33" s="121"/>
      <c r="H33" s="121"/>
      <c r="I33" s="121"/>
    </row>
    <row r="34" spans="1:15" ht="15">
      <c r="A34" s="1646"/>
      <c r="B34" s="1647" t="s">
        <v>1308</v>
      </c>
      <c r="C34" s="140">
        <f ca="1">IF(C33="自定义",F34,C32-C35)</f>
        <v>68094</v>
      </c>
      <c r="D34" s="808">
        <f ca="1">IF(C33="自定义",ROUND(C34/C32,3),IF(C33="收益比率",SUMIF(INDIRECT("'"&amp;D33&amp;"'"&amp;"!b:b"),"土地收益比率",INDIRECT("'"&amp;D33&amp;"'"&amp;"!c:c")),SUMIF(INDIRECT("'"&amp;D33&amp;"'"&amp;"!b:b"),"土地成本比率",INDIRECT("'"&amp;D33&amp;"'"&amp;"!c:c"))))</f>
        <v>0.54800000000000004</v>
      </c>
      <c r="E34" s="1648" t="s">
        <v>1309</v>
      </c>
      <c r="F34" s="1243"/>
      <c r="G34" s="121"/>
      <c r="H34" s="121"/>
      <c r="I34" s="121"/>
    </row>
    <row r="35" spans="1:15" ht="15.75" thickBot="1">
      <c r="A35" s="1649"/>
      <c r="B35" s="1650" t="s">
        <v>1310</v>
      </c>
      <c r="C35" s="1090">
        <f ca="1">IF(C33="自定义",F35,ROUND(C32*D35,0))</f>
        <v>56165</v>
      </c>
      <c r="D35" s="1091">
        <f ca="1">IF(C33="自定义",ROUND(C35/C32,3),IF(C33="收益比率",SUMIF(INDIRECT("'"&amp;D33&amp;"'"&amp;"!b:b"),"建筑物收益比率",INDIRECT("'"&amp;D33&amp;"'"&amp;"!c:c")),SUMIF(INDIRECT("'"&amp;D33&amp;"'"&amp;"!b:b"),"建筑物成本比率",INDIRECT("'"&amp;D33&amp;"'"&amp;"!c:c"))))</f>
        <v>0.45200000000000001</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124259</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45734</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124259</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124259</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6627</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2291</v>
      </c>
      <c r="C53" s="3269"/>
      <c r="D53" s="1024">
        <f ca="1">ROUND(D45*'数据-取费表'!B41/(1+'数据-取费表'!C42),0)</f>
        <v>6627</v>
      </c>
      <c r="E53" s="1256" t="s">
        <v>1354</v>
      </c>
      <c r="F53" s="2340">
        <f>'数据-取费表'!B41</f>
        <v>5.6000000000000001E-2</v>
      </c>
      <c r="G53" s="2341"/>
      <c r="H53" s="2331"/>
      <c r="I53" s="1669"/>
      <c r="J53" s="2310">
        <v>2</v>
      </c>
      <c r="K53" s="3307" t="s">
        <v>1357</v>
      </c>
      <c r="L53" s="3307"/>
      <c r="M53" s="2312">
        <f t="shared" ref="M53:O54" ca="1" si="0">D55</f>
        <v>62</v>
      </c>
      <c r="N53" s="2310" t="str">
        <f t="shared" si="0"/>
        <v>销售额×税（费）率</v>
      </c>
      <c r="O53" s="2313" t="str">
        <f t="shared" si="0"/>
        <v>免征</v>
      </c>
    </row>
    <row r="54" spans="1:35" ht="12" customHeight="1">
      <c r="A54" s="2153" t="s">
        <v>1358</v>
      </c>
      <c r="B54" s="3268" t="s">
        <v>2292</v>
      </c>
      <c r="C54" s="3269"/>
      <c r="D54" s="1024">
        <f ca="1">C68</f>
        <v>6627</v>
      </c>
      <c r="E54" s="319" t="s">
        <v>1359</v>
      </c>
      <c r="F54" s="2340">
        <f>'数据-取费表'!B41</f>
        <v>5.6000000000000001E-2</v>
      </c>
      <c r="G54" s="2341"/>
      <c r="H54" s="2342"/>
      <c r="I54" s="1669"/>
      <c r="J54" s="2310">
        <v>3</v>
      </c>
      <c r="K54" s="3307" t="s">
        <v>1360</v>
      </c>
      <c r="L54" s="3307"/>
      <c r="M54" s="2312">
        <f t="shared" ca="1" si="0"/>
        <v>70331</v>
      </c>
      <c r="N54" s="2310" t="str">
        <f t="shared" si="0"/>
        <v>增值额×税（费）率</v>
      </c>
      <c r="O54" s="2314" t="str">
        <f t="shared" si="0"/>
        <v>免征</v>
      </c>
    </row>
    <row r="55" spans="1:35" ht="24" customHeight="1">
      <c r="A55" s="3257" t="s">
        <v>1361</v>
      </c>
      <c r="B55" s="3258"/>
      <c r="C55" s="3258"/>
      <c r="D55" s="12">
        <f ca="1">IF(H55="个人住宅",0,ROUND(D45*I55,0))</f>
        <v>62</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1183</v>
      </c>
      <c r="N55" s="1883" t="str">
        <f>E59</f>
        <v>差额计税</v>
      </c>
      <c r="O55" s="2316">
        <f>F59</f>
        <v>0.01</v>
      </c>
    </row>
    <row r="56" spans="1:35" ht="24.75">
      <c r="A56" s="3257" t="s">
        <v>1363</v>
      </c>
      <c r="B56" s="3258"/>
      <c r="C56" s="3258"/>
      <c r="D56" s="12">
        <f ca="1">IF(H56="个人住宅",D57,D58)</f>
        <v>70331</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71576</v>
      </c>
      <c r="O57" s="2320"/>
      <c r="P57" s="2465">
        <f ca="1">N57/M49</f>
        <v>0.57602266234236554</v>
      </c>
    </row>
    <row r="58" spans="1:35" ht="24.75">
      <c r="A58" s="2153" t="s">
        <v>1352</v>
      </c>
      <c r="B58" s="3268" t="s">
        <v>1369</v>
      </c>
      <c r="C58" s="3242"/>
      <c r="D58" s="12">
        <f ca="1">IF(H58="转让取得",C81,C97)</f>
        <v>70331</v>
      </c>
      <c r="E58" s="1256" t="s">
        <v>1364</v>
      </c>
      <c r="F58" s="294" t="s">
        <v>28</v>
      </c>
      <c r="G58" s="2341"/>
      <c r="H58" s="2344"/>
      <c r="I58" s="1670"/>
      <c r="J58" s="3307"/>
      <c r="K58" s="3307"/>
      <c r="L58" s="2317" t="s">
        <v>1370</v>
      </c>
      <c r="M58" s="2321"/>
      <c r="N58" s="2322" t="str">
        <f ca="1">NUMBERSTRING(INT(N57*10000),2)&amp;"元整"</f>
        <v>柒亿壹仟伍佰柒拾陆万元整</v>
      </c>
      <c r="O58" s="2323"/>
    </row>
    <row r="59" spans="1:35" ht="24.75" thickBot="1">
      <c r="A59" s="3310" t="s">
        <v>1371</v>
      </c>
      <c r="B59" s="3311"/>
      <c r="C59" s="3311"/>
      <c r="D59" s="2346">
        <f ca="1">IF(H59="非个人房产","——",IF(H59="个人住宅（满五唯一有凭证）",0,IF(H59="个人其他（无凭证）",ROUND(D45*F59,0),ROUND(C67*F59,0))))</f>
        <v>1183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52683</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伍亿贰仟陆佰捌拾叁万元整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10939</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118342</v>
      </c>
      <c r="D63" s="159"/>
      <c r="E63" s="160"/>
      <c r="F63" s="1670"/>
      <c r="G63" s="1670"/>
      <c r="H63" s="151"/>
      <c r="I63" s="121"/>
      <c r="J63" s="3332" t="s">
        <v>1379</v>
      </c>
      <c r="K63" s="1245" t="s">
        <v>1380</v>
      </c>
      <c r="L63" s="1245">
        <f ca="1">IF(M49&gt;10000,M49*0.5%,IF(AND(M49&gt;1000,M49&lt;=10000),M49*1%,IF(AND(M49&gt;100,M49&lt;=1000),M49*3%,IF(AND(M49&gt;10,M49&lt;=100),M49*5%,M49*8%))))</f>
        <v>621.29499999999996</v>
      </c>
      <c r="M63" s="294">
        <f ca="1">ROUND(L63,1)</f>
        <v>621.29999999999995</v>
      </c>
      <c r="N63" s="2330"/>
      <c r="Z63" s="1623"/>
      <c r="AI63" s="1561"/>
    </row>
    <row r="64" spans="1:35" ht="14.25" customHeight="1">
      <c r="A64" s="161" t="s">
        <v>325</v>
      </c>
      <c r="B64" s="162" t="s">
        <v>1381</v>
      </c>
      <c r="C64" s="2351">
        <f ca="1">D45</f>
        <v>124259</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621.29499999999996</v>
      </c>
      <c r="M64" s="294">
        <f t="shared" ref="M64:M65" ca="1" si="1">ROUND(L64,1)</f>
        <v>621.29999999999995</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124.259</v>
      </c>
      <c r="M65" s="294">
        <f t="shared" ca="1" si="1"/>
        <v>124.3</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621.29499999999996</v>
      </c>
      <c r="M66" s="294">
        <f ca="1">IF(L66&gt;0.5,0.5,ROUND(L66,0))</f>
        <v>0.5</v>
      </c>
      <c r="N66" s="2331" t="s">
        <v>1388</v>
      </c>
      <c r="Z66" s="1623"/>
      <c r="AI66" s="1561"/>
    </row>
    <row r="67" spans="1:35" ht="14.25" customHeight="1">
      <c r="A67" s="165" t="s">
        <v>328</v>
      </c>
      <c r="B67" s="166" t="s">
        <v>1389</v>
      </c>
      <c r="C67" s="2354">
        <f ca="1">C63-C66</f>
        <v>118342</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19.675899999999999</v>
      </c>
      <c r="M67" s="294">
        <f ca="1">ROUND(L67*0.9,1)</f>
        <v>17.7</v>
      </c>
      <c r="N67" s="2330"/>
      <c r="Z67" s="1623"/>
      <c r="AI67" s="1561"/>
    </row>
    <row r="68" spans="1:35" ht="14.25" customHeight="1" thickBot="1">
      <c r="A68" s="168" t="s">
        <v>329</v>
      </c>
      <c r="B68" s="169" t="s">
        <v>1391</v>
      </c>
      <c r="C68" s="2355">
        <f ca="1">IF(C67&lt;=0,0,ROUND(C67*D68,0))</f>
        <v>6627</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621.29499999999996</v>
      </c>
      <c r="M68" s="294">
        <f ca="1">ROUND(L68,1)</f>
        <v>621.29999999999995</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2006</v>
      </c>
      <c r="N69" s="2332">
        <f ca="1">M69/M49</f>
        <v>1.6143699852726966E-2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118342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710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710</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117632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165.67887323943663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70331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118342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710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710</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117632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165.67887323943663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70331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收益法-酒店模型</v>
      </c>
      <c r="E101" s="3329" t="s">
        <v>1431</v>
      </c>
      <c r="F101" s="3286"/>
      <c r="G101" s="1687" t="s">
        <v>1432</v>
      </c>
      <c r="H101" s="2381">
        <f ca="1">H118</f>
        <v>124259</v>
      </c>
      <c r="I101" s="121"/>
    </row>
    <row r="102" spans="1:35" ht="18.75" customHeight="1">
      <c r="A102" s="3288" t="s">
        <v>1433</v>
      </c>
      <c r="B102" s="2370" t="s">
        <v>1432</v>
      </c>
      <c r="C102" s="2371">
        <f ca="1">IF(D32="楼面单价",ROUND(C19,0),C19)</f>
        <v>143378</v>
      </c>
      <c r="D102" s="2372">
        <f ca="1">IF(D32="楼面单价",ROUND(D19,0),D19)</f>
        <v>79649</v>
      </c>
      <c r="E102" s="3329"/>
      <c r="F102" s="3286"/>
      <c r="G102" s="1687" t="s">
        <v>1434</v>
      </c>
      <c r="H102" s="2341">
        <f ca="1">I118</f>
        <v>25800</v>
      </c>
      <c r="I102" s="121"/>
    </row>
    <row r="103" spans="1:35" ht="42.75" customHeight="1">
      <c r="A103" s="3288"/>
      <c r="B103" s="2370" t="s">
        <v>1434</v>
      </c>
      <c r="C103" s="2373">
        <f ca="1">C20</f>
        <v>29770</v>
      </c>
      <c r="D103" s="2374">
        <f ca="1">D20</f>
        <v>16538</v>
      </c>
      <c r="E103" s="3323" t="s">
        <v>1435</v>
      </c>
      <c r="F103" s="3324"/>
      <c r="G103" s="1688" t="s">
        <v>1436</v>
      </c>
      <c r="H103" s="2381">
        <f>IF(D36="正常操作",H104+H105+H106,H105+H106)</f>
        <v>0</v>
      </c>
      <c r="I103" s="121"/>
    </row>
    <row r="104" spans="1:35" ht="18.75" customHeight="1">
      <c r="A104" s="3288" t="s">
        <v>1437</v>
      </c>
      <c r="B104" s="2375" t="s">
        <v>1432</v>
      </c>
      <c r="C104" s="2376">
        <f ca="1">H118</f>
        <v>124259</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25800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124259</v>
      </c>
      <c r="I107" s="121"/>
    </row>
    <row r="108" spans="1:35" ht="18.75" customHeight="1">
      <c r="A108" s="121"/>
      <c r="B108" s="121"/>
      <c r="C108" s="121"/>
      <c r="D108" s="121"/>
      <c r="E108" s="3285"/>
      <c r="F108" s="3286"/>
      <c r="G108" s="1687" t="s">
        <v>1434</v>
      </c>
      <c r="H108" s="2341">
        <f ca="1">IF(H107=H101,H102,ROUND(H107*10000/'数据-汇总表'!E3,0))</f>
        <v>25800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48162.54</v>
      </c>
      <c r="C118" s="2150">
        <f>M19</f>
        <v>0</v>
      </c>
      <c r="D118" s="2150">
        <f ca="1">ROUND(IF(D32="总价",C34,E118*B118/10000),0)</f>
        <v>68094</v>
      </c>
      <c r="E118" s="2150">
        <f ca="1">ROUND(IF(C33="自定义",IF(D32="楼面单价",C34,D118*10000/B118),I118-G118),0)</f>
        <v>14138</v>
      </c>
      <c r="F118" s="2150">
        <f ca="1">ROUND(IF(D32="总价",C35,G118*B118/10000),0)</f>
        <v>56165</v>
      </c>
      <c r="G118" s="2150">
        <f ca="1">ROUND(IF(D32="楼面单价",C35,F118*10000/B118),0)</f>
        <v>11662</v>
      </c>
      <c r="H118" s="2150">
        <f ca="1">ROUND(IF(D32="总价",C32,I118*B118/10000),0)</f>
        <v>124259</v>
      </c>
      <c r="I118" s="2150">
        <f ca="1">ROUND(IF(D32="楼面单价",C32,H118*10000/B118),0)</f>
        <v>25800</v>
      </c>
    </row>
    <row r="119" spans="1:27" ht="18.75" customHeight="1">
      <c r="A119" s="3256" t="s">
        <v>1452</v>
      </c>
      <c r="B119" s="3256"/>
      <c r="C119" s="3256"/>
      <c r="D119" s="3296" t="str">
        <f ca="1">NUMBERSTRING(INT(D118*10000),2)&amp;"元整"</f>
        <v>陆亿捌仟零玖拾肆万元整</v>
      </c>
      <c r="E119" s="3298"/>
      <c r="F119" s="3296" t="str">
        <f ca="1">NUMBERSTRING(INT(F118*10000),2)&amp;"元整"</f>
        <v>伍亿陆仟壹佰陆拾伍万元整</v>
      </c>
      <c r="G119" s="3298"/>
      <c r="H119" s="3296" t="str">
        <f ca="1">NUMBERSTRING(INT(H118*10000),2)&amp;"元整"</f>
        <v>壹拾贰亿肆仟贰佰伍拾玖万元整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124259</v>
      </c>
      <c r="E122" s="3321"/>
      <c r="F122" s="3321"/>
      <c r="G122" s="3321"/>
      <c r="H122" s="3321"/>
      <c r="I122" s="3322"/>
      <c r="AA122" s="684"/>
    </row>
    <row r="123" spans="1:27" ht="18.75" customHeight="1">
      <c r="A123" s="3256" t="s">
        <v>1452</v>
      </c>
      <c r="B123" s="3256"/>
      <c r="C123" s="3256"/>
      <c r="D123" s="3296" t="str">
        <f ca="1">NUMBERSTRING(INT(D122*10000),2)&amp;"元整"</f>
        <v>壹拾贰亿肆仟贰佰伍拾玖万元整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D20" sqre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3482</v>
      </c>
      <c r="C1" s="190"/>
      <c r="D1" s="190"/>
      <c r="E1" s="190"/>
      <c r="F1" s="190"/>
      <c r="G1" s="1062">
        <f>MATCH(B1,'数据-取费表'!A6:A16,0)+5</f>
        <v>6</v>
      </c>
    </row>
    <row r="2" spans="1:9" s="192" customFormat="1" ht="18" customHeight="1">
      <c r="A2" s="193" t="s">
        <v>1462</v>
      </c>
      <c r="B2" s="194">
        <f ca="1">IF(D2="——",C52,C52-E2)</f>
        <v>143378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29770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53542</v>
      </c>
      <c r="D5" s="203" t="s">
        <v>1469</v>
      </c>
      <c r="E5" s="204" t="s">
        <v>1470</v>
      </c>
      <c r="F5" s="204" t="s">
        <v>1471</v>
      </c>
      <c r="G5" s="205"/>
    </row>
    <row r="6" spans="1:9" s="206" customFormat="1" ht="13.5" customHeight="1">
      <c r="A6" s="732" t="s">
        <v>1472</v>
      </c>
      <c r="B6" s="207" t="s">
        <v>1473</v>
      </c>
      <c r="C6" s="208">
        <f>基准地价修正!B2</f>
        <v>51023</v>
      </c>
      <c r="D6" s="209"/>
      <c r="E6" s="210"/>
      <c r="F6" s="210"/>
      <c r="G6" s="211"/>
    </row>
    <row r="7" spans="1:9" s="206" customFormat="1" ht="13.5" customHeight="1">
      <c r="A7" s="732" t="s">
        <v>1474</v>
      </c>
      <c r="B7" s="207" t="s">
        <v>1475</v>
      </c>
      <c r="C7" s="212">
        <f>ROUND(C6*F7,0)</f>
        <v>1556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963</v>
      </c>
      <c r="D8" s="214"/>
      <c r="E8" s="212"/>
      <c r="F8" s="213"/>
      <c r="G8" s="1714" t="s">
        <v>3501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3502</v>
      </c>
      <c r="H9" s="1070"/>
      <c r="I9" s="1716" t="s">
        <v>1479</v>
      </c>
    </row>
    <row r="10" spans="1:9" s="206" customFormat="1" ht="13.5" customHeight="1">
      <c r="A10" s="733" t="s">
        <v>356</v>
      </c>
      <c r="B10" s="216" t="s">
        <v>1480</v>
      </c>
      <c r="C10" s="217">
        <f ca="1">ROUND(D10*E10/10000,0)</f>
        <v>963</v>
      </c>
      <c r="D10" s="795">
        <f ca="1">IF(B1="",'数据-汇总表'!E6,IF(INDIRECT("'数据-取费表'!c"&amp;$G$1)="住宅",INDIRECT("'数据-取费表'!s"&amp;$G$1),INDIRECT("'数据-取费表'!k"&amp;$G$1)+INDIRECT("'数据-取费表'!s"&amp;$G$1)))</f>
        <v>48162.54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48162.54</v>
      </c>
      <c r="E19" s="203">
        <f>'数据-取费表'!B31</f>
        <v>200</v>
      </c>
      <c r="F19" s="223"/>
      <c r="G19" s="1714" t="s">
        <v>3503</v>
      </c>
    </row>
    <row r="20" spans="1:7" s="206" customFormat="1" ht="13.5" customHeight="1">
      <c r="A20" s="247" t="s">
        <v>1493</v>
      </c>
      <c r="B20" s="202" t="s">
        <v>1494</v>
      </c>
      <c r="C20" s="224">
        <f ca="1">ROUND((C5+C19)*F20,0)</f>
        <v>1606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5210</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5135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75</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11030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11030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78509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51033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44310</v>
      </c>
      <c r="D34" s="209"/>
      <c r="E34" s="212"/>
      <c r="F34" s="249">
        <f ca="1">IF('数据-取费表'!B24=0,1,IF(B1="",'数据-取费表'!N16,INDIRECT("'数据-取费表'!n"&amp;$G$1)))</f>
        <v>1</v>
      </c>
      <c r="G34" s="211" t="s">
        <v>1526</v>
      </c>
    </row>
    <row r="35" spans="1:7" ht="13.5" customHeight="1">
      <c r="A35" s="734" t="s">
        <v>351</v>
      </c>
      <c r="B35" s="207" t="s">
        <v>1527</v>
      </c>
      <c r="C35" s="212">
        <f ca="1">ROUND(C34*F35,0)</f>
        <v>4431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963</v>
      </c>
      <c r="D37" s="209">
        <f ca="1">D19</f>
        <v>48162.54</v>
      </c>
      <c r="E37" s="241">
        <f>'数据-取费表'!B35</f>
        <v>200</v>
      </c>
      <c r="F37" s="251"/>
      <c r="G37" s="253" t="s">
        <v>1532</v>
      </c>
    </row>
    <row r="38" spans="1:7" ht="13.5" customHeight="1">
      <c r="A38" s="734" t="s">
        <v>354</v>
      </c>
      <c r="B38" s="207" t="s">
        <v>1533</v>
      </c>
      <c r="C38" s="212">
        <f ca="1">ROUND(C34*F38,0)</f>
        <v>1329</v>
      </c>
      <c r="D38" s="212"/>
      <c r="E38" s="212"/>
      <c r="F38" s="251">
        <f>'数据-取费表'!B36</f>
        <v>0.03</v>
      </c>
      <c r="G38" s="211" t="s">
        <v>1528</v>
      </c>
    </row>
    <row r="39" spans="1:7" s="206" customFormat="1" ht="13.5" customHeight="1">
      <c r="A39" s="247" t="s">
        <v>1534</v>
      </c>
      <c r="B39" s="202" t="s">
        <v>1535</v>
      </c>
      <c r="C39" s="224">
        <f ca="1">ROUND(C33*F20,0)</f>
        <v>1531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2463</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2391</v>
      </c>
      <c r="D42" s="230"/>
      <c r="E42" s="230"/>
      <c r="F42" s="231"/>
      <c r="G42" s="3336" t="s">
        <v>1544</v>
      </c>
    </row>
    <row r="43" spans="1:7" ht="13.5" customHeight="1">
      <c r="A43" s="734" t="s">
        <v>347</v>
      </c>
      <c r="B43" s="207" t="s">
        <v>1545</v>
      </c>
      <c r="C43" s="230">
        <f ca="1">ROUND(IF('数据-取费表'!B22&lt;=1,C39*F22*'数据-取费表'!B21/2,C39*(POWER((1+F22),'数据-取费表'!B21/2)-1)),0)</f>
        <v>72</v>
      </c>
      <c r="D43" s="230"/>
      <c r="E43" s="230"/>
      <c r="F43" s="231"/>
      <c r="G43" s="3337"/>
    </row>
    <row r="44" spans="1:7" ht="13.5" customHeight="1">
      <c r="A44" s="734" t="s">
        <v>348</v>
      </c>
      <c r="B44" s="207" t="s">
        <v>1546</v>
      </c>
      <c r="C44" s="230">
        <f ca="1">ROUND(IF('数据-取费表'!B22&lt;=1,C40*F22*'数据-取费表'!B21/2,C40*(POWER((1+F22),'数据-取费表'!B21/2)-1)),4)</f>
        <v>1.4E-3</v>
      </c>
      <c r="D44" s="230"/>
      <c r="E44" s="230"/>
      <c r="F44" s="231"/>
      <c r="G44" s="3338"/>
    </row>
    <row r="45" spans="1:7" s="206" customFormat="1" ht="13.5" customHeight="1">
      <c r="A45" s="247" t="s">
        <v>1547</v>
      </c>
      <c r="B45" s="236" t="s">
        <v>1513</v>
      </c>
      <c r="C45" s="237">
        <f ca="1">C46</f>
        <v>10513</v>
      </c>
      <c r="D45" s="227">
        <f ca="1">C47</f>
        <v>6.0000000000000001E-3</v>
      </c>
      <c r="E45" s="228" t="s">
        <v>1539</v>
      </c>
      <c r="F45" s="238">
        <f ca="1">F27</f>
        <v>0.2</v>
      </c>
      <c r="G45" s="239" t="s">
        <v>1548</v>
      </c>
    </row>
    <row r="46" spans="1:7" s="206" customFormat="1" ht="13.5" customHeight="1">
      <c r="A46" s="734" t="s">
        <v>346</v>
      </c>
      <c r="B46" s="240" t="s">
        <v>1549</v>
      </c>
      <c r="C46" s="241">
        <f ca="1">ROUND((C33+C39)*F27,0)</f>
        <v>10513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72077</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64869</v>
      </c>
      <c r="D51" s="224"/>
      <c r="E51" s="224"/>
      <c r="F51" s="256"/>
      <c r="G51" s="226" t="s">
        <v>1560</v>
      </c>
    </row>
    <row r="52" spans="1:7" s="200" customFormat="1" ht="16.5" thickBot="1">
      <c r="A52" s="257" t="s">
        <v>1561</v>
      </c>
      <c r="B52" s="258"/>
      <c r="C52" s="259">
        <f ca="1">C31+C51</f>
        <v>143378</v>
      </c>
      <c r="D52" s="258"/>
      <c r="E52" s="258"/>
      <c r="F52" s="258"/>
      <c r="G52" s="260"/>
    </row>
    <row r="55" spans="1:7" ht="15">
      <c r="B55" s="262" t="s">
        <v>1562</v>
      </c>
      <c r="C55" s="263"/>
    </row>
    <row r="56" spans="1:7">
      <c r="B56" s="265" t="s">
        <v>802</v>
      </c>
      <c r="C56" s="267">
        <f ca="1">1-C57</f>
        <v>0.54800000000000004</v>
      </c>
    </row>
    <row r="57" spans="1:7">
      <c r="B57" s="265" t="s">
        <v>803</v>
      </c>
      <c r="C57" s="266">
        <f ca="1">ROUND(C51/C52,3)</f>
        <v>0.45200000000000001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67694.430399999997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14055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9632508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9632508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9632508</v>
      </c>
      <c r="D10" s="795">
        <f ca="1">IF(B1="",'数据-汇总表'!E6,IF(INDIRECT("'数据-取费表'!c"&amp;$G$1)="住宅",INDIRECT("'数据-取费表'!s"&amp;$G$1),INDIRECT("'数据-取费表'!k"&amp;$G$1)+INDIRECT("'数据-取费表'!s"&amp;$G$1)))</f>
        <v>48162.54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9632508</v>
      </c>
      <c r="D19" s="204">
        <f ca="1">D9+D10</f>
        <v>48162.54</v>
      </c>
      <c r="E19" s="203">
        <f>'数据-取费表'!B31</f>
        <v>200</v>
      </c>
      <c r="F19" s="223"/>
      <c r="G19" s="1714"/>
    </row>
    <row r="20" spans="1:7" s="206" customFormat="1" ht="13.5" customHeight="1">
      <c r="A20" s="247" t="s">
        <v>1574</v>
      </c>
      <c r="B20" s="202" t="s">
        <v>1575</v>
      </c>
      <c r="C20" s="224">
        <f ca="1">ROUND((C5+C19)*F20,0)</f>
        <v>577950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1874844</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923881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923881</v>
      </c>
      <c r="D24" s="230"/>
      <c r="E24" s="230"/>
      <c r="F24" s="231"/>
      <c r="G24" s="232" t="s">
        <v>1586</v>
      </c>
    </row>
    <row r="25" spans="1:7" s="206" customFormat="1" ht="24">
      <c r="A25" s="734" t="s">
        <v>1476</v>
      </c>
      <c r="B25" s="207" t="s">
        <v>1587</v>
      </c>
      <c r="C25" s="230">
        <f ca="1">ROUND(IF('数据-取费表'!B22&lt;=1,C20*F22*'数据-取费表'!B22/2,C20*(POWER((1+F22),'数据-取费表'!B22/2)-1)),0)</f>
        <v>27082</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3968593</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3968593</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28248546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510330274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443095368</v>
      </c>
      <c r="D34" s="209"/>
      <c r="E34" s="212"/>
      <c r="F34" s="249"/>
      <c r="G34" s="211"/>
    </row>
    <row r="35" spans="1:7" ht="13.5" customHeight="1">
      <c r="A35" s="734" t="s">
        <v>351</v>
      </c>
      <c r="B35" s="207" t="s">
        <v>1527</v>
      </c>
      <c r="C35" s="212">
        <f ca="1">ROUND(C34*F35,0)</f>
        <v>44309537</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9632508</v>
      </c>
      <c r="D37" s="209">
        <f ca="1">D19</f>
        <v>48162.54</v>
      </c>
      <c r="E37" s="241">
        <f>'数据-取费表'!B35</f>
        <v>200</v>
      </c>
      <c r="F37" s="251"/>
      <c r="G37" s="253"/>
    </row>
    <row r="38" spans="1:7" ht="13.5" customHeight="1">
      <c r="A38" s="734" t="s">
        <v>354</v>
      </c>
      <c r="B38" s="207" t="s">
        <v>1533</v>
      </c>
      <c r="C38" s="212">
        <f ca="1">ROUND(C34*F38,0)</f>
        <v>13292861</v>
      </c>
      <c r="D38" s="212"/>
      <c r="E38" s="212"/>
      <c r="F38" s="251">
        <f>'数据-取费表'!B36</f>
        <v>0.03</v>
      </c>
      <c r="G38" s="211" t="s">
        <v>1528</v>
      </c>
    </row>
    <row r="39" spans="1:7" s="206" customFormat="1" ht="13.5" customHeight="1">
      <c r="A39" s="247" t="s">
        <v>1534</v>
      </c>
      <c r="B39" s="202" t="s">
        <v>1535</v>
      </c>
      <c r="C39" s="224">
        <f ca="1">ROUND(C33*F20,0)</f>
        <v>15309908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24630729</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23913329</v>
      </c>
      <c r="D42" s="230"/>
      <c r="E42" s="230"/>
      <c r="F42" s="231"/>
      <c r="G42" s="3336" t="s">
        <v>1591</v>
      </c>
    </row>
    <row r="43" spans="1:7" ht="13.5" customHeight="1">
      <c r="A43" s="734" t="s">
        <v>347</v>
      </c>
      <c r="B43" s="207" t="s">
        <v>1545</v>
      </c>
      <c r="C43" s="230">
        <f ca="1">ROUND(IF('数据-取费表'!B22&lt;=1,C39*F22*'数据-取费表'!B20/2,C39*(POWER((1+F22),'数据-取费表'!B20/2)-1)),0)</f>
        <v>717400</v>
      </c>
      <c r="D43" s="230"/>
      <c r="E43" s="230"/>
      <c r="F43" s="231"/>
      <c r="G43" s="3337"/>
    </row>
    <row r="44" spans="1:7" ht="13.5" customHeight="1">
      <c r="A44" s="734" t="s">
        <v>348</v>
      </c>
      <c r="B44" s="207" t="s">
        <v>1546</v>
      </c>
      <c r="C44" s="230">
        <f ca="1">ROUND(IF('数据-取费表'!B22&lt;=1,C40*F22*'数据-取费表'!B20/2,C40*(POWER((1+F22),'数据-取费表'!B20/2)-1)),4)</f>
        <v>1.4E-3</v>
      </c>
      <c r="D44" s="230"/>
      <c r="E44" s="230"/>
      <c r="F44" s="231"/>
      <c r="G44" s="3338"/>
    </row>
    <row r="45" spans="1:7" s="206" customFormat="1" ht="13.5" customHeight="1">
      <c r="A45" s="247" t="s">
        <v>1547</v>
      </c>
      <c r="B45" s="236" t="s">
        <v>1513</v>
      </c>
      <c r="C45" s="237">
        <f ca="1">C46</f>
        <v>105128036</v>
      </c>
      <c r="D45" s="227">
        <f ca="1">C47</f>
        <v>6.0000000000000001E-3</v>
      </c>
      <c r="E45" s="228" t="s">
        <v>1539</v>
      </c>
      <c r="F45" s="238">
        <f ca="1">F27</f>
        <v>0.2</v>
      </c>
      <c r="G45" s="239" t="s">
        <v>1548</v>
      </c>
    </row>
    <row r="46" spans="1:7" s="206" customFormat="1" ht="13.5" customHeight="1">
      <c r="A46" s="734" t="s">
        <v>346</v>
      </c>
      <c r="B46" s="240" t="s">
        <v>1549</v>
      </c>
      <c r="C46" s="241">
        <f ca="1">ROUND((C33+C39)*F27,0)</f>
        <v>105128036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720773064</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648695758</v>
      </c>
      <c r="D51" s="224"/>
      <c r="E51" s="224"/>
      <c r="F51" s="256"/>
      <c r="G51" s="226" t="s">
        <v>1560</v>
      </c>
    </row>
    <row r="52" spans="1:7" s="200" customFormat="1" ht="16.5" thickBot="1">
      <c r="A52" s="257" t="s">
        <v>1561</v>
      </c>
      <c r="B52" s="258"/>
      <c r="C52" s="259">
        <f ca="1">C31+C51</f>
        <v>676944304</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48162.54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48162.54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963</v>
      </c>
      <c r="D20" s="796">
        <f ca="1">IF(C1="",'数据-汇总表'!E6,IF(INDIRECT("'数据-取费表'!c"&amp;$K$1)="住宅",INDIRECT("'数据-取费表'!s"&amp;$K$1),INDIRECT("'数据-取费表'!k"&amp;$K$1)+INDIRECT("'数据-取费表'!s"&amp;$K$1)))</f>
        <v>48162.54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52" sqref="F5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48162.539999999994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51023</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20225</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10594</v>
      </c>
      <c r="C3" s="1846" t="s">
        <v>1941</v>
      </c>
      <c r="D3" s="162" t="s">
        <v>1942</v>
      </c>
      <c r="E3" s="3119" t="s">
        <v>2445</v>
      </c>
      <c r="F3" s="1848" t="s">
        <v>3487</v>
      </c>
      <c r="G3" s="708">
        <f>IF(F3="宗地容积率",'数据-汇总表'!I4,IF(F3="估价对象容积率",'数据-汇总表'!I6,'数据-汇总表'!I7))</f>
        <v>4.5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15942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16610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13473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16756</v>
      </c>
      <c r="D5" s="1252">
        <f>ROUND(C6*C17+C20,0)</f>
        <v>16590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11883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16610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11420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1.01</v>
      </c>
      <c r="D7" s="1866" t="s">
        <v>1953</v>
      </c>
      <c r="E7" s="730">
        <v>150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4.5</v>
      </c>
      <c r="AA7" s="1133"/>
      <c r="AB7" s="1133"/>
      <c r="AC7" s="1134"/>
      <c r="AD7" s="1135"/>
      <c r="AE7" s="1135"/>
      <c r="AF7" s="1135"/>
      <c r="AG7" s="1135"/>
      <c r="AH7" s="1135"/>
      <c r="AI7" s="1135"/>
      <c r="AJ7" s="1136"/>
    </row>
    <row r="8" spans="1:36" ht="15">
      <c r="A8" s="3010"/>
      <c r="B8" s="162" t="s">
        <v>1957</v>
      </c>
      <c r="C8" s="1870" t="s">
        <v>3488</v>
      </c>
      <c r="D8" s="712" t="s">
        <v>112</v>
      </c>
      <c r="E8" s="713">
        <f>ROUND(C11/E7,4)</f>
        <v>2.5000000000000001E-2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0.1</v>
      </c>
      <c r="D9" s="163" t="s">
        <v>113</v>
      </c>
      <c r="E9" s="163">
        <f>ROUND(C11/E7,4)</f>
        <v>2.5000000000000001E-2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15</v>
      </c>
      <c r="D10" s="163" t="s">
        <v>114</v>
      </c>
      <c r="E10" s="163">
        <f>ROUND(C11/E7,4)</f>
        <v>2.5000000000000001E-2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3.75</v>
      </c>
      <c r="D11" s="715" t="s">
        <v>115</v>
      </c>
      <c r="E11" s="715">
        <f>ROUND(C11/E7,4)</f>
        <v>2.5000000000000001E-2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-20</v>
      </c>
      <c r="D20" s="3047" t="s">
        <v>1998</v>
      </c>
      <c r="E20" s="3048"/>
      <c r="F20" s="3457" t="s">
        <v>1995</v>
      </c>
      <c r="G20" s="3458"/>
      <c r="H20" s="3033" t="s">
        <v>3490</v>
      </c>
      <c r="I20" s="3033" t="s">
        <v>3491</v>
      </c>
      <c r="J20" s="3034" t="s">
        <v>3492</v>
      </c>
      <c r="K20" s="1889" t="s">
        <v>3493</v>
      </c>
      <c r="L20" s="1889" t="s">
        <v>3494</v>
      </c>
      <c r="M20" s="1889"/>
      <c r="N20" s="1889" t="s">
        <v>3495</v>
      </c>
      <c r="O20" s="1890" t="s">
        <v>3496</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3489</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40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0.9</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45734</v>
      </c>
      <c r="H23" s="3049" t="s">
        <v>3255</v>
      </c>
      <c r="I23" s="3050" t="str">
        <f>IF(H23="季度增幅（自定义）",SUMIF(N25:N28,E2,O25:O28),"")</f>
        <v/>
      </c>
      <c r="J23" s="3142" t="s">
        <v>3497</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0.83209999999999995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24.76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0.92130000000000001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0.92130000000000001</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08">
        <f>ROUNDUP(G3,1)</f>
        <v>4.5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1.0418000000000001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51023</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2044</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12407</v>
      </c>
      <c r="D33" s="1940">
        <f>'数据-基础表'!I13</f>
        <v>34533.280000000013</v>
      </c>
      <c r="E33" s="727">
        <f>ROUND(C33*D33/10000,0)</f>
        <v>42845</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3102</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8000</v>
      </c>
      <c r="D37" s="1940">
        <f>'数据-基础表'!K13/2</f>
        <v>6814.6299999999937</v>
      </c>
      <c r="E37" s="163">
        <f>ROUND(C37*D37/10000,0)</f>
        <v>5452</v>
      </c>
      <c r="F37" s="163">
        <f>SUMIF(修正!A57:A68,G2,修正!B57:B68)</f>
        <v>0.6</v>
      </c>
      <c r="G37" s="163">
        <f>ROUND(IF(E2="工业",C37*$M$42,C37*$M$41),0)</f>
        <v>2000</v>
      </c>
      <c r="H37" s="163">
        <f>D37</f>
        <v>6814.6299999999937</v>
      </c>
      <c r="I37" s="163">
        <f>ROUND(G37*H37/10000,0)</f>
        <v>1363</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4000</v>
      </c>
      <c r="D38" s="1940">
        <f>D37</f>
        <v>6814.6299999999937</v>
      </c>
      <c r="E38" s="163">
        <f t="shared" ref="E38:E42" si="4">ROUND(C38*D38/10000,0)</f>
        <v>2726</v>
      </c>
      <c r="F38" s="163">
        <f>SUMIF(修正!A57:A68,G2,修正!C57:C68)</f>
        <v>0.3</v>
      </c>
      <c r="G38" s="163">
        <f>ROUND(IF(E2="工业",C38*$M$42,C38*$M$41),0)</f>
        <v>1000</v>
      </c>
      <c r="H38" s="163">
        <f t="shared" ref="H38:H42" si="5">D38</f>
        <v>6814.6299999999937</v>
      </c>
      <c r="I38" s="163">
        <f t="shared" ref="I38:I42" si="6">ROUND(G38*H38/10000,0)</f>
        <v>681</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3258</v>
      </c>
      <c r="C39" s="167">
        <f>ROUND(D5*C22*C23*C24*C28*F39,0)</f>
        <v>3333</v>
      </c>
      <c r="D39" s="1940"/>
      <c r="E39" s="163">
        <f t="shared" si="4"/>
        <v>0</v>
      </c>
      <c r="F39" s="163">
        <f>SUMIF(修正!A57:A68,G2,修正!D57:D68)</f>
        <v>0.25</v>
      </c>
      <c r="G39" s="163">
        <f>ROUND(IF(E2="工业",C39*$M$42,C39*$M$41),0)</f>
        <v>833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3333</v>
      </c>
      <c r="D40" s="1940"/>
      <c r="E40" s="163">
        <f t="shared" si="4"/>
        <v>0</v>
      </c>
      <c r="F40" s="167">
        <f>SUMIF(修正!A57:A68,G2,修正!E57:E68)</f>
        <v>0.25</v>
      </c>
      <c r="G40" s="163">
        <f>ROUND(IF(E2="工业",C40*$M$42,C40*$M$41),0)</f>
        <v>833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1.0418000000000001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3498</v>
      </c>
      <c r="D50" s="1002">
        <f t="shared" ref="D50:D58" si="7">SUMIF($J$49:$N$49,C50,J50:N50)</f>
        <v>1.47E-2</v>
      </c>
      <c r="E50" s="702">
        <f>ROUND(SUM(D50:D58),4)</f>
        <v>4.1799999999999997E-2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3499</v>
      </c>
      <c r="D51" s="1002">
        <f t="shared" si="7"/>
        <v>0</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3498</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3498</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3498</v>
      </c>
      <c r="D54" s="1002">
        <f t="shared" si="7"/>
        <v>3.8999999999999998E-3</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3498</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3498</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3500</v>
      </c>
      <c r="D57" s="1002">
        <f t="shared" si="7"/>
        <v>7.7999999999999996E-3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3498</v>
      </c>
      <c r="D58" s="1002">
        <f t="shared" si="7"/>
        <v>2.3999999999999998E-3</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3293</v>
      </c>
      <c r="B103" s="3453"/>
      <c r="C103" s="3453"/>
      <c r="D103" s="3453"/>
      <c r="E103" s="3453"/>
      <c r="F103" s="3453"/>
      <c r="G103" s="3453"/>
      <c r="H103" s="3453"/>
      <c r="I103" s="3453"/>
      <c r="J103" s="3453"/>
      <c r="K103" s="1667"/>
      <c r="L103" s="1667"/>
      <c r="M103" s="1667"/>
      <c r="N103" s="1667"/>
    </row>
    <row r="104" spans="1:14">
      <c r="A104" s="3454" t="s">
        <v>3294</v>
      </c>
      <c r="B104" s="3454" t="s">
        <v>3295</v>
      </c>
      <c r="C104" s="3091" t="s">
        <v>3296</v>
      </c>
      <c r="D104" s="3092"/>
      <c r="E104" s="3092"/>
      <c r="F104" s="3092"/>
      <c r="G104" s="3092"/>
      <c r="H104" s="3092"/>
      <c r="I104" s="3092"/>
      <c r="J104" s="3093"/>
      <c r="K104" s="3094"/>
      <c r="L104" s="3094"/>
      <c r="M104" s="3094"/>
      <c r="N104" s="3094"/>
    </row>
    <row r="105" spans="1:14">
      <c r="A105" s="3454"/>
      <c r="B105" s="3454"/>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0"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3310</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4.5</v>
      </c>
      <c r="C116" s="3100" t="s">
        <v>3312</v>
      </c>
      <c r="D116" s="3101">
        <f>SUMPRODUCT((A118:A122=F116)*(B117:M117=H116)*B118:M122)</f>
        <v>0.88600000000000001</v>
      </c>
      <c r="E116" s="162" t="s">
        <v>3313</v>
      </c>
      <c r="F116" s="3102" t="str">
        <f>E2</f>
        <v>商业</v>
      </c>
      <c r="G116" s="162" t="s">
        <v>3314</v>
      </c>
      <c r="H116" s="3102" t="str">
        <f>G2</f>
        <v>四级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0.94730000000000003</v>
      </c>
      <c r="C118" s="3090">
        <f>B118</f>
        <v>0.94730000000000003</v>
      </c>
      <c r="D118" s="3090">
        <f>ROUND(0.949-0.014*B116,4)</f>
        <v>0.88600000000000001</v>
      </c>
      <c r="E118" s="3090">
        <f>D118</f>
        <v>0.88600000000000001</v>
      </c>
      <c r="F118" s="3090">
        <f>E118</f>
        <v>0.88600000000000001</v>
      </c>
      <c r="G118" s="3090">
        <f>F118</f>
        <v>0.88600000000000001</v>
      </c>
      <c r="H118" s="3090">
        <f>G118</f>
        <v>0.88600000000000001</v>
      </c>
      <c r="I118" s="3090">
        <f>ROUND(0.8486-0.018*B116,4)</f>
        <v>0.76759999999999995</v>
      </c>
      <c r="J118" s="3090">
        <f t="shared" ref="J118:M122" si="36">I118</f>
        <v>0.76759999999999995</v>
      </c>
      <c r="K118" s="3090">
        <f t="shared" si="36"/>
        <v>0.76759999999999995</v>
      </c>
      <c r="L118" s="3090">
        <f t="shared" si="36"/>
        <v>0.76759999999999995</v>
      </c>
      <c r="M118" s="3110">
        <f t="shared" si="36"/>
        <v>0.76759999999999995</v>
      </c>
      <c r="N118" s="3098"/>
    </row>
    <row r="119" spans="1:14">
      <c r="A119" s="3058" t="s">
        <v>3328</v>
      </c>
      <c r="B119" s="3090">
        <f>ROUND(0.993-0.0112*B116,4)</f>
        <v>0.94259999999999999</v>
      </c>
      <c r="C119" s="3090">
        <f>B119</f>
        <v>0.94259999999999999</v>
      </c>
      <c r="D119" s="3090">
        <f>ROUND(0.9415-0.0142*B116,4)</f>
        <v>0.87760000000000005</v>
      </c>
      <c r="E119" s="3090">
        <f t="shared" ref="E119:H120" si="37">D119</f>
        <v>0.87760000000000005</v>
      </c>
      <c r="F119" s="3090">
        <f t="shared" si="37"/>
        <v>0.87760000000000005</v>
      </c>
      <c r="G119" s="3090">
        <f t="shared" si="37"/>
        <v>0.87760000000000005</v>
      </c>
      <c r="H119" s="3090">
        <f t="shared" si="37"/>
        <v>0.87760000000000005</v>
      </c>
      <c r="I119" s="3090">
        <f>ROUND(0.838-0.0182*B116,4)</f>
        <v>0.75609999999999999</v>
      </c>
      <c r="J119" s="3090">
        <f t="shared" si="36"/>
        <v>0.75609999999999999</v>
      </c>
      <c r="K119" s="3090">
        <f t="shared" si="36"/>
        <v>0.75609999999999999</v>
      </c>
      <c r="L119" s="3090">
        <f t="shared" si="36"/>
        <v>0.75609999999999999</v>
      </c>
      <c r="M119" s="3110">
        <f t="shared" si="36"/>
        <v>0.75609999999999999</v>
      </c>
      <c r="N119" s="3098"/>
    </row>
    <row r="120" spans="1:14">
      <c r="A120" s="3058" t="s">
        <v>3329</v>
      </c>
      <c r="B120" s="3090">
        <f>ROUND(0.9448-0.0115*B116,4)</f>
        <v>0.8931</v>
      </c>
      <c r="C120" s="3090">
        <f>B120</f>
        <v>0.8931</v>
      </c>
      <c r="D120" s="3090">
        <f>ROUND(0.937-0.0145*B116,4)</f>
        <v>0.87180000000000002</v>
      </c>
      <c r="E120" s="3090">
        <f t="shared" si="37"/>
        <v>0.87180000000000002</v>
      </c>
      <c r="F120" s="3090">
        <f t="shared" si="37"/>
        <v>0.87180000000000002</v>
      </c>
      <c r="G120" s="3090">
        <f t="shared" si="37"/>
        <v>0.87180000000000002</v>
      </c>
      <c r="H120" s="3090">
        <f t="shared" si="37"/>
        <v>0.87180000000000002</v>
      </c>
      <c r="I120" s="3090">
        <f>ROUND(0.7965-0.0185*B116,4)</f>
        <v>0.71330000000000005</v>
      </c>
      <c r="J120" s="3090">
        <f t="shared" si="36"/>
        <v>0.71330000000000005</v>
      </c>
      <c r="K120" s="3090">
        <f t="shared" si="36"/>
        <v>0.71330000000000005</v>
      </c>
      <c r="L120" s="3090">
        <f t="shared" si="36"/>
        <v>0.71330000000000005</v>
      </c>
      <c r="M120" s="3110">
        <f t="shared" si="36"/>
        <v>0.71330000000000005</v>
      </c>
      <c r="N120" s="3098"/>
    </row>
    <row r="121" spans="1:14" ht="13.5" thickBot="1">
      <c r="A121" s="3111" t="s">
        <v>3330</v>
      </c>
      <c r="B121" s="3112">
        <f>ROUND(0.7836-0.012*B116,4)</f>
        <v>0.72960000000000003</v>
      </c>
      <c r="C121" s="3112">
        <f>B121</f>
        <v>0.72960000000000003</v>
      </c>
      <c r="D121" s="3112">
        <f>ROUND(0.753-0.015*B116,4)</f>
        <v>0.6855</v>
      </c>
      <c r="E121" s="3112">
        <f>D121</f>
        <v>0.6855</v>
      </c>
      <c r="F121" s="3112">
        <f>E121</f>
        <v>0.6855</v>
      </c>
      <c r="G121" s="3112">
        <f>ROUND(0.6612-0.018*B116,4)</f>
        <v>0.58020000000000005</v>
      </c>
      <c r="H121" s="3112">
        <f>G121</f>
        <v>0.58020000000000005</v>
      </c>
      <c r="I121" s="3112">
        <f>ROUND(0.5905-0.019*B116,4)</f>
        <v>0.505</v>
      </c>
      <c r="J121" s="3112">
        <f t="shared" si="36"/>
        <v>0.505</v>
      </c>
      <c r="K121" s="3112">
        <f t="shared" si="36"/>
        <v>0.505</v>
      </c>
      <c r="L121" s="3112">
        <f t="shared" si="36"/>
        <v>0.505</v>
      </c>
      <c r="M121" s="3113">
        <f t="shared" si="36"/>
        <v>0.505</v>
      </c>
      <c r="N121" s="3098"/>
    </row>
    <row r="122" spans="1:14">
      <c r="A122" s="3114" t="s">
        <v>2612</v>
      </c>
      <c r="B122" s="3090">
        <f>ROUND(0.9404-0.0106*B116,4)</f>
        <v>0.89270000000000005</v>
      </c>
      <c r="C122" s="3090">
        <f>B122</f>
        <v>0.89270000000000005</v>
      </c>
      <c r="D122" s="3090">
        <f>ROUND(0.8955-0.0135*B116,4)</f>
        <v>0.83479999999999999</v>
      </c>
      <c r="E122" s="3090">
        <f t="shared" ref="E122:H122" si="38">D122</f>
        <v>0.83479999999999999</v>
      </c>
      <c r="F122" s="3090">
        <f t="shared" si="38"/>
        <v>0.83479999999999999</v>
      </c>
      <c r="G122" s="3090">
        <f t="shared" si="38"/>
        <v>0.83479999999999999</v>
      </c>
      <c r="H122" s="3090">
        <f t="shared" si="38"/>
        <v>0.83479999999999999</v>
      </c>
      <c r="I122" s="3090">
        <f>ROUND(0.7632-0.0166*B116,4)</f>
        <v>0.6885</v>
      </c>
      <c r="J122" s="3090">
        <f t="shared" si="36"/>
        <v>0.6885</v>
      </c>
      <c r="K122" s="3090">
        <f t="shared" si="36"/>
        <v>0.6885</v>
      </c>
      <c r="L122" s="3090">
        <f t="shared" si="36"/>
        <v>0.6885</v>
      </c>
      <c r="M122" s="3110">
        <f t="shared" si="36"/>
        <v>0.6885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C37" sqref="C37"/>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79649</v>
      </c>
      <c r="C2" s="2596" t="s">
        <v>2316</v>
      </c>
      <c r="D2" s="3139" t="s">
        <v>3358</v>
      </c>
      <c r="E2" s="3140">
        <f ca="1">收益法!L46</f>
        <v>5255</v>
      </c>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16538</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f>'数据-汇总表'!E31</f>
        <v>48162.54</v>
      </c>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v>10000</v>
      </c>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4655</v>
      </c>
      <c r="E7" s="2632">
        <f ca="1">E9+E10+E11+E17</f>
        <v>0.46549999999999997</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1500</v>
      </c>
      <c r="E9" s="2645">
        <v>0.15</v>
      </c>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1500</v>
      </c>
      <c r="E10" s="2645">
        <v>0.15</v>
      </c>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 ca="1">D12+D14+D15+D16</f>
        <v>1155</v>
      </c>
      <c r="E11" s="2647">
        <f ca="1">D11/D6</f>
        <v>0.11550000000000001</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 ca="1">ROUND(D13*1.2%*(1-30%),0)</f>
        <v>605</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成本法!C49</f>
        <v>72077</v>
      </c>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550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500</v>
      </c>
      <c r="E17" s="2664">
        <v>0.05</v>
      </c>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500</v>
      </c>
      <c r="E18" s="2667">
        <v>0.05</v>
      </c>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10000</v>
      </c>
      <c r="D23" s="2684">
        <f>C23*(1+D24)</f>
        <v>10000</v>
      </c>
      <c r="E23" s="2685">
        <f>D23*(1+E24)</f>
        <v>10000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4655</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0.46549999999999997</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500</v>
      </c>
      <c r="D29" s="2684">
        <f>D23*C30</f>
        <v>500</v>
      </c>
      <c r="E29" s="2685">
        <f>E23*C30</f>
        <v>500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4845</v>
      </c>
      <c r="D32" s="2684">
        <f>D23-D26-D29</f>
        <v>9500</v>
      </c>
      <c r="E32" s="2685">
        <f>E23-E26-E29</f>
        <v>9500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0.06</v>
      </c>
      <c r="D34" s="2727">
        <v>0.06</v>
      </c>
      <c r="E34" s="2728">
        <v>0.06</v>
      </c>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0.02</v>
      </c>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24.76</v>
      </c>
      <c r="D36" s="2737"/>
      <c r="E36" s="2738"/>
      <c r="F36" s="2739">
        <f>C36+D36+E36</f>
        <v>24.76</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74394</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74394</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74394</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15446</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3482</v>
      </c>
      <c r="D1" s="1271" t="s">
        <v>43</v>
      </c>
      <c r="E1" s="1272" t="s">
        <v>678</v>
      </c>
      <c r="F1" s="999">
        <f ca="1">J53</f>
        <v>24.76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5255</v>
      </c>
      <c r="C2" s="1289" t="s">
        <v>805</v>
      </c>
      <c r="D2" s="1289"/>
      <c r="E2" s="1295"/>
      <c r="F2" s="1296"/>
      <c r="G2" s="2479"/>
      <c r="H2" s="2469"/>
      <c r="I2" s="2469"/>
      <c r="J2" s="2469"/>
      <c r="K2" s="2470"/>
      <c r="L2" s="2469"/>
      <c r="M2" s="2469"/>
    </row>
    <row r="3" spans="1:37" ht="18" customHeight="1" thickBot="1">
      <c r="A3" s="1297" t="s">
        <v>806</v>
      </c>
      <c r="B3" s="1298">
        <f ca="1">IF(ISERROR(B2*10000/F43),0,ROUND(B2*10000/F43,0))</f>
        <v>1091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48162.54</v>
      </c>
      <c r="G7" s="1292"/>
      <c r="H7" s="296"/>
      <c r="I7" s="3342"/>
      <c r="J7" s="298"/>
      <c r="K7" s="299"/>
      <c r="L7" s="294" t="s">
        <v>697</v>
      </c>
      <c r="M7" s="295">
        <f ca="1">F7</f>
        <v>48162.54</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44310</v>
      </c>
      <c r="D14" s="1257" t="s">
        <v>708</v>
      </c>
      <c r="E14" s="1255"/>
      <c r="F14" s="311"/>
      <c r="G14" s="1292"/>
      <c r="H14" s="928" t="s">
        <v>398</v>
      </c>
      <c r="I14" s="294" t="s">
        <v>709</v>
      </c>
      <c r="J14" s="21">
        <f ca="1">C29</f>
        <v>72077</v>
      </c>
      <c r="K14" s="12"/>
      <c r="L14" s="759"/>
      <c r="M14" s="760"/>
    </row>
    <row r="15" spans="1:37" s="1304" customFormat="1" ht="18" customHeight="1" thickBot="1">
      <c r="A15" s="928" t="s">
        <v>399</v>
      </c>
      <c r="B15" s="294" t="s">
        <v>710</v>
      </c>
      <c r="C15" s="21">
        <f ca="1">ROUND(C14*F15,0)</f>
        <v>4431</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963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1329</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51033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1531</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2463</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10513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72077</v>
      </c>
      <c r="D29" s="1029"/>
      <c r="E29" s="1027"/>
      <c r="F29" s="1030"/>
      <c r="G29" s="1303"/>
      <c r="H29" s="325" t="s">
        <v>396</v>
      </c>
      <c r="I29" s="326" t="s">
        <v>768</v>
      </c>
      <c r="J29" s="327">
        <f ca="1">ROUND(J26/(1+F40)^F41,0)</f>
        <v>0</v>
      </c>
      <c r="K29" s="328" t="s">
        <v>769</v>
      </c>
      <c r="L29" s="329"/>
      <c r="M29" s="330">
        <f ca="1">INDIRECT("'数据-取费表'!k"&amp;$G$1)</f>
        <v>48162.54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0</v>
      </c>
      <c r="D43" s="328" t="s">
        <v>777</v>
      </c>
      <c r="E43" s="329" t="s">
        <v>778</v>
      </c>
      <c r="F43" s="330">
        <f ca="1">INDIRECT("'数据-取费表'!k"&amp;$G$1)</f>
        <v>48162.54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f ca="1">IF(M47="住宅",0,IF(L48&gt;J51,L60,J60))</f>
        <v>5255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3510</v>
      </c>
      <c r="K47" s="1323" t="s">
        <v>816</v>
      </c>
      <c r="L47" s="1324">
        <f ca="1">INDIRECT("'数据-取费表'!d"&amp;$G$1)</f>
        <v>40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3511</v>
      </c>
      <c r="K48" s="1330" t="s">
        <v>820</v>
      </c>
      <c r="L48" s="1331">
        <f ca="1">INDIRECT("'数据-取费表'!f"&amp;$G$1)</f>
        <v>24.76</v>
      </c>
      <c r="O48" s="1325" t="s">
        <v>404</v>
      </c>
      <c r="P48" s="1326" t="s">
        <v>821</v>
      </c>
      <c r="Q48" s="1327">
        <f ca="1">J60</f>
        <v>5255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2016</v>
      </c>
      <c r="K49" s="1330" t="s">
        <v>824</v>
      </c>
      <c r="L49" s="1333"/>
      <c r="O49" s="1334" t="s">
        <v>405</v>
      </c>
      <c r="P49" s="1326" t="s">
        <v>825</v>
      </c>
      <c r="Q49" s="1327">
        <f ca="1">C29</f>
        <v>72077</v>
      </c>
      <c r="R49" s="1327" t="s">
        <v>818</v>
      </c>
    </row>
    <row r="50" spans="1:18" s="1292" customFormat="1" ht="13.5" thickBot="1">
      <c r="A50" s="922"/>
      <c r="B50" s="925"/>
      <c r="C50" s="1055"/>
      <c r="D50" s="899"/>
      <c r="E50" s="993" t="s">
        <v>697</v>
      </c>
      <c r="F50" s="994">
        <f ca="1">F7</f>
        <v>48162.54</v>
      </c>
      <c r="H50" s="682"/>
      <c r="I50" s="1328" t="s">
        <v>826</v>
      </c>
      <c r="J50" s="1335">
        <f>SUMPRODUCT((I63:I65=J47)*(J62:L62=J48)*(J63:L65))</f>
        <v>60</v>
      </c>
      <c r="K50" s="1330" t="s">
        <v>827</v>
      </c>
      <c r="L50" s="1333"/>
      <c r="M50" s="1336"/>
      <c r="O50" s="1334" t="s">
        <v>406</v>
      </c>
      <c r="P50" s="1326" t="s">
        <v>828</v>
      </c>
      <c r="Q50" s="1337">
        <f ca="1">J58</f>
        <v>0.437</v>
      </c>
      <c r="R50" s="1327"/>
    </row>
    <row r="51" spans="1:18" s="1292" customFormat="1" ht="13.5" thickBot="1">
      <c r="A51" s="923"/>
      <c r="B51" s="925"/>
      <c r="C51" s="926"/>
      <c r="D51" s="899"/>
      <c r="E51" s="927" t="s">
        <v>698</v>
      </c>
      <c r="F51" s="295">
        <f ca="1">F8</f>
        <v>0</v>
      </c>
      <c r="I51" s="1338" t="s">
        <v>829</v>
      </c>
      <c r="J51" s="1331">
        <f>IF(J49="",J50,J49+J50-YEAR('数据-取费表'!B2))</f>
        <v>51</v>
      </c>
      <c r="K51" s="1339" t="s">
        <v>830</v>
      </c>
      <c r="L51" s="1340">
        <f ca="1">ROUND(-PV(INDIRECT("'数据-取费表'!h"&amp;$G$1),J51,(C39-C13*C76),0),0)</f>
        <v>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24.76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24.76</v>
      </c>
      <c r="K53" s="3339" t="s">
        <v>837</v>
      </c>
      <c r="L53" s="3340"/>
      <c r="O53" s="1325" t="s">
        <v>409</v>
      </c>
      <c r="P53" s="1326" t="s">
        <v>838</v>
      </c>
      <c r="Q53" s="1327">
        <f ca="1">Q47+Q48</f>
        <v>5255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0.437</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3512</v>
      </c>
      <c r="K56" s="1328" t="s">
        <v>843</v>
      </c>
      <c r="L56" s="1331" t="str">
        <f ca="1">IF(L48&lt;J51,"——",L48-J53)</f>
        <v>——</v>
      </c>
      <c r="O56" s="1325" t="s">
        <v>403</v>
      </c>
      <c r="P56" s="1326" t="s">
        <v>817</v>
      </c>
      <c r="Q56" s="1327">
        <f ca="1">C40+J29</f>
        <v>0</v>
      </c>
      <c r="R56" s="1327" t="s">
        <v>818</v>
      </c>
    </row>
    <row r="57" spans="1:18" s="1292" customFormat="1" ht="24.75" thickBot="1">
      <c r="A57" s="1356"/>
      <c r="B57" s="896" t="s">
        <v>767</v>
      </c>
      <c r="C57" s="230">
        <f ca="1">C29</f>
        <v>72077</v>
      </c>
      <c r="D57" s="1357"/>
      <c r="E57" s="1358"/>
      <c r="F57" s="1359"/>
      <c r="I57" s="1360" t="s">
        <v>844</v>
      </c>
      <c r="J57" s="1361">
        <f ca="1">IF(OR(M47="住宅",J51&lt;L48,J56="是"),"——",J51-L48)</f>
        <v>26.24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0.437</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31498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5255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f ca="1">C40+J29</f>
        <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0</v>
      </c>
      <c r="D68" s="911" t="s">
        <v>758</v>
      </c>
      <c r="E68" s="896" t="s">
        <v>759</v>
      </c>
      <c r="F68" s="304">
        <f ca="1">F40</f>
        <v>5.5E-2</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f ca="1">ROUND(C68*10000/F71,0)</f>
        <v>0</v>
      </c>
      <c r="D71" s="919" t="s">
        <v>777</v>
      </c>
      <c r="E71" s="920" t="s">
        <v>778</v>
      </c>
      <c r="F71" s="330">
        <f ca="1">F43</f>
        <v>48162.54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48162.54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48162.54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48162.54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估价对象为北京市房地产，为所有。根据《国有土地使用证》[]，估价对象（分摊）出让国有建设用地使用权面积为0平方米，建筑面积为48162.54平方米。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估价对象为北京市房地产,属开发建设的，该项目尚在开发建设中。根据《国有土地使用证》[]，估价对象（分摊）出让国有建设用地使用权面积为0平方米，规划建筑面积为48162.54平方米。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48162.54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68"/>
      <c r="Q10" s="530" t="str">
        <f t="shared" si="6"/>
        <v>土地使用年限（年）</v>
      </c>
      <c r="R10" s="664" t="s">
        <v>14</v>
      </c>
      <c r="S10" s="665">
        <f t="shared" si="0"/>
        <v>122</v>
      </c>
      <c r="T10" s="664" t="s">
        <v>14</v>
      </c>
      <c r="U10" s="665">
        <f t="shared" si="1"/>
        <v>122</v>
      </c>
      <c r="V10" s="664" t="s">
        <v>14</v>
      </c>
      <c r="W10" s="665">
        <f t="shared" si="2"/>
        <v>122</v>
      </c>
      <c r="X10" s="666"/>
      <c r="Y10" s="3243"/>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34533.280000000013</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34533.280000000013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68"/>
      <c r="Q10" s="530" t="str">
        <f t="shared" si="6"/>
        <v>土地使用年限（年）</v>
      </c>
      <c r="R10" s="664" t="s">
        <v>14</v>
      </c>
      <c r="S10" s="665">
        <f t="shared" si="0"/>
        <v>122</v>
      </c>
      <c r="T10" s="664" t="s">
        <v>14</v>
      </c>
      <c r="U10" s="665">
        <f t="shared" si="1"/>
        <v>122</v>
      </c>
      <c r="V10" s="664" t="s">
        <v>14</v>
      </c>
      <c r="W10" s="665">
        <f t="shared" si="2"/>
        <v>122</v>
      </c>
      <c r="X10" s="666"/>
      <c r="Y10" s="3243"/>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34533.280000000013</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51023</v>
      </c>
      <c r="C2" s="1984" t="s">
        <v>2074</v>
      </c>
      <c r="D2" s="1984" t="s">
        <v>2075</v>
      </c>
      <c r="E2" s="2398">
        <f ca="1">SUMIF(E6:E13,"&lt;&gt;#ref!",E6:E13)</f>
        <v>48162.539999999994</v>
      </c>
      <c r="F2" s="2545"/>
      <c r="G2" s="2545"/>
      <c r="H2" s="2545"/>
      <c r="I2" s="2545"/>
      <c r="J2" s="2545"/>
      <c r="K2" s="2545"/>
      <c r="L2" s="2545"/>
      <c r="M2" s="2545"/>
      <c r="N2" s="2545"/>
      <c r="O2" s="2545"/>
      <c r="P2" s="2545"/>
    </row>
    <row r="3" spans="1:16" ht="15.75">
      <c r="A3" s="1984" t="s">
        <v>2076</v>
      </c>
      <c r="B3" s="2388">
        <f ca="1">ROUND(B2*10000/E2,0)</f>
        <v>10594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51023</v>
      </c>
      <c r="C6" s="1984" t="s">
        <v>2074</v>
      </c>
      <c r="D6" s="2545"/>
      <c r="E6" s="2398">
        <f ca="1">SUMIF(INDIRECT("'"&amp;A6&amp;"'"&amp;"!C:C"),"建筑面积",INDIRECT("'"&amp;A6&amp;"'"&amp;"!D:D"))</f>
        <v>48162.539999999994</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989C-5075-4B02-9CB1-BB507B66CF21}">
  <sheetPr>
    <tabColor rgb="FF00B0F0"/>
  </sheetPr>
  <dimension ref="A1:R39"/>
  <sheetViews>
    <sheetView zoomScale="70" zoomScaleNormal="70" workbookViewId="0">
      <selection activeCell="D7" sqref="D7"/>
    </sheetView>
  </sheetViews>
  <sheetFormatPr defaultColWidth="9" defaultRowHeight="13.5"/>
  <cols>
    <col min="1" max="3" width="9" style="3490"/>
    <col min="4" max="4" width="35.25" style="3490" customWidth="1"/>
    <col min="5" max="11" width="9" style="3490"/>
    <col min="12" max="12" width="35.625" style="3490" customWidth="1"/>
    <col min="13" max="13" width="9" style="3490"/>
    <col min="14" max="14" width="35.625" style="3490" customWidth="1"/>
    <col min="15" max="16384" width="9" style="3490"/>
  </cols>
  <sheetData>
    <row r="1" spans="1:18" ht="15">
      <c r="A1" s="3489" t="s">
        <v>3404</v>
      </c>
      <c r="B1" s="3489"/>
      <c r="C1" s="3489"/>
      <c r="D1" s="3489"/>
      <c r="E1" s="3489"/>
    </row>
    <row r="2" spans="1:18" ht="27">
      <c r="A2" s="3491" t="s">
        <v>3405</v>
      </c>
      <c r="B2" s="3491" t="s">
        <v>3406</v>
      </c>
      <c r="C2" s="3491" t="s">
        <v>3407</v>
      </c>
      <c r="D2" s="3491" t="s">
        <v>3408</v>
      </c>
      <c r="E2" s="3491" t="s">
        <v>3409</v>
      </c>
      <c r="G2" s="3492" t="s">
        <v>3410</v>
      </c>
      <c r="K2" s="3490" t="s">
        <v>3411</v>
      </c>
      <c r="L2" s="3490" t="s">
        <v>3410</v>
      </c>
      <c r="M2" s="3490" t="s">
        <v>3412</v>
      </c>
      <c r="N2" s="3490" t="s">
        <v>3410</v>
      </c>
    </row>
    <row r="3" spans="1:18" ht="67.5">
      <c r="A3" s="3491">
        <v>1</v>
      </c>
      <c r="B3" s="3491" t="s">
        <v>3413</v>
      </c>
      <c r="C3" s="3493">
        <v>5308</v>
      </c>
      <c r="D3" s="3494" t="s">
        <v>3414</v>
      </c>
      <c r="E3" s="3494" t="s">
        <v>3415</v>
      </c>
      <c r="G3" s="3490">
        <f>C3</f>
        <v>5308</v>
      </c>
      <c r="K3" s="3490" t="s">
        <v>3416</v>
      </c>
      <c r="L3" s="3490">
        <v>2503.64</v>
      </c>
      <c r="M3" s="3490" t="s">
        <v>3417</v>
      </c>
      <c r="N3" s="3490">
        <v>2503.64</v>
      </c>
    </row>
    <row r="4" spans="1:18" ht="54">
      <c r="A4" s="3495">
        <v>2</v>
      </c>
      <c r="B4" s="3495" t="s">
        <v>3418</v>
      </c>
      <c r="C4" s="3491" t="s">
        <v>3419</v>
      </c>
      <c r="D4" s="3494" t="s">
        <v>3420</v>
      </c>
      <c r="E4" s="3495" t="s">
        <v>3421</v>
      </c>
      <c r="G4" s="3490">
        <v>2602</v>
      </c>
      <c r="K4" s="3490" t="s">
        <v>3422</v>
      </c>
      <c r="L4" s="3490">
        <v>915</v>
      </c>
      <c r="M4" s="3490" t="s">
        <v>3417</v>
      </c>
      <c r="N4" s="3490">
        <v>915</v>
      </c>
    </row>
    <row r="5" spans="1:18" ht="54">
      <c r="A5" s="3496"/>
      <c r="B5" s="3496"/>
      <c r="C5" s="3491" t="s">
        <v>3423</v>
      </c>
      <c r="D5" s="3494" t="s">
        <v>3424</v>
      </c>
      <c r="E5" s="3496"/>
      <c r="G5" s="3490">
        <v>2075</v>
      </c>
      <c r="K5" s="3490" t="s">
        <v>3425</v>
      </c>
      <c r="L5" s="3490">
        <v>5457.36</v>
      </c>
      <c r="M5" s="3490" t="s">
        <v>3417</v>
      </c>
      <c r="N5" s="3490">
        <v>5457.36</v>
      </c>
    </row>
    <row r="6" spans="1:18" ht="54">
      <c r="A6" s="3491">
        <v>3</v>
      </c>
      <c r="B6" s="3491">
        <v>1</v>
      </c>
      <c r="C6" s="3491">
        <v>3355</v>
      </c>
      <c r="D6" s="3494" t="s">
        <v>3426</v>
      </c>
      <c r="E6" s="3494" t="s">
        <v>3415</v>
      </c>
      <c r="G6" s="3490">
        <f>C6</f>
        <v>3355</v>
      </c>
      <c r="H6" s="3490">
        <f>L7</f>
        <v>3666.24</v>
      </c>
      <c r="K6" s="3490" t="s">
        <v>3427</v>
      </c>
      <c r="L6" s="3490">
        <v>4796.82</v>
      </c>
      <c r="M6" s="3490" t="s">
        <v>3417</v>
      </c>
      <c r="N6" s="3490">
        <v>4796.82</v>
      </c>
    </row>
    <row r="7" spans="1:18" ht="27">
      <c r="A7" s="3491">
        <v>4</v>
      </c>
      <c r="B7" s="3491">
        <v>2</v>
      </c>
      <c r="C7" s="3491">
        <v>1419</v>
      </c>
      <c r="D7" s="3494" t="s">
        <v>3428</v>
      </c>
      <c r="E7" s="3494" t="s">
        <v>3415</v>
      </c>
      <c r="G7" s="3490">
        <f t="shared" ref="G7:G9" si="0">C7</f>
        <v>1419</v>
      </c>
      <c r="H7" s="3490">
        <f>L8</f>
        <v>1609.85</v>
      </c>
      <c r="K7" s="3490" t="s">
        <v>3429</v>
      </c>
      <c r="L7" s="3490">
        <v>3666.24</v>
      </c>
      <c r="M7" s="3490" t="s">
        <v>3417</v>
      </c>
      <c r="N7" s="3490">
        <v>3666.24</v>
      </c>
      <c r="Q7" s="3490" t="s">
        <v>3430</v>
      </c>
      <c r="R7" s="3490">
        <f>N7+N8+N9+N10+SUM(N19:N35)</f>
        <v>34533.280000000013</v>
      </c>
    </row>
    <row r="8" spans="1:18" ht="40.5">
      <c r="A8" s="3491">
        <v>5</v>
      </c>
      <c r="B8" s="3491">
        <v>3</v>
      </c>
      <c r="C8" s="3491">
        <v>1901</v>
      </c>
      <c r="D8" s="3494" t="s">
        <v>3431</v>
      </c>
      <c r="E8" s="3494" t="s">
        <v>3415</v>
      </c>
      <c r="G8" s="3490">
        <f t="shared" si="0"/>
        <v>1901</v>
      </c>
      <c r="H8" s="3490">
        <f>L9</f>
        <v>1873.04</v>
      </c>
      <c r="K8" s="3490" t="s">
        <v>3432</v>
      </c>
      <c r="L8" s="3490">
        <v>1609.85</v>
      </c>
      <c r="N8" s="3490">
        <v>1609.85</v>
      </c>
    </row>
    <row r="9" spans="1:18" ht="54">
      <c r="A9" s="3491">
        <v>6</v>
      </c>
      <c r="B9" s="3491">
        <v>4</v>
      </c>
      <c r="C9" s="3491">
        <v>1784</v>
      </c>
      <c r="D9" s="3494" t="s">
        <v>3433</v>
      </c>
      <c r="E9" s="3494" t="s">
        <v>3415</v>
      </c>
      <c r="G9" s="3490">
        <f t="shared" si="0"/>
        <v>1784</v>
      </c>
      <c r="H9" s="3490">
        <f>L10</f>
        <v>1732</v>
      </c>
      <c r="K9" s="3490" t="s">
        <v>3434</v>
      </c>
      <c r="L9" s="3490">
        <v>1873.04</v>
      </c>
      <c r="N9" s="3490">
        <v>1873.04</v>
      </c>
    </row>
    <row r="10" spans="1:18">
      <c r="A10" s="3491">
        <v>7</v>
      </c>
      <c r="B10" s="3491" t="s">
        <v>3435</v>
      </c>
      <c r="C10" s="3491" t="s">
        <v>3436</v>
      </c>
      <c r="D10" s="3491" t="s">
        <v>3437</v>
      </c>
      <c r="E10" s="3491" t="s">
        <v>3436</v>
      </c>
      <c r="K10" s="3490" t="s">
        <v>3438</v>
      </c>
      <c r="L10" s="3490">
        <v>1732</v>
      </c>
      <c r="N10" s="3490">
        <v>1732</v>
      </c>
    </row>
    <row r="11" spans="1:18" ht="40.5">
      <c r="A11" s="3491">
        <v>8</v>
      </c>
      <c r="B11" s="3491">
        <v>14</v>
      </c>
      <c r="C11" s="3491">
        <v>1565</v>
      </c>
      <c r="D11" s="3494" t="s">
        <v>3439</v>
      </c>
      <c r="E11" s="3494" t="s">
        <v>3440</v>
      </c>
      <c r="G11" s="3490">
        <f>C11</f>
        <v>1565</v>
      </c>
      <c r="H11" s="3490">
        <f>L20</f>
        <v>1508.95</v>
      </c>
      <c r="K11" s="3490" t="s">
        <v>3441</v>
      </c>
      <c r="L11" s="3490">
        <v>1219.18</v>
      </c>
      <c r="N11" s="3490">
        <v>0</v>
      </c>
    </row>
    <row r="12" spans="1:18" ht="40.5">
      <c r="A12" s="3491">
        <v>9</v>
      </c>
      <c r="B12" s="3491" t="s">
        <v>3442</v>
      </c>
      <c r="C12" s="3491">
        <v>1565</v>
      </c>
      <c r="D12" s="3494" t="s">
        <v>3443</v>
      </c>
      <c r="E12" s="3494" t="s">
        <v>3440</v>
      </c>
      <c r="F12" s="3490">
        <v>2</v>
      </c>
      <c r="G12" s="3490">
        <f>C12*F12</f>
        <v>3130</v>
      </c>
      <c r="H12" s="3490">
        <f>SUM(L21:L22)</f>
        <v>3017.9</v>
      </c>
      <c r="K12" s="3490" t="s">
        <v>3444</v>
      </c>
      <c r="L12" s="3490">
        <v>1728.11</v>
      </c>
      <c r="N12" s="3490">
        <v>0</v>
      </c>
    </row>
    <row r="13" spans="1:18" ht="27">
      <c r="A13" s="3491">
        <v>10</v>
      </c>
      <c r="B13" s="3491" t="s">
        <v>3445</v>
      </c>
      <c r="C13" s="3491">
        <v>1565</v>
      </c>
      <c r="D13" s="3494" t="s">
        <v>3446</v>
      </c>
      <c r="E13" s="3494" t="s">
        <v>3440</v>
      </c>
      <c r="F13" s="3490">
        <v>8</v>
      </c>
      <c r="G13" s="3490">
        <f>C13*F13</f>
        <v>12520</v>
      </c>
      <c r="H13" s="3490">
        <f>SUM(L23:L30)</f>
        <v>12071.600000000002</v>
      </c>
      <c r="K13" s="3490" t="s">
        <v>3447</v>
      </c>
      <c r="L13" s="3490">
        <v>1508.95</v>
      </c>
      <c r="N13" s="3490">
        <v>0</v>
      </c>
    </row>
    <row r="14" spans="1:18" ht="40.5">
      <c r="A14" s="3491">
        <v>11</v>
      </c>
      <c r="B14" s="3491" t="s">
        <v>3448</v>
      </c>
      <c r="C14" s="3491">
        <v>1565</v>
      </c>
      <c r="D14" s="3494" t="s">
        <v>3449</v>
      </c>
      <c r="E14" s="3494" t="s">
        <v>3450</v>
      </c>
      <c r="F14" s="3490">
        <v>3</v>
      </c>
      <c r="G14" s="3490">
        <f>C14*F14</f>
        <v>4695</v>
      </c>
      <c r="H14" s="3490">
        <f>SUM(L31:L33)</f>
        <v>4526.8500000000004</v>
      </c>
      <c r="K14" s="3490" t="s">
        <v>3451</v>
      </c>
      <c r="L14" s="3490">
        <v>1508.95</v>
      </c>
      <c r="N14" s="3490">
        <v>0</v>
      </c>
    </row>
    <row r="15" spans="1:18" ht="40.5">
      <c r="A15" s="3491">
        <v>12</v>
      </c>
      <c r="B15" s="3491">
        <v>28</v>
      </c>
      <c r="C15" s="3491">
        <v>1565</v>
      </c>
      <c r="D15" s="3494" t="s">
        <v>3452</v>
      </c>
      <c r="E15" s="3494" t="s">
        <v>3450</v>
      </c>
      <c r="G15" s="3490">
        <f>C15</f>
        <v>1565</v>
      </c>
      <c r="H15" s="3490">
        <f>L34</f>
        <v>1508.95</v>
      </c>
      <c r="K15" s="3490" t="s">
        <v>3453</v>
      </c>
      <c r="L15" s="3490">
        <v>1508.95</v>
      </c>
      <c r="N15" s="3490">
        <v>0</v>
      </c>
    </row>
    <row r="16" spans="1:18" ht="40.5">
      <c r="A16" s="3491">
        <v>13</v>
      </c>
      <c r="B16" s="3491">
        <v>29</v>
      </c>
      <c r="C16" s="3491">
        <v>1565</v>
      </c>
      <c r="D16" s="3494" t="s">
        <v>3454</v>
      </c>
      <c r="E16" s="3494" t="s">
        <v>3450</v>
      </c>
      <c r="G16" s="3490">
        <f>C16</f>
        <v>1565</v>
      </c>
      <c r="H16" s="3490">
        <f>L35</f>
        <v>1508.95</v>
      </c>
      <c r="K16" s="3490" t="s">
        <v>3455</v>
      </c>
      <c r="L16" s="3490">
        <v>1508.95</v>
      </c>
      <c r="N16" s="3490">
        <v>0</v>
      </c>
    </row>
    <row r="17" spans="1:14">
      <c r="A17" s="3493"/>
      <c r="B17" s="3493"/>
      <c r="C17" s="3493"/>
      <c r="G17" s="3490">
        <f>SUM(G3:G16)</f>
        <v>43484</v>
      </c>
      <c r="H17" s="3490">
        <f>SUM(H6:H16)</f>
        <v>33024.33</v>
      </c>
      <c r="K17" s="3490" t="s">
        <v>3456</v>
      </c>
      <c r="L17" s="3490">
        <v>1508.95</v>
      </c>
      <c r="N17" s="3490">
        <v>0</v>
      </c>
    </row>
    <row r="18" spans="1:14">
      <c r="K18" s="3490" t="s">
        <v>3457</v>
      </c>
      <c r="L18" s="3490">
        <v>1508.95</v>
      </c>
      <c r="N18" s="3490">
        <v>0</v>
      </c>
    </row>
    <row r="19" spans="1:14">
      <c r="K19" s="3490" t="s">
        <v>3458</v>
      </c>
      <c r="L19" s="3490">
        <v>1508.95</v>
      </c>
      <c r="N19" s="3490">
        <v>1508.95</v>
      </c>
    </row>
    <row r="20" spans="1:14">
      <c r="K20" s="3490" t="s">
        <v>3459</v>
      </c>
      <c r="L20" s="3490">
        <v>1508.95</v>
      </c>
      <c r="N20" s="3490">
        <v>1508.95</v>
      </c>
    </row>
    <row r="21" spans="1:14">
      <c r="K21" s="3490" t="s">
        <v>3460</v>
      </c>
      <c r="L21" s="3490">
        <v>1508.95</v>
      </c>
      <c r="N21" s="3490">
        <v>1508.95</v>
      </c>
    </row>
    <row r="22" spans="1:14">
      <c r="K22" s="3490" t="s">
        <v>3461</v>
      </c>
      <c r="L22" s="3490">
        <v>1508.95</v>
      </c>
      <c r="N22" s="3490">
        <v>1508.95</v>
      </c>
    </row>
    <row r="23" spans="1:14">
      <c r="K23" s="3490" t="s">
        <v>3462</v>
      </c>
      <c r="L23" s="3490">
        <v>1508.95</v>
      </c>
      <c r="N23" s="3490">
        <v>1508.95</v>
      </c>
    </row>
    <row r="24" spans="1:14">
      <c r="K24" s="3490" t="s">
        <v>3463</v>
      </c>
      <c r="L24" s="3490">
        <v>1508.95</v>
      </c>
      <c r="N24" s="3490">
        <v>1508.95</v>
      </c>
    </row>
    <row r="25" spans="1:14">
      <c r="K25" s="3490" t="s">
        <v>3464</v>
      </c>
      <c r="L25" s="3490">
        <v>1508.95</v>
      </c>
      <c r="N25" s="3490">
        <v>1508.95</v>
      </c>
    </row>
    <row r="26" spans="1:14">
      <c r="K26" s="3490" t="s">
        <v>3465</v>
      </c>
      <c r="L26" s="3490">
        <v>1508.95</v>
      </c>
      <c r="N26" s="3490">
        <v>1508.95</v>
      </c>
    </row>
    <row r="27" spans="1:14">
      <c r="K27" s="3490" t="s">
        <v>3466</v>
      </c>
      <c r="L27" s="3490">
        <v>1508.95</v>
      </c>
      <c r="N27" s="3490">
        <v>1508.95</v>
      </c>
    </row>
    <row r="28" spans="1:14">
      <c r="K28" s="3490" t="s">
        <v>3467</v>
      </c>
      <c r="L28" s="3490">
        <v>1508.95</v>
      </c>
      <c r="N28" s="3490">
        <v>1508.95</v>
      </c>
    </row>
    <row r="29" spans="1:14">
      <c r="K29" s="3490" t="s">
        <v>3468</v>
      </c>
      <c r="L29" s="3490">
        <v>1508.95</v>
      </c>
      <c r="N29" s="3490">
        <v>1508.95</v>
      </c>
    </row>
    <row r="30" spans="1:14">
      <c r="K30" s="3490" t="s">
        <v>3469</v>
      </c>
      <c r="L30" s="3490">
        <v>1508.95</v>
      </c>
      <c r="N30" s="3490">
        <v>1508.95</v>
      </c>
    </row>
    <row r="31" spans="1:14">
      <c r="K31" s="3490" t="s">
        <v>3470</v>
      </c>
      <c r="L31" s="3490">
        <v>1508.95</v>
      </c>
      <c r="N31" s="3490">
        <v>1508.95</v>
      </c>
    </row>
    <row r="32" spans="1:14">
      <c r="K32" s="3490" t="s">
        <v>3471</v>
      </c>
      <c r="L32" s="3490">
        <v>1508.95</v>
      </c>
      <c r="M32" s="3490" t="s">
        <v>3417</v>
      </c>
      <c r="N32" s="3490">
        <v>1508.95</v>
      </c>
    </row>
    <row r="33" spans="11:14">
      <c r="K33" s="3490" t="s">
        <v>3472</v>
      </c>
      <c r="L33" s="3490">
        <v>1508.95</v>
      </c>
      <c r="M33" s="3490" t="s">
        <v>3417</v>
      </c>
      <c r="N33" s="3490">
        <v>1508.95</v>
      </c>
    </row>
    <row r="34" spans="11:14">
      <c r="K34" s="3490" t="s">
        <v>3473</v>
      </c>
      <c r="L34" s="3490">
        <v>1508.95</v>
      </c>
      <c r="M34" s="3490" t="s">
        <v>3417</v>
      </c>
      <c r="N34" s="3490">
        <v>1508.95</v>
      </c>
    </row>
    <row r="35" spans="11:14">
      <c r="K35" s="3490" t="s">
        <v>3474</v>
      </c>
      <c r="L35" s="3490">
        <v>1508.95</v>
      </c>
      <c r="M35" s="3490" t="s">
        <v>3417</v>
      </c>
      <c r="N35" s="3490">
        <v>1508.95</v>
      </c>
    </row>
    <row r="36" spans="11:14">
      <c r="K36" s="3490" t="s">
        <v>3475</v>
      </c>
      <c r="L36" s="3490">
        <v>545.24</v>
      </c>
      <c r="M36" s="3490" t="s">
        <v>3417</v>
      </c>
      <c r="N36" s="3490">
        <v>545.24</v>
      </c>
    </row>
    <row r="37" spans="11:14">
      <c r="L37" s="3490">
        <f>SUM(L3:L36)</f>
        <v>60752.329999999944</v>
      </c>
      <c r="N37" s="3490">
        <f>SUM(N3:N36)</f>
        <v>48751.339999999967</v>
      </c>
    </row>
    <row r="38" spans="11:14">
      <c r="N38" s="3490">
        <v>48969.03</v>
      </c>
    </row>
    <row r="39" spans="11:14">
      <c r="N39" s="3490">
        <f>N38-N37</f>
        <v>217.69000000003143</v>
      </c>
    </row>
  </sheetData>
  <mergeCells count="4">
    <mergeCell ref="A1:E1"/>
    <mergeCell ref="A4:A5"/>
    <mergeCell ref="B4:B5"/>
    <mergeCell ref="E4:E5"/>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35DA2-E8AB-4874-849F-B758B7C21A1F}">
  <dimension ref="B1:L48"/>
  <sheetViews>
    <sheetView workbookViewId="0">
      <selection activeCell="L28" sqref="L28"/>
    </sheetView>
  </sheetViews>
  <sheetFormatPr defaultColWidth="9" defaultRowHeight="13.5"/>
  <cols>
    <col min="1" max="1" width="1.875" style="3501" customWidth="1"/>
    <col min="2" max="2" width="4.125" style="3501" customWidth="1"/>
    <col min="3" max="3" width="18.375" style="3501" customWidth="1"/>
    <col min="4" max="4" width="17.375" style="3501" customWidth="1"/>
    <col min="5" max="5" width="16.875" style="3501" customWidth="1"/>
    <col min="6" max="7" width="18" style="3501" customWidth="1"/>
    <col min="8" max="8" width="12.75" style="3501" customWidth="1"/>
    <col min="9" max="9" width="13.875" style="3501" customWidth="1"/>
    <col min="10" max="10" width="14.5" style="3501" customWidth="1"/>
    <col min="11" max="11" width="9" style="3501"/>
    <col min="12" max="12" width="22.375" style="3502" customWidth="1"/>
    <col min="13" max="257" width="9" style="3501"/>
    <col min="258" max="258" width="5.5" style="3501" customWidth="1"/>
    <col min="259" max="259" width="25.25" style="3501" customWidth="1"/>
    <col min="260" max="260" width="11.625" style="3501" customWidth="1"/>
    <col min="261" max="261" width="15.25" style="3501" customWidth="1"/>
    <col min="262" max="262" width="14" style="3501" customWidth="1"/>
    <col min="263" max="263" width="11.125" style="3501" customWidth="1"/>
    <col min="264" max="264" width="12.75" style="3501" customWidth="1"/>
    <col min="265" max="265" width="13.875" style="3501" customWidth="1"/>
    <col min="266" max="266" width="14.5" style="3501" customWidth="1"/>
    <col min="267" max="267" width="9" style="3501"/>
    <col min="268" max="268" width="22.375" style="3501" customWidth="1"/>
    <col min="269" max="513" width="9" style="3501"/>
    <col min="514" max="514" width="5.5" style="3501" customWidth="1"/>
    <col min="515" max="515" width="25.25" style="3501" customWidth="1"/>
    <col min="516" max="516" width="11.625" style="3501" customWidth="1"/>
    <col min="517" max="517" width="15.25" style="3501" customWidth="1"/>
    <col min="518" max="518" width="14" style="3501" customWidth="1"/>
    <col min="519" max="519" width="11.125" style="3501" customWidth="1"/>
    <col min="520" max="520" width="12.75" style="3501" customWidth="1"/>
    <col min="521" max="521" width="13.875" style="3501" customWidth="1"/>
    <col min="522" max="522" width="14.5" style="3501" customWidth="1"/>
    <col min="523" max="523" width="9" style="3501"/>
    <col min="524" max="524" width="22.375" style="3501" customWidth="1"/>
    <col min="525" max="769" width="9" style="3501"/>
    <col min="770" max="770" width="5.5" style="3501" customWidth="1"/>
    <col min="771" max="771" width="25.25" style="3501" customWidth="1"/>
    <col min="772" max="772" width="11.625" style="3501" customWidth="1"/>
    <col min="773" max="773" width="15.25" style="3501" customWidth="1"/>
    <col min="774" max="774" width="14" style="3501" customWidth="1"/>
    <col min="775" max="775" width="11.125" style="3501" customWidth="1"/>
    <col min="776" max="776" width="12.75" style="3501" customWidth="1"/>
    <col min="777" max="777" width="13.875" style="3501" customWidth="1"/>
    <col min="778" max="778" width="14.5" style="3501" customWidth="1"/>
    <col min="779" max="779" width="9" style="3501"/>
    <col min="780" max="780" width="22.375" style="3501" customWidth="1"/>
    <col min="781" max="1025" width="9" style="3501"/>
    <col min="1026" max="1026" width="5.5" style="3501" customWidth="1"/>
    <col min="1027" max="1027" width="25.25" style="3501" customWidth="1"/>
    <col min="1028" max="1028" width="11.625" style="3501" customWidth="1"/>
    <col min="1029" max="1029" width="15.25" style="3501" customWidth="1"/>
    <col min="1030" max="1030" width="14" style="3501" customWidth="1"/>
    <col min="1031" max="1031" width="11.125" style="3501" customWidth="1"/>
    <col min="1032" max="1032" width="12.75" style="3501" customWidth="1"/>
    <col min="1033" max="1033" width="13.875" style="3501" customWidth="1"/>
    <col min="1034" max="1034" width="14.5" style="3501" customWidth="1"/>
    <col min="1035" max="1035" width="9" style="3501"/>
    <col min="1036" max="1036" width="22.375" style="3501" customWidth="1"/>
    <col min="1037" max="1281" width="9" style="3501"/>
    <col min="1282" max="1282" width="5.5" style="3501" customWidth="1"/>
    <col min="1283" max="1283" width="25.25" style="3501" customWidth="1"/>
    <col min="1284" max="1284" width="11.625" style="3501" customWidth="1"/>
    <col min="1285" max="1285" width="15.25" style="3501" customWidth="1"/>
    <col min="1286" max="1286" width="14" style="3501" customWidth="1"/>
    <col min="1287" max="1287" width="11.125" style="3501" customWidth="1"/>
    <col min="1288" max="1288" width="12.75" style="3501" customWidth="1"/>
    <col min="1289" max="1289" width="13.875" style="3501" customWidth="1"/>
    <col min="1290" max="1290" width="14.5" style="3501" customWidth="1"/>
    <col min="1291" max="1291" width="9" style="3501"/>
    <col min="1292" max="1292" width="22.375" style="3501" customWidth="1"/>
    <col min="1293" max="1537" width="9" style="3501"/>
    <col min="1538" max="1538" width="5.5" style="3501" customWidth="1"/>
    <col min="1539" max="1539" width="25.25" style="3501" customWidth="1"/>
    <col min="1540" max="1540" width="11.625" style="3501" customWidth="1"/>
    <col min="1541" max="1541" width="15.25" style="3501" customWidth="1"/>
    <col min="1542" max="1542" width="14" style="3501" customWidth="1"/>
    <col min="1543" max="1543" width="11.125" style="3501" customWidth="1"/>
    <col min="1544" max="1544" width="12.75" style="3501" customWidth="1"/>
    <col min="1545" max="1545" width="13.875" style="3501" customWidth="1"/>
    <col min="1546" max="1546" width="14.5" style="3501" customWidth="1"/>
    <col min="1547" max="1547" width="9" style="3501"/>
    <col min="1548" max="1548" width="22.375" style="3501" customWidth="1"/>
    <col min="1549" max="1793" width="9" style="3501"/>
    <col min="1794" max="1794" width="5.5" style="3501" customWidth="1"/>
    <col min="1795" max="1795" width="25.25" style="3501" customWidth="1"/>
    <col min="1796" max="1796" width="11.625" style="3501" customWidth="1"/>
    <col min="1797" max="1797" width="15.25" style="3501" customWidth="1"/>
    <col min="1798" max="1798" width="14" style="3501" customWidth="1"/>
    <col min="1799" max="1799" width="11.125" style="3501" customWidth="1"/>
    <col min="1800" max="1800" width="12.75" style="3501" customWidth="1"/>
    <col min="1801" max="1801" width="13.875" style="3501" customWidth="1"/>
    <col min="1802" max="1802" width="14.5" style="3501" customWidth="1"/>
    <col min="1803" max="1803" width="9" style="3501"/>
    <col min="1804" max="1804" width="22.375" style="3501" customWidth="1"/>
    <col min="1805" max="2049" width="9" style="3501"/>
    <col min="2050" max="2050" width="5.5" style="3501" customWidth="1"/>
    <col min="2051" max="2051" width="25.25" style="3501" customWidth="1"/>
    <col min="2052" max="2052" width="11.625" style="3501" customWidth="1"/>
    <col min="2053" max="2053" width="15.25" style="3501" customWidth="1"/>
    <col min="2054" max="2054" width="14" style="3501" customWidth="1"/>
    <col min="2055" max="2055" width="11.125" style="3501" customWidth="1"/>
    <col min="2056" max="2056" width="12.75" style="3501" customWidth="1"/>
    <col min="2057" max="2057" width="13.875" style="3501" customWidth="1"/>
    <col min="2058" max="2058" width="14.5" style="3501" customWidth="1"/>
    <col min="2059" max="2059" width="9" style="3501"/>
    <col min="2060" max="2060" width="22.375" style="3501" customWidth="1"/>
    <col min="2061" max="2305" width="9" style="3501"/>
    <col min="2306" max="2306" width="5.5" style="3501" customWidth="1"/>
    <col min="2307" max="2307" width="25.25" style="3501" customWidth="1"/>
    <col min="2308" max="2308" width="11.625" style="3501" customWidth="1"/>
    <col min="2309" max="2309" width="15.25" style="3501" customWidth="1"/>
    <col min="2310" max="2310" width="14" style="3501" customWidth="1"/>
    <col min="2311" max="2311" width="11.125" style="3501" customWidth="1"/>
    <col min="2312" max="2312" width="12.75" style="3501" customWidth="1"/>
    <col min="2313" max="2313" width="13.875" style="3501" customWidth="1"/>
    <col min="2314" max="2314" width="14.5" style="3501" customWidth="1"/>
    <col min="2315" max="2315" width="9" style="3501"/>
    <col min="2316" max="2316" width="22.375" style="3501" customWidth="1"/>
    <col min="2317" max="2561" width="9" style="3501"/>
    <col min="2562" max="2562" width="5.5" style="3501" customWidth="1"/>
    <col min="2563" max="2563" width="25.25" style="3501" customWidth="1"/>
    <col min="2564" max="2564" width="11.625" style="3501" customWidth="1"/>
    <col min="2565" max="2565" width="15.25" style="3501" customWidth="1"/>
    <col min="2566" max="2566" width="14" style="3501" customWidth="1"/>
    <col min="2567" max="2567" width="11.125" style="3501" customWidth="1"/>
    <col min="2568" max="2568" width="12.75" style="3501" customWidth="1"/>
    <col min="2569" max="2569" width="13.875" style="3501" customWidth="1"/>
    <col min="2570" max="2570" width="14.5" style="3501" customWidth="1"/>
    <col min="2571" max="2571" width="9" style="3501"/>
    <col min="2572" max="2572" width="22.375" style="3501" customWidth="1"/>
    <col min="2573" max="2817" width="9" style="3501"/>
    <col min="2818" max="2818" width="5.5" style="3501" customWidth="1"/>
    <col min="2819" max="2819" width="25.25" style="3501" customWidth="1"/>
    <col min="2820" max="2820" width="11.625" style="3501" customWidth="1"/>
    <col min="2821" max="2821" width="15.25" style="3501" customWidth="1"/>
    <col min="2822" max="2822" width="14" style="3501" customWidth="1"/>
    <col min="2823" max="2823" width="11.125" style="3501" customWidth="1"/>
    <col min="2824" max="2824" width="12.75" style="3501" customWidth="1"/>
    <col min="2825" max="2825" width="13.875" style="3501" customWidth="1"/>
    <col min="2826" max="2826" width="14.5" style="3501" customWidth="1"/>
    <col min="2827" max="2827" width="9" style="3501"/>
    <col min="2828" max="2828" width="22.375" style="3501" customWidth="1"/>
    <col min="2829" max="3073" width="9" style="3501"/>
    <col min="3074" max="3074" width="5.5" style="3501" customWidth="1"/>
    <col min="3075" max="3075" width="25.25" style="3501" customWidth="1"/>
    <col min="3076" max="3076" width="11.625" style="3501" customWidth="1"/>
    <col min="3077" max="3077" width="15.25" style="3501" customWidth="1"/>
    <col min="3078" max="3078" width="14" style="3501" customWidth="1"/>
    <col min="3079" max="3079" width="11.125" style="3501" customWidth="1"/>
    <col min="3080" max="3080" width="12.75" style="3501" customWidth="1"/>
    <col min="3081" max="3081" width="13.875" style="3501" customWidth="1"/>
    <col min="3082" max="3082" width="14.5" style="3501" customWidth="1"/>
    <col min="3083" max="3083" width="9" style="3501"/>
    <col min="3084" max="3084" width="22.375" style="3501" customWidth="1"/>
    <col min="3085" max="3329" width="9" style="3501"/>
    <col min="3330" max="3330" width="5.5" style="3501" customWidth="1"/>
    <col min="3331" max="3331" width="25.25" style="3501" customWidth="1"/>
    <col min="3332" max="3332" width="11.625" style="3501" customWidth="1"/>
    <col min="3333" max="3333" width="15.25" style="3501" customWidth="1"/>
    <col min="3334" max="3334" width="14" style="3501" customWidth="1"/>
    <col min="3335" max="3335" width="11.125" style="3501" customWidth="1"/>
    <col min="3336" max="3336" width="12.75" style="3501" customWidth="1"/>
    <col min="3337" max="3337" width="13.875" style="3501" customWidth="1"/>
    <col min="3338" max="3338" width="14.5" style="3501" customWidth="1"/>
    <col min="3339" max="3339" width="9" style="3501"/>
    <col min="3340" max="3340" width="22.375" style="3501" customWidth="1"/>
    <col min="3341" max="3585" width="9" style="3501"/>
    <col min="3586" max="3586" width="5.5" style="3501" customWidth="1"/>
    <col min="3587" max="3587" width="25.25" style="3501" customWidth="1"/>
    <col min="3588" max="3588" width="11.625" style="3501" customWidth="1"/>
    <col min="3589" max="3589" width="15.25" style="3501" customWidth="1"/>
    <col min="3590" max="3590" width="14" style="3501" customWidth="1"/>
    <col min="3591" max="3591" width="11.125" style="3501" customWidth="1"/>
    <col min="3592" max="3592" width="12.75" style="3501" customWidth="1"/>
    <col min="3593" max="3593" width="13.875" style="3501" customWidth="1"/>
    <col min="3594" max="3594" width="14.5" style="3501" customWidth="1"/>
    <col min="3595" max="3595" width="9" style="3501"/>
    <col min="3596" max="3596" width="22.375" style="3501" customWidth="1"/>
    <col min="3597" max="3841" width="9" style="3501"/>
    <col min="3842" max="3842" width="5.5" style="3501" customWidth="1"/>
    <col min="3843" max="3843" width="25.25" style="3501" customWidth="1"/>
    <col min="3844" max="3844" width="11.625" style="3501" customWidth="1"/>
    <col min="3845" max="3845" width="15.25" style="3501" customWidth="1"/>
    <col min="3846" max="3846" width="14" style="3501" customWidth="1"/>
    <col min="3847" max="3847" width="11.125" style="3501" customWidth="1"/>
    <col min="3848" max="3848" width="12.75" style="3501" customWidth="1"/>
    <col min="3849" max="3849" width="13.875" style="3501" customWidth="1"/>
    <col min="3850" max="3850" width="14.5" style="3501" customWidth="1"/>
    <col min="3851" max="3851" width="9" style="3501"/>
    <col min="3852" max="3852" width="22.375" style="3501" customWidth="1"/>
    <col min="3853" max="4097" width="9" style="3501"/>
    <col min="4098" max="4098" width="5.5" style="3501" customWidth="1"/>
    <col min="4099" max="4099" width="25.25" style="3501" customWidth="1"/>
    <col min="4100" max="4100" width="11.625" style="3501" customWidth="1"/>
    <col min="4101" max="4101" width="15.25" style="3501" customWidth="1"/>
    <col min="4102" max="4102" width="14" style="3501" customWidth="1"/>
    <col min="4103" max="4103" width="11.125" style="3501" customWidth="1"/>
    <col min="4104" max="4104" width="12.75" style="3501" customWidth="1"/>
    <col min="4105" max="4105" width="13.875" style="3501" customWidth="1"/>
    <col min="4106" max="4106" width="14.5" style="3501" customWidth="1"/>
    <col min="4107" max="4107" width="9" style="3501"/>
    <col min="4108" max="4108" width="22.375" style="3501" customWidth="1"/>
    <col min="4109" max="4353" width="9" style="3501"/>
    <col min="4354" max="4354" width="5.5" style="3501" customWidth="1"/>
    <col min="4355" max="4355" width="25.25" style="3501" customWidth="1"/>
    <col min="4356" max="4356" width="11.625" style="3501" customWidth="1"/>
    <col min="4357" max="4357" width="15.25" style="3501" customWidth="1"/>
    <col min="4358" max="4358" width="14" style="3501" customWidth="1"/>
    <col min="4359" max="4359" width="11.125" style="3501" customWidth="1"/>
    <col min="4360" max="4360" width="12.75" style="3501" customWidth="1"/>
    <col min="4361" max="4361" width="13.875" style="3501" customWidth="1"/>
    <col min="4362" max="4362" width="14.5" style="3501" customWidth="1"/>
    <col min="4363" max="4363" width="9" style="3501"/>
    <col min="4364" max="4364" width="22.375" style="3501" customWidth="1"/>
    <col min="4365" max="4609" width="9" style="3501"/>
    <col min="4610" max="4610" width="5.5" style="3501" customWidth="1"/>
    <col min="4611" max="4611" width="25.25" style="3501" customWidth="1"/>
    <col min="4612" max="4612" width="11.625" style="3501" customWidth="1"/>
    <col min="4613" max="4613" width="15.25" style="3501" customWidth="1"/>
    <col min="4614" max="4614" width="14" style="3501" customWidth="1"/>
    <col min="4615" max="4615" width="11.125" style="3501" customWidth="1"/>
    <col min="4616" max="4616" width="12.75" style="3501" customWidth="1"/>
    <col min="4617" max="4617" width="13.875" style="3501" customWidth="1"/>
    <col min="4618" max="4618" width="14.5" style="3501" customWidth="1"/>
    <col min="4619" max="4619" width="9" style="3501"/>
    <col min="4620" max="4620" width="22.375" style="3501" customWidth="1"/>
    <col min="4621" max="4865" width="9" style="3501"/>
    <col min="4866" max="4866" width="5.5" style="3501" customWidth="1"/>
    <col min="4867" max="4867" width="25.25" style="3501" customWidth="1"/>
    <col min="4868" max="4868" width="11.625" style="3501" customWidth="1"/>
    <col min="4869" max="4869" width="15.25" style="3501" customWidth="1"/>
    <col min="4870" max="4870" width="14" style="3501" customWidth="1"/>
    <col min="4871" max="4871" width="11.125" style="3501" customWidth="1"/>
    <col min="4872" max="4872" width="12.75" style="3501" customWidth="1"/>
    <col min="4873" max="4873" width="13.875" style="3501" customWidth="1"/>
    <col min="4874" max="4874" width="14.5" style="3501" customWidth="1"/>
    <col min="4875" max="4875" width="9" style="3501"/>
    <col min="4876" max="4876" width="22.375" style="3501" customWidth="1"/>
    <col min="4877" max="5121" width="9" style="3501"/>
    <col min="5122" max="5122" width="5.5" style="3501" customWidth="1"/>
    <col min="5123" max="5123" width="25.25" style="3501" customWidth="1"/>
    <col min="5124" max="5124" width="11.625" style="3501" customWidth="1"/>
    <col min="5125" max="5125" width="15.25" style="3501" customWidth="1"/>
    <col min="5126" max="5126" width="14" style="3501" customWidth="1"/>
    <col min="5127" max="5127" width="11.125" style="3501" customWidth="1"/>
    <col min="5128" max="5128" width="12.75" style="3501" customWidth="1"/>
    <col min="5129" max="5129" width="13.875" style="3501" customWidth="1"/>
    <col min="5130" max="5130" width="14.5" style="3501" customWidth="1"/>
    <col min="5131" max="5131" width="9" style="3501"/>
    <col min="5132" max="5132" width="22.375" style="3501" customWidth="1"/>
    <col min="5133" max="5377" width="9" style="3501"/>
    <col min="5378" max="5378" width="5.5" style="3501" customWidth="1"/>
    <col min="5379" max="5379" width="25.25" style="3501" customWidth="1"/>
    <col min="5380" max="5380" width="11.625" style="3501" customWidth="1"/>
    <col min="5381" max="5381" width="15.25" style="3501" customWidth="1"/>
    <col min="5382" max="5382" width="14" style="3501" customWidth="1"/>
    <col min="5383" max="5383" width="11.125" style="3501" customWidth="1"/>
    <col min="5384" max="5384" width="12.75" style="3501" customWidth="1"/>
    <col min="5385" max="5385" width="13.875" style="3501" customWidth="1"/>
    <col min="5386" max="5386" width="14.5" style="3501" customWidth="1"/>
    <col min="5387" max="5387" width="9" style="3501"/>
    <col min="5388" max="5388" width="22.375" style="3501" customWidth="1"/>
    <col min="5389" max="5633" width="9" style="3501"/>
    <col min="5634" max="5634" width="5.5" style="3501" customWidth="1"/>
    <col min="5635" max="5635" width="25.25" style="3501" customWidth="1"/>
    <col min="5636" max="5636" width="11.625" style="3501" customWidth="1"/>
    <col min="5637" max="5637" width="15.25" style="3501" customWidth="1"/>
    <col min="5638" max="5638" width="14" style="3501" customWidth="1"/>
    <col min="5639" max="5639" width="11.125" style="3501" customWidth="1"/>
    <col min="5640" max="5640" width="12.75" style="3501" customWidth="1"/>
    <col min="5641" max="5641" width="13.875" style="3501" customWidth="1"/>
    <col min="5642" max="5642" width="14.5" style="3501" customWidth="1"/>
    <col min="5643" max="5643" width="9" style="3501"/>
    <col min="5644" max="5644" width="22.375" style="3501" customWidth="1"/>
    <col min="5645" max="5889" width="9" style="3501"/>
    <col min="5890" max="5890" width="5.5" style="3501" customWidth="1"/>
    <col min="5891" max="5891" width="25.25" style="3501" customWidth="1"/>
    <col min="5892" max="5892" width="11.625" style="3501" customWidth="1"/>
    <col min="5893" max="5893" width="15.25" style="3501" customWidth="1"/>
    <col min="5894" max="5894" width="14" style="3501" customWidth="1"/>
    <col min="5895" max="5895" width="11.125" style="3501" customWidth="1"/>
    <col min="5896" max="5896" width="12.75" style="3501" customWidth="1"/>
    <col min="5897" max="5897" width="13.875" style="3501" customWidth="1"/>
    <col min="5898" max="5898" width="14.5" style="3501" customWidth="1"/>
    <col min="5899" max="5899" width="9" style="3501"/>
    <col min="5900" max="5900" width="22.375" style="3501" customWidth="1"/>
    <col min="5901" max="6145" width="9" style="3501"/>
    <col min="6146" max="6146" width="5.5" style="3501" customWidth="1"/>
    <col min="6147" max="6147" width="25.25" style="3501" customWidth="1"/>
    <col min="6148" max="6148" width="11.625" style="3501" customWidth="1"/>
    <col min="6149" max="6149" width="15.25" style="3501" customWidth="1"/>
    <col min="6150" max="6150" width="14" style="3501" customWidth="1"/>
    <col min="6151" max="6151" width="11.125" style="3501" customWidth="1"/>
    <col min="6152" max="6152" width="12.75" style="3501" customWidth="1"/>
    <col min="6153" max="6153" width="13.875" style="3501" customWidth="1"/>
    <col min="6154" max="6154" width="14.5" style="3501" customWidth="1"/>
    <col min="6155" max="6155" width="9" style="3501"/>
    <col min="6156" max="6156" width="22.375" style="3501" customWidth="1"/>
    <col min="6157" max="6401" width="9" style="3501"/>
    <col min="6402" max="6402" width="5.5" style="3501" customWidth="1"/>
    <col min="6403" max="6403" width="25.25" style="3501" customWidth="1"/>
    <col min="6404" max="6404" width="11.625" style="3501" customWidth="1"/>
    <col min="6405" max="6405" width="15.25" style="3501" customWidth="1"/>
    <col min="6406" max="6406" width="14" style="3501" customWidth="1"/>
    <col min="6407" max="6407" width="11.125" style="3501" customWidth="1"/>
    <col min="6408" max="6408" width="12.75" style="3501" customWidth="1"/>
    <col min="6409" max="6409" width="13.875" style="3501" customWidth="1"/>
    <col min="6410" max="6410" width="14.5" style="3501" customWidth="1"/>
    <col min="6411" max="6411" width="9" style="3501"/>
    <col min="6412" max="6412" width="22.375" style="3501" customWidth="1"/>
    <col min="6413" max="6657" width="9" style="3501"/>
    <col min="6658" max="6658" width="5.5" style="3501" customWidth="1"/>
    <col min="6659" max="6659" width="25.25" style="3501" customWidth="1"/>
    <col min="6660" max="6660" width="11.625" style="3501" customWidth="1"/>
    <col min="6661" max="6661" width="15.25" style="3501" customWidth="1"/>
    <col min="6662" max="6662" width="14" style="3501" customWidth="1"/>
    <col min="6663" max="6663" width="11.125" style="3501" customWidth="1"/>
    <col min="6664" max="6664" width="12.75" style="3501" customWidth="1"/>
    <col min="6665" max="6665" width="13.875" style="3501" customWidth="1"/>
    <col min="6666" max="6666" width="14.5" style="3501" customWidth="1"/>
    <col min="6667" max="6667" width="9" style="3501"/>
    <col min="6668" max="6668" width="22.375" style="3501" customWidth="1"/>
    <col min="6669" max="6913" width="9" style="3501"/>
    <col min="6914" max="6914" width="5.5" style="3501" customWidth="1"/>
    <col min="6915" max="6915" width="25.25" style="3501" customWidth="1"/>
    <col min="6916" max="6916" width="11.625" style="3501" customWidth="1"/>
    <col min="6917" max="6917" width="15.25" style="3501" customWidth="1"/>
    <col min="6918" max="6918" width="14" style="3501" customWidth="1"/>
    <col min="6919" max="6919" width="11.125" style="3501" customWidth="1"/>
    <col min="6920" max="6920" width="12.75" style="3501" customWidth="1"/>
    <col min="6921" max="6921" width="13.875" style="3501" customWidth="1"/>
    <col min="6922" max="6922" width="14.5" style="3501" customWidth="1"/>
    <col min="6923" max="6923" width="9" style="3501"/>
    <col min="6924" max="6924" width="22.375" style="3501" customWidth="1"/>
    <col min="6925" max="7169" width="9" style="3501"/>
    <col min="7170" max="7170" width="5.5" style="3501" customWidth="1"/>
    <col min="7171" max="7171" width="25.25" style="3501" customWidth="1"/>
    <col min="7172" max="7172" width="11.625" style="3501" customWidth="1"/>
    <col min="7173" max="7173" width="15.25" style="3501" customWidth="1"/>
    <col min="7174" max="7174" width="14" style="3501" customWidth="1"/>
    <col min="7175" max="7175" width="11.125" style="3501" customWidth="1"/>
    <col min="7176" max="7176" width="12.75" style="3501" customWidth="1"/>
    <col min="7177" max="7177" width="13.875" style="3501" customWidth="1"/>
    <col min="7178" max="7178" width="14.5" style="3501" customWidth="1"/>
    <col min="7179" max="7179" width="9" style="3501"/>
    <col min="7180" max="7180" width="22.375" style="3501" customWidth="1"/>
    <col min="7181" max="7425" width="9" style="3501"/>
    <col min="7426" max="7426" width="5.5" style="3501" customWidth="1"/>
    <col min="7427" max="7427" width="25.25" style="3501" customWidth="1"/>
    <col min="7428" max="7428" width="11.625" style="3501" customWidth="1"/>
    <col min="7429" max="7429" width="15.25" style="3501" customWidth="1"/>
    <col min="7430" max="7430" width="14" style="3501" customWidth="1"/>
    <col min="7431" max="7431" width="11.125" style="3501" customWidth="1"/>
    <col min="7432" max="7432" width="12.75" style="3501" customWidth="1"/>
    <col min="7433" max="7433" width="13.875" style="3501" customWidth="1"/>
    <col min="7434" max="7434" width="14.5" style="3501" customWidth="1"/>
    <col min="7435" max="7435" width="9" style="3501"/>
    <col min="7436" max="7436" width="22.375" style="3501" customWidth="1"/>
    <col min="7437" max="7681" width="9" style="3501"/>
    <col min="7682" max="7682" width="5.5" style="3501" customWidth="1"/>
    <col min="7683" max="7683" width="25.25" style="3501" customWidth="1"/>
    <col min="7684" max="7684" width="11.625" style="3501" customWidth="1"/>
    <col min="7685" max="7685" width="15.25" style="3501" customWidth="1"/>
    <col min="7686" max="7686" width="14" style="3501" customWidth="1"/>
    <col min="7687" max="7687" width="11.125" style="3501" customWidth="1"/>
    <col min="7688" max="7688" width="12.75" style="3501" customWidth="1"/>
    <col min="7689" max="7689" width="13.875" style="3501" customWidth="1"/>
    <col min="7690" max="7690" width="14.5" style="3501" customWidth="1"/>
    <col min="7691" max="7691" width="9" style="3501"/>
    <col min="7692" max="7692" width="22.375" style="3501" customWidth="1"/>
    <col min="7693" max="7937" width="9" style="3501"/>
    <col min="7938" max="7938" width="5.5" style="3501" customWidth="1"/>
    <col min="7939" max="7939" width="25.25" style="3501" customWidth="1"/>
    <col min="7940" max="7940" width="11.625" style="3501" customWidth="1"/>
    <col min="7941" max="7941" width="15.25" style="3501" customWidth="1"/>
    <col min="7942" max="7942" width="14" style="3501" customWidth="1"/>
    <col min="7943" max="7943" width="11.125" style="3501" customWidth="1"/>
    <col min="7944" max="7944" width="12.75" style="3501" customWidth="1"/>
    <col min="7945" max="7945" width="13.875" style="3501" customWidth="1"/>
    <col min="7946" max="7946" width="14.5" style="3501" customWidth="1"/>
    <col min="7947" max="7947" width="9" style="3501"/>
    <col min="7948" max="7948" width="22.375" style="3501" customWidth="1"/>
    <col min="7949" max="8193" width="9" style="3501"/>
    <col min="8194" max="8194" width="5.5" style="3501" customWidth="1"/>
    <col min="8195" max="8195" width="25.25" style="3501" customWidth="1"/>
    <col min="8196" max="8196" width="11.625" style="3501" customWidth="1"/>
    <col min="8197" max="8197" width="15.25" style="3501" customWidth="1"/>
    <col min="8198" max="8198" width="14" style="3501" customWidth="1"/>
    <col min="8199" max="8199" width="11.125" style="3501" customWidth="1"/>
    <col min="8200" max="8200" width="12.75" style="3501" customWidth="1"/>
    <col min="8201" max="8201" width="13.875" style="3501" customWidth="1"/>
    <col min="8202" max="8202" width="14.5" style="3501" customWidth="1"/>
    <col min="8203" max="8203" width="9" style="3501"/>
    <col min="8204" max="8204" width="22.375" style="3501" customWidth="1"/>
    <col min="8205" max="8449" width="9" style="3501"/>
    <col min="8450" max="8450" width="5.5" style="3501" customWidth="1"/>
    <col min="8451" max="8451" width="25.25" style="3501" customWidth="1"/>
    <col min="8452" max="8452" width="11.625" style="3501" customWidth="1"/>
    <col min="8453" max="8453" width="15.25" style="3501" customWidth="1"/>
    <col min="8454" max="8454" width="14" style="3501" customWidth="1"/>
    <col min="8455" max="8455" width="11.125" style="3501" customWidth="1"/>
    <col min="8456" max="8456" width="12.75" style="3501" customWidth="1"/>
    <col min="8457" max="8457" width="13.875" style="3501" customWidth="1"/>
    <col min="8458" max="8458" width="14.5" style="3501" customWidth="1"/>
    <col min="8459" max="8459" width="9" style="3501"/>
    <col min="8460" max="8460" width="22.375" style="3501" customWidth="1"/>
    <col min="8461" max="8705" width="9" style="3501"/>
    <col min="8706" max="8706" width="5.5" style="3501" customWidth="1"/>
    <col min="8707" max="8707" width="25.25" style="3501" customWidth="1"/>
    <col min="8708" max="8708" width="11.625" style="3501" customWidth="1"/>
    <col min="8709" max="8709" width="15.25" style="3501" customWidth="1"/>
    <col min="8710" max="8710" width="14" style="3501" customWidth="1"/>
    <col min="8711" max="8711" width="11.125" style="3501" customWidth="1"/>
    <col min="8712" max="8712" width="12.75" style="3501" customWidth="1"/>
    <col min="8713" max="8713" width="13.875" style="3501" customWidth="1"/>
    <col min="8714" max="8714" width="14.5" style="3501" customWidth="1"/>
    <col min="8715" max="8715" width="9" style="3501"/>
    <col min="8716" max="8716" width="22.375" style="3501" customWidth="1"/>
    <col min="8717" max="8961" width="9" style="3501"/>
    <col min="8962" max="8962" width="5.5" style="3501" customWidth="1"/>
    <col min="8963" max="8963" width="25.25" style="3501" customWidth="1"/>
    <col min="8964" max="8964" width="11.625" style="3501" customWidth="1"/>
    <col min="8965" max="8965" width="15.25" style="3501" customWidth="1"/>
    <col min="8966" max="8966" width="14" style="3501" customWidth="1"/>
    <col min="8967" max="8967" width="11.125" style="3501" customWidth="1"/>
    <col min="8968" max="8968" width="12.75" style="3501" customWidth="1"/>
    <col min="8969" max="8969" width="13.875" style="3501" customWidth="1"/>
    <col min="8970" max="8970" width="14.5" style="3501" customWidth="1"/>
    <col min="8971" max="8971" width="9" style="3501"/>
    <col min="8972" max="8972" width="22.375" style="3501" customWidth="1"/>
    <col min="8973" max="9217" width="9" style="3501"/>
    <col min="9218" max="9218" width="5.5" style="3501" customWidth="1"/>
    <col min="9219" max="9219" width="25.25" style="3501" customWidth="1"/>
    <col min="9220" max="9220" width="11.625" style="3501" customWidth="1"/>
    <col min="9221" max="9221" width="15.25" style="3501" customWidth="1"/>
    <col min="9222" max="9222" width="14" style="3501" customWidth="1"/>
    <col min="9223" max="9223" width="11.125" style="3501" customWidth="1"/>
    <col min="9224" max="9224" width="12.75" style="3501" customWidth="1"/>
    <col min="9225" max="9225" width="13.875" style="3501" customWidth="1"/>
    <col min="9226" max="9226" width="14.5" style="3501" customWidth="1"/>
    <col min="9227" max="9227" width="9" style="3501"/>
    <col min="9228" max="9228" width="22.375" style="3501" customWidth="1"/>
    <col min="9229" max="9473" width="9" style="3501"/>
    <col min="9474" max="9474" width="5.5" style="3501" customWidth="1"/>
    <col min="9475" max="9475" width="25.25" style="3501" customWidth="1"/>
    <col min="9476" max="9476" width="11.625" style="3501" customWidth="1"/>
    <col min="9477" max="9477" width="15.25" style="3501" customWidth="1"/>
    <col min="9478" max="9478" width="14" style="3501" customWidth="1"/>
    <col min="9479" max="9479" width="11.125" style="3501" customWidth="1"/>
    <col min="9480" max="9480" width="12.75" style="3501" customWidth="1"/>
    <col min="9481" max="9481" width="13.875" style="3501" customWidth="1"/>
    <col min="9482" max="9482" width="14.5" style="3501" customWidth="1"/>
    <col min="9483" max="9483" width="9" style="3501"/>
    <col min="9484" max="9484" width="22.375" style="3501" customWidth="1"/>
    <col min="9485" max="9729" width="9" style="3501"/>
    <col min="9730" max="9730" width="5.5" style="3501" customWidth="1"/>
    <col min="9731" max="9731" width="25.25" style="3501" customWidth="1"/>
    <col min="9732" max="9732" width="11.625" style="3501" customWidth="1"/>
    <col min="9733" max="9733" width="15.25" style="3501" customWidth="1"/>
    <col min="9734" max="9734" width="14" style="3501" customWidth="1"/>
    <col min="9735" max="9735" width="11.125" style="3501" customWidth="1"/>
    <col min="9736" max="9736" width="12.75" style="3501" customWidth="1"/>
    <col min="9737" max="9737" width="13.875" style="3501" customWidth="1"/>
    <col min="9738" max="9738" width="14.5" style="3501" customWidth="1"/>
    <col min="9739" max="9739" width="9" style="3501"/>
    <col min="9740" max="9740" width="22.375" style="3501" customWidth="1"/>
    <col min="9741" max="9985" width="9" style="3501"/>
    <col min="9986" max="9986" width="5.5" style="3501" customWidth="1"/>
    <col min="9987" max="9987" width="25.25" style="3501" customWidth="1"/>
    <col min="9988" max="9988" width="11.625" style="3501" customWidth="1"/>
    <col min="9989" max="9989" width="15.25" style="3501" customWidth="1"/>
    <col min="9990" max="9990" width="14" style="3501" customWidth="1"/>
    <col min="9991" max="9991" width="11.125" style="3501" customWidth="1"/>
    <col min="9992" max="9992" width="12.75" style="3501" customWidth="1"/>
    <col min="9993" max="9993" width="13.875" style="3501" customWidth="1"/>
    <col min="9994" max="9994" width="14.5" style="3501" customWidth="1"/>
    <col min="9995" max="9995" width="9" style="3501"/>
    <col min="9996" max="9996" width="22.375" style="3501" customWidth="1"/>
    <col min="9997" max="10241" width="9" style="3501"/>
    <col min="10242" max="10242" width="5.5" style="3501" customWidth="1"/>
    <col min="10243" max="10243" width="25.25" style="3501" customWidth="1"/>
    <col min="10244" max="10244" width="11.625" style="3501" customWidth="1"/>
    <col min="10245" max="10245" width="15.25" style="3501" customWidth="1"/>
    <col min="10246" max="10246" width="14" style="3501" customWidth="1"/>
    <col min="10247" max="10247" width="11.125" style="3501" customWidth="1"/>
    <col min="10248" max="10248" width="12.75" style="3501" customWidth="1"/>
    <col min="10249" max="10249" width="13.875" style="3501" customWidth="1"/>
    <col min="10250" max="10250" width="14.5" style="3501" customWidth="1"/>
    <col min="10251" max="10251" width="9" style="3501"/>
    <col min="10252" max="10252" width="22.375" style="3501" customWidth="1"/>
    <col min="10253" max="10497" width="9" style="3501"/>
    <col min="10498" max="10498" width="5.5" style="3501" customWidth="1"/>
    <col min="10499" max="10499" width="25.25" style="3501" customWidth="1"/>
    <col min="10500" max="10500" width="11.625" style="3501" customWidth="1"/>
    <col min="10501" max="10501" width="15.25" style="3501" customWidth="1"/>
    <col min="10502" max="10502" width="14" style="3501" customWidth="1"/>
    <col min="10503" max="10503" width="11.125" style="3501" customWidth="1"/>
    <col min="10504" max="10504" width="12.75" style="3501" customWidth="1"/>
    <col min="10505" max="10505" width="13.875" style="3501" customWidth="1"/>
    <col min="10506" max="10506" width="14.5" style="3501" customWidth="1"/>
    <col min="10507" max="10507" width="9" style="3501"/>
    <col min="10508" max="10508" width="22.375" style="3501" customWidth="1"/>
    <col min="10509" max="10753" width="9" style="3501"/>
    <col min="10754" max="10754" width="5.5" style="3501" customWidth="1"/>
    <col min="10755" max="10755" width="25.25" style="3501" customWidth="1"/>
    <col min="10756" max="10756" width="11.625" style="3501" customWidth="1"/>
    <col min="10757" max="10757" width="15.25" style="3501" customWidth="1"/>
    <col min="10758" max="10758" width="14" style="3501" customWidth="1"/>
    <col min="10759" max="10759" width="11.125" style="3501" customWidth="1"/>
    <col min="10760" max="10760" width="12.75" style="3501" customWidth="1"/>
    <col min="10761" max="10761" width="13.875" style="3501" customWidth="1"/>
    <col min="10762" max="10762" width="14.5" style="3501" customWidth="1"/>
    <col min="10763" max="10763" width="9" style="3501"/>
    <col min="10764" max="10764" width="22.375" style="3501" customWidth="1"/>
    <col min="10765" max="11009" width="9" style="3501"/>
    <col min="11010" max="11010" width="5.5" style="3501" customWidth="1"/>
    <col min="11011" max="11011" width="25.25" style="3501" customWidth="1"/>
    <col min="11012" max="11012" width="11.625" style="3501" customWidth="1"/>
    <col min="11013" max="11013" width="15.25" style="3501" customWidth="1"/>
    <col min="11014" max="11014" width="14" style="3501" customWidth="1"/>
    <col min="11015" max="11015" width="11.125" style="3501" customWidth="1"/>
    <col min="11016" max="11016" width="12.75" style="3501" customWidth="1"/>
    <col min="11017" max="11017" width="13.875" style="3501" customWidth="1"/>
    <col min="11018" max="11018" width="14.5" style="3501" customWidth="1"/>
    <col min="11019" max="11019" width="9" style="3501"/>
    <col min="11020" max="11020" width="22.375" style="3501" customWidth="1"/>
    <col min="11021" max="11265" width="9" style="3501"/>
    <col min="11266" max="11266" width="5.5" style="3501" customWidth="1"/>
    <col min="11267" max="11267" width="25.25" style="3501" customWidth="1"/>
    <col min="11268" max="11268" width="11.625" style="3501" customWidth="1"/>
    <col min="11269" max="11269" width="15.25" style="3501" customWidth="1"/>
    <col min="11270" max="11270" width="14" style="3501" customWidth="1"/>
    <col min="11271" max="11271" width="11.125" style="3501" customWidth="1"/>
    <col min="11272" max="11272" width="12.75" style="3501" customWidth="1"/>
    <col min="11273" max="11273" width="13.875" style="3501" customWidth="1"/>
    <col min="11274" max="11274" width="14.5" style="3501" customWidth="1"/>
    <col min="11275" max="11275" width="9" style="3501"/>
    <col min="11276" max="11276" width="22.375" style="3501" customWidth="1"/>
    <col min="11277" max="11521" width="9" style="3501"/>
    <col min="11522" max="11522" width="5.5" style="3501" customWidth="1"/>
    <col min="11523" max="11523" width="25.25" style="3501" customWidth="1"/>
    <col min="11524" max="11524" width="11.625" style="3501" customWidth="1"/>
    <col min="11525" max="11525" width="15.25" style="3501" customWidth="1"/>
    <col min="11526" max="11526" width="14" style="3501" customWidth="1"/>
    <col min="11527" max="11527" width="11.125" style="3501" customWidth="1"/>
    <col min="11528" max="11528" width="12.75" style="3501" customWidth="1"/>
    <col min="11529" max="11529" width="13.875" style="3501" customWidth="1"/>
    <col min="11530" max="11530" width="14.5" style="3501" customWidth="1"/>
    <col min="11531" max="11531" width="9" style="3501"/>
    <col min="11532" max="11532" width="22.375" style="3501" customWidth="1"/>
    <col min="11533" max="11777" width="9" style="3501"/>
    <col min="11778" max="11778" width="5.5" style="3501" customWidth="1"/>
    <col min="11779" max="11779" width="25.25" style="3501" customWidth="1"/>
    <col min="11780" max="11780" width="11.625" style="3501" customWidth="1"/>
    <col min="11781" max="11781" width="15.25" style="3501" customWidth="1"/>
    <col min="11782" max="11782" width="14" style="3501" customWidth="1"/>
    <col min="11783" max="11783" width="11.125" style="3501" customWidth="1"/>
    <col min="11784" max="11784" width="12.75" style="3501" customWidth="1"/>
    <col min="11785" max="11785" width="13.875" style="3501" customWidth="1"/>
    <col min="11786" max="11786" width="14.5" style="3501" customWidth="1"/>
    <col min="11787" max="11787" width="9" style="3501"/>
    <col min="11788" max="11788" width="22.375" style="3501" customWidth="1"/>
    <col min="11789" max="12033" width="9" style="3501"/>
    <col min="12034" max="12034" width="5.5" style="3501" customWidth="1"/>
    <col min="12035" max="12035" width="25.25" style="3501" customWidth="1"/>
    <col min="12036" max="12036" width="11.625" style="3501" customWidth="1"/>
    <col min="12037" max="12037" width="15.25" style="3501" customWidth="1"/>
    <col min="12038" max="12038" width="14" style="3501" customWidth="1"/>
    <col min="12039" max="12039" width="11.125" style="3501" customWidth="1"/>
    <col min="12040" max="12040" width="12.75" style="3501" customWidth="1"/>
    <col min="12041" max="12041" width="13.875" style="3501" customWidth="1"/>
    <col min="12042" max="12042" width="14.5" style="3501" customWidth="1"/>
    <col min="12043" max="12043" width="9" style="3501"/>
    <col min="12044" max="12044" width="22.375" style="3501" customWidth="1"/>
    <col min="12045" max="12289" width="9" style="3501"/>
    <col min="12290" max="12290" width="5.5" style="3501" customWidth="1"/>
    <col min="12291" max="12291" width="25.25" style="3501" customWidth="1"/>
    <col min="12292" max="12292" width="11.625" style="3501" customWidth="1"/>
    <col min="12293" max="12293" width="15.25" style="3501" customWidth="1"/>
    <col min="12294" max="12294" width="14" style="3501" customWidth="1"/>
    <col min="12295" max="12295" width="11.125" style="3501" customWidth="1"/>
    <col min="12296" max="12296" width="12.75" style="3501" customWidth="1"/>
    <col min="12297" max="12297" width="13.875" style="3501" customWidth="1"/>
    <col min="12298" max="12298" width="14.5" style="3501" customWidth="1"/>
    <col min="12299" max="12299" width="9" style="3501"/>
    <col min="12300" max="12300" width="22.375" style="3501" customWidth="1"/>
    <col min="12301" max="12545" width="9" style="3501"/>
    <col min="12546" max="12546" width="5.5" style="3501" customWidth="1"/>
    <col min="12547" max="12547" width="25.25" style="3501" customWidth="1"/>
    <col min="12548" max="12548" width="11.625" style="3501" customWidth="1"/>
    <col min="12549" max="12549" width="15.25" style="3501" customWidth="1"/>
    <col min="12550" max="12550" width="14" style="3501" customWidth="1"/>
    <col min="12551" max="12551" width="11.125" style="3501" customWidth="1"/>
    <col min="12552" max="12552" width="12.75" style="3501" customWidth="1"/>
    <col min="12553" max="12553" width="13.875" style="3501" customWidth="1"/>
    <col min="12554" max="12554" width="14.5" style="3501" customWidth="1"/>
    <col min="12555" max="12555" width="9" style="3501"/>
    <col min="12556" max="12556" width="22.375" style="3501" customWidth="1"/>
    <col min="12557" max="12801" width="9" style="3501"/>
    <col min="12802" max="12802" width="5.5" style="3501" customWidth="1"/>
    <col min="12803" max="12803" width="25.25" style="3501" customWidth="1"/>
    <col min="12804" max="12804" width="11.625" style="3501" customWidth="1"/>
    <col min="12805" max="12805" width="15.25" style="3501" customWidth="1"/>
    <col min="12806" max="12806" width="14" style="3501" customWidth="1"/>
    <col min="12807" max="12807" width="11.125" style="3501" customWidth="1"/>
    <col min="12808" max="12808" width="12.75" style="3501" customWidth="1"/>
    <col min="12809" max="12809" width="13.875" style="3501" customWidth="1"/>
    <col min="12810" max="12810" width="14.5" style="3501" customWidth="1"/>
    <col min="12811" max="12811" width="9" style="3501"/>
    <col min="12812" max="12812" width="22.375" style="3501" customWidth="1"/>
    <col min="12813" max="13057" width="9" style="3501"/>
    <col min="13058" max="13058" width="5.5" style="3501" customWidth="1"/>
    <col min="13059" max="13059" width="25.25" style="3501" customWidth="1"/>
    <col min="13060" max="13060" width="11.625" style="3501" customWidth="1"/>
    <col min="13061" max="13061" width="15.25" style="3501" customWidth="1"/>
    <col min="13062" max="13062" width="14" style="3501" customWidth="1"/>
    <col min="13063" max="13063" width="11.125" style="3501" customWidth="1"/>
    <col min="13064" max="13064" width="12.75" style="3501" customWidth="1"/>
    <col min="13065" max="13065" width="13.875" style="3501" customWidth="1"/>
    <col min="13066" max="13066" width="14.5" style="3501" customWidth="1"/>
    <col min="13067" max="13067" width="9" style="3501"/>
    <col min="13068" max="13068" width="22.375" style="3501" customWidth="1"/>
    <col min="13069" max="13313" width="9" style="3501"/>
    <col min="13314" max="13314" width="5.5" style="3501" customWidth="1"/>
    <col min="13315" max="13315" width="25.25" style="3501" customWidth="1"/>
    <col min="13316" max="13316" width="11.625" style="3501" customWidth="1"/>
    <col min="13317" max="13317" width="15.25" style="3501" customWidth="1"/>
    <col min="13318" max="13318" width="14" style="3501" customWidth="1"/>
    <col min="13319" max="13319" width="11.125" style="3501" customWidth="1"/>
    <col min="13320" max="13320" width="12.75" style="3501" customWidth="1"/>
    <col min="13321" max="13321" width="13.875" style="3501" customWidth="1"/>
    <col min="13322" max="13322" width="14.5" style="3501" customWidth="1"/>
    <col min="13323" max="13323" width="9" style="3501"/>
    <col min="13324" max="13324" width="22.375" style="3501" customWidth="1"/>
    <col min="13325" max="13569" width="9" style="3501"/>
    <col min="13570" max="13570" width="5.5" style="3501" customWidth="1"/>
    <col min="13571" max="13571" width="25.25" style="3501" customWidth="1"/>
    <col min="13572" max="13572" width="11.625" style="3501" customWidth="1"/>
    <col min="13573" max="13573" width="15.25" style="3501" customWidth="1"/>
    <col min="13574" max="13574" width="14" style="3501" customWidth="1"/>
    <col min="13575" max="13575" width="11.125" style="3501" customWidth="1"/>
    <col min="13576" max="13576" width="12.75" style="3501" customWidth="1"/>
    <col min="13577" max="13577" width="13.875" style="3501" customWidth="1"/>
    <col min="13578" max="13578" width="14.5" style="3501" customWidth="1"/>
    <col min="13579" max="13579" width="9" style="3501"/>
    <col min="13580" max="13580" width="22.375" style="3501" customWidth="1"/>
    <col min="13581" max="13825" width="9" style="3501"/>
    <col min="13826" max="13826" width="5.5" style="3501" customWidth="1"/>
    <col min="13827" max="13827" width="25.25" style="3501" customWidth="1"/>
    <col min="13828" max="13828" width="11.625" style="3501" customWidth="1"/>
    <col min="13829" max="13829" width="15.25" style="3501" customWidth="1"/>
    <col min="13830" max="13830" width="14" style="3501" customWidth="1"/>
    <col min="13831" max="13831" width="11.125" style="3501" customWidth="1"/>
    <col min="13832" max="13832" width="12.75" style="3501" customWidth="1"/>
    <col min="13833" max="13833" width="13.875" style="3501" customWidth="1"/>
    <col min="13834" max="13834" width="14.5" style="3501" customWidth="1"/>
    <col min="13835" max="13835" width="9" style="3501"/>
    <col min="13836" max="13836" width="22.375" style="3501" customWidth="1"/>
    <col min="13837" max="14081" width="9" style="3501"/>
    <col min="14082" max="14082" width="5.5" style="3501" customWidth="1"/>
    <col min="14083" max="14083" width="25.25" style="3501" customWidth="1"/>
    <col min="14084" max="14084" width="11.625" style="3501" customWidth="1"/>
    <col min="14085" max="14085" width="15.25" style="3501" customWidth="1"/>
    <col min="14086" max="14086" width="14" style="3501" customWidth="1"/>
    <col min="14087" max="14087" width="11.125" style="3501" customWidth="1"/>
    <col min="14088" max="14088" width="12.75" style="3501" customWidth="1"/>
    <col min="14089" max="14089" width="13.875" style="3501" customWidth="1"/>
    <col min="14090" max="14090" width="14.5" style="3501" customWidth="1"/>
    <col min="14091" max="14091" width="9" style="3501"/>
    <col min="14092" max="14092" width="22.375" style="3501" customWidth="1"/>
    <col min="14093" max="14337" width="9" style="3501"/>
    <col min="14338" max="14338" width="5.5" style="3501" customWidth="1"/>
    <col min="14339" max="14339" width="25.25" style="3501" customWidth="1"/>
    <col min="14340" max="14340" width="11.625" style="3501" customWidth="1"/>
    <col min="14341" max="14341" width="15.25" style="3501" customWidth="1"/>
    <col min="14342" max="14342" width="14" style="3501" customWidth="1"/>
    <col min="14343" max="14343" width="11.125" style="3501" customWidth="1"/>
    <col min="14344" max="14344" width="12.75" style="3501" customWidth="1"/>
    <col min="14345" max="14345" width="13.875" style="3501" customWidth="1"/>
    <col min="14346" max="14346" width="14.5" style="3501" customWidth="1"/>
    <col min="14347" max="14347" width="9" style="3501"/>
    <col min="14348" max="14348" width="22.375" style="3501" customWidth="1"/>
    <col min="14349" max="14593" width="9" style="3501"/>
    <col min="14594" max="14594" width="5.5" style="3501" customWidth="1"/>
    <col min="14595" max="14595" width="25.25" style="3501" customWidth="1"/>
    <col min="14596" max="14596" width="11.625" style="3501" customWidth="1"/>
    <col min="14597" max="14597" width="15.25" style="3501" customWidth="1"/>
    <col min="14598" max="14598" width="14" style="3501" customWidth="1"/>
    <col min="14599" max="14599" width="11.125" style="3501" customWidth="1"/>
    <col min="14600" max="14600" width="12.75" style="3501" customWidth="1"/>
    <col min="14601" max="14601" width="13.875" style="3501" customWidth="1"/>
    <col min="14602" max="14602" width="14.5" style="3501" customWidth="1"/>
    <col min="14603" max="14603" width="9" style="3501"/>
    <col min="14604" max="14604" width="22.375" style="3501" customWidth="1"/>
    <col min="14605" max="14849" width="9" style="3501"/>
    <col min="14850" max="14850" width="5.5" style="3501" customWidth="1"/>
    <col min="14851" max="14851" width="25.25" style="3501" customWidth="1"/>
    <col min="14852" max="14852" width="11.625" style="3501" customWidth="1"/>
    <col min="14853" max="14853" width="15.25" style="3501" customWidth="1"/>
    <col min="14854" max="14854" width="14" style="3501" customWidth="1"/>
    <col min="14855" max="14855" width="11.125" style="3501" customWidth="1"/>
    <col min="14856" max="14856" width="12.75" style="3501" customWidth="1"/>
    <col min="14857" max="14857" width="13.875" style="3501" customWidth="1"/>
    <col min="14858" max="14858" width="14.5" style="3501" customWidth="1"/>
    <col min="14859" max="14859" width="9" style="3501"/>
    <col min="14860" max="14860" width="22.375" style="3501" customWidth="1"/>
    <col min="14861" max="15105" width="9" style="3501"/>
    <col min="15106" max="15106" width="5.5" style="3501" customWidth="1"/>
    <col min="15107" max="15107" width="25.25" style="3501" customWidth="1"/>
    <col min="15108" max="15108" width="11.625" style="3501" customWidth="1"/>
    <col min="15109" max="15109" width="15.25" style="3501" customWidth="1"/>
    <col min="15110" max="15110" width="14" style="3501" customWidth="1"/>
    <col min="15111" max="15111" width="11.125" style="3501" customWidth="1"/>
    <col min="15112" max="15112" width="12.75" style="3501" customWidth="1"/>
    <col min="15113" max="15113" width="13.875" style="3501" customWidth="1"/>
    <col min="15114" max="15114" width="14.5" style="3501" customWidth="1"/>
    <col min="15115" max="15115" width="9" style="3501"/>
    <col min="15116" max="15116" width="22.375" style="3501" customWidth="1"/>
    <col min="15117" max="15361" width="9" style="3501"/>
    <col min="15362" max="15362" width="5.5" style="3501" customWidth="1"/>
    <col min="15363" max="15363" width="25.25" style="3501" customWidth="1"/>
    <col min="15364" max="15364" width="11.625" style="3501" customWidth="1"/>
    <col min="15365" max="15365" width="15.25" style="3501" customWidth="1"/>
    <col min="15366" max="15366" width="14" style="3501" customWidth="1"/>
    <col min="15367" max="15367" width="11.125" style="3501" customWidth="1"/>
    <col min="15368" max="15368" width="12.75" style="3501" customWidth="1"/>
    <col min="15369" max="15369" width="13.875" style="3501" customWidth="1"/>
    <col min="15370" max="15370" width="14.5" style="3501" customWidth="1"/>
    <col min="15371" max="15371" width="9" style="3501"/>
    <col min="15372" max="15372" width="22.375" style="3501" customWidth="1"/>
    <col min="15373" max="15617" width="9" style="3501"/>
    <col min="15618" max="15618" width="5.5" style="3501" customWidth="1"/>
    <col min="15619" max="15619" width="25.25" style="3501" customWidth="1"/>
    <col min="15620" max="15620" width="11.625" style="3501" customWidth="1"/>
    <col min="15621" max="15621" width="15.25" style="3501" customWidth="1"/>
    <col min="15622" max="15622" width="14" style="3501" customWidth="1"/>
    <col min="15623" max="15623" width="11.125" style="3501" customWidth="1"/>
    <col min="15624" max="15624" width="12.75" style="3501" customWidth="1"/>
    <col min="15625" max="15625" width="13.875" style="3501" customWidth="1"/>
    <col min="15626" max="15626" width="14.5" style="3501" customWidth="1"/>
    <col min="15627" max="15627" width="9" style="3501"/>
    <col min="15628" max="15628" width="22.375" style="3501" customWidth="1"/>
    <col min="15629" max="15873" width="9" style="3501"/>
    <col min="15874" max="15874" width="5.5" style="3501" customWidth="1"/>
    <col min="15875" max="15875" width="25.25" style="3501" customWidth="1"/>
    <col min="15876" max="15876" width="11.625" style="3501" customWidth="1"/>
    <col min="15877" max="15877" width="15.25" style="3501" customWidth="1"/>
    <col min="15878" max="15878" width="14" style="3501" customWidth="1"/>
    <col min="15879" max="15879" width="11.125" style="3501" customWidth="1"/>
    <col min="15880" max="15880" width="12.75" style="3501" customWidth="1"/>
    <col min="15881" max="15881" width="13.875" style="3501" customWidth="1"/>
    <col min="15882" max="15882" width="14.5" style="3501" customWidth="1"/>
    <col min="15883" max="15883" width="9" style="3501"/>
    <col min="15884" max="15884" width="22.375" style="3501" customWidth="1"/>
    <col min="15885" max="16129" width="9" style="3501"/>
    <col min="16130" max="16130" width="5.5" style="3501" customWidth="1"/>
    <col min="16131" max="16131" width="25.25" style="3501" customWidth="1"/>
    <col min="16132" max="16132" width="11.625" style="3501" customWidth="1"/>
    <col min="16133" max="16133" width="15.25" style="3501" customWidth="1"/>
    <col min="16134" max="16134" width="14" style="3501" customWidth="1"/>
    <col min="16135" max="16135" width="11.125" style="3501" customWidth="1"/>
    <col min="16136" max="16136" width="12.75" style="3501" customWidth="1"/>
    <col min="16137" max="16137" width="13.875" style="3501" customWidth="1"/>
    <col min="16138" max="16138" width="14.5" style="3501" customWidth="1"/>
    <col min="16139" max="16139" width="9" style="3501"/>
    <col min="16140" max="16140" width="22.375" style="3501" customWidth="1"/>
    <col min="16141" max="16384" width="9" style="3501"/>
  </cols>
  <sheetData>
    <row r="1" spans="2:12" ht="18.75">
      <c r="B1" s="3500" t="s">
        <v>3513</v>
      </c>
      <c r="C1" s="3500"/>
      <c r="D1" s="3500"/>
      <c r="E1" s="3500"/>
      <c r="F1" s="3500"/>
      <c r="G1" s="3500"/>
    </row>
    <row r="2" spans="2:12" ht="20.100000000000001" customHeight="1" thickBot="1">
      <c r="B2" s="3503" t="s">
        <v>3514</v>
      </c>
      <c r="C2" s="3503"/>
      <c r="D2" s="3503"/>
      <c r="E2" s="3503"/>
      <c r="F2" s="3503"/>
      <c r="G2" s="3503"/>
    </row>
    <row r="3" spans="2:12" ht="18" customHeight="1">
      <c r="B3" s="3504">
        <v>1</v>
      </c>
      <c r="C3" s="3505" t="s">
        <v>3515</v>
      </c>
      <c r="D3" s="3506"/>
      <c r="E3" s="3506"/>
      <c r="F3" s="3506"/>
      <c r="G3" s="3507"/>
      <c r="H3" s="3508"/>
      <c r="I3" s="3508"/>
    </row>
    <row r="4" spans="2:12" ht="27" customHeight="1">
      <c r="B4" s="3509"/>
      <c r="C4" s="3510" t="s">
        <v>3516</v>
      </c>
      <c r="D4" s="3510" t="s">
        <v>3517</v>
      </c>
      <c r="E4" s="3510" t="s">
        <v>3518</v>
      </c>
      <c r="F4" s="3510" t="s">
        <v>3519</v>
      </c>
      <c r="G4" s="3511" t="s">
        <v>3520</v>
      </c>
      <c r="H4" s="3508"/>
      <c r="I4" s="3508"/>
    </row>
    <row r="5" spans="2:12" ht="18" customHeight="1">
      <c r="B5" s="3509"/>
      <c r="C5" s="3512" t="s">
        <v>3521</v>
      </c>
      <c r="D5" s="3512"/>
      <c r="E5" s="3513">
        <v>60</v>
      </c>
      <c r="F5" s="3514"/>
      <c r="G5" s="3515"/>
      <c r="H5" s="3508"/>
      <c r="I5" s="3516"/>
      <c r="L5" s="3501"/>
    </row>
    <row r="6" spans="2:12" ht="18" customHeight="1">
      <c r="B6" s="3509"/>
      <c r="C6" s="3512" t="s">
        <v>3522</v>
      </c>
      <c r="D6" s="3512"/>
      <c r="E6" s="3513">
        <v>61</v>
      </c>
      <c r="F6" s="3514"/>
      <c r="G6" s="3515"/>
      <c r="H6" s="3508"/>
      <c r="I6" s="3516"/>
      <c r="L6" s="3501"/>
    </row>
    <row r="7" spans="2:12" ht="18" customHeight="1">
      <c r="B7" s="3509"/>
      <c r="C7" s="3512" t="s">
        <v>3523</v>
      </c>
      <c r="D7" s="3512"/>
      <c r="E7" s="3513">
        <v>32</v>
      </c>
      <c r="F7" s="3514"/>
      <c r="G7" s="3515"/>
      <c r="H7" s="3508"/>
      <c r="I7" s="3516"/>
      <c r="L7" s="3501"/>
    </row>
    <row r="8" spans="2:12" ht="18" customHeight="1">
      <c r="B8" s="3509"/>
      <c r="C8" s="3512" t="s">
        <v>3524</v>
      </c>
      <c r="D8" s="3512"/>
      <c r="E8" s="3513">
        <v>40</v>
      </c>
      <c r="F8" s="3514"/>
      <c r="G8" s="3515"/>
      <c r="H8" s="3508"/>
      <c r="I8" s="3517"/>
      <c r="L8" s="3501"/>
    </row>
    <row r="9" spans="2:12" ht="18" customHeight="1">
      <c r="B9" s="3509"/>
      <c r="C9" s="3512" t="s">
        <v>3525</v>
      </c>
      <c r="D9" s="3512"/>
      <c r="E9" s="3513">
        <v>31</v>
      </c>
      <c r="F9" s="3514"/>
      <c r="G9" s="3515"/>
      <c r="H9" s="3508"/>
      <c r="I9" s="3517"/>
      <c r="L9" s="3501"/>
    </row>
    <row r="10" spans="2:12" ht="18" customHeight="1">
      <c r="B10" s="3509"/>
      <c r="C10" s="3512" t="s">
        <v>3526</v>
      </c>
      <c r="D10" s="3512"/>
      <c r="E10" s="3513">
        <v>47</v>
      </c>
      <c r="F10" s="3514"/>
      <c r="G10" s="3515"/>
      <c r="H10" s="3508"/>
      <c r="I10" s="3517"/>
      <c r="L10" s="3501"/>
    </row>
    <row r="11" spans="2:12" ht="18" customHeight="1">
      <c r="B11" s="3509"/>
      <c r="C11" s="3512" t="s">
        <v>3527</v>
      </c>
      <c r="D11" s="3512"/>
      <c r="E11" s="3513">
        <v>13</v>
      </c>
      <c r="F11" s="3514"/>
      <c r="G11" s="3515"/>
      <c r="H11" s="3508"/>
      <c r="I11" s="3517"/>
      <c r="L11" s="3501"/>
    </row>
    <row r="12" spans="2:12" ht="18" customHeight="1">
      <c r="B12" s="3509"/>
      <c r="C12" s="3512" t="s">
        <v>3528</v>
      </c>
      <c r="D12" s="3512"/>
      <c r="E12" s="3513">
        <v>25</v>
      </c>
      <c r="F12" s="3514"/>
      <c r="G12" s="3515"/>
      <c r="H12" s="3508"/>
      <c r="I12" s="3517"/>
      <c r="L12" s="3501"/>
    </row>
    <row r="13" spans="2:12" ht="18" customHeight="1">
      <c r="B13" s="3509"/>
      <c r="C13" s="3512" t="s">
        <v>3529</v>
      </c>
      <c r="D13" s="3512"/>
      <c r="E13" s="3513">
        <v>1</v>
      </c>
      <c r="F13" s="3514"/>
      <c r="G13" s="3515"/>
      <c r="H13" s="3508"/>
      <c r="I13" s="3517"/>
      <c r="L13" s="3501"/>
    </row>
    <row r="14" spans="2:12" ht="18" customHeight="1">
      <c r="B14" s="3509"/>
      <c r="C14" s="3512" t="s">
        <v>3530</v>
      </c>
      <c r="D14" s="3512"/>
      <c r="E14" s="3513">
        <v>1</v>
      </c>
      <c r="F14" s="3514"/>
      <c r="G14" s="3515"/>
      <c r="H14" s="3508"/>
      <c r="I14" s="3517"/>
      <c r="L14" s="3501"/>
    </row>
    <row r="15" spans="2:12" ht="18" customHeight="1">
      <c r="B15" s="3509"/>
      <c r="C15" s="3512" t="s">
        <v>3531</v>
      </c>
      <c r="D15" s="3512"/>
      <c r="E15" s="3513">
        <v>2</v>
      </c>
      <c r="F15" s="3514"/>
      <c r="G15" s="3515"/>
      <c r="H15" s="3508"/>
      <c r="I15" s="3517"/>
      <c r="L15" s="3501"/>
    </row>
    <row r="16" spans="2:12" ht="18" customHeight="1" thickBot="1">
      <c r="B16" s="3518"/>
      <c r="C16" s="3519" t="s">
        <v>3532</v>
      </c>
      <c r="D16" s="3519" t="s">
        <v>43</v>
      </c>
      <c r="E16" s="3519">
        <f>SUM(E5:E15)</f>
        <v>313</v>
      </c>
      <c r="F16" s="3519" t="s">
        <v>43</v>
      </c>
      <c r="G16" s="3520" t="s">
        <v>43</v>
      </c>
      <c r="H16" s="3508"/>
      <c r="I16" s="3517"/>
      <c r="L16" s="3501"/>
    </row>
    <row r="17" spans="2:12" ht="18" customHeight="1">
      <c r="B17" s="3504">
        <v>2</v>
      </c>
      <c r="C17" s="3505" t="s">
        <v>3533</v>
      </c>
      <c r="D17" s="3505"/>
      <c r="E17" s="3505"/>
      <c r="F17" s="3505"/>
      <c r="G17" s="3521"/>
      <c r="H17" s="3522"/>
      <c r="L17" s="3501"/>
    </row>
    <row r="18" spans="2:12" ht="27" customHeight="1">
      <c r="B18" s="3509"/>
      <c r="C18" s="3510" t="s">
        <v>3534</v>
      </c>
      <c r="D18" s="3510" t="s">
        <v>3535</v>
      </c>
      <c r="E18" s="3510" t="s">
        <v>3517</v>
      </c>
      <c r="F18" s="3510" t="s">
        <v>3519</v>
      </c>
      <c r="G18" s="3511" t="s">
        <v>3536</v>
      </c>
      <c r="H18" s="3523" t="s">
        <v>3537</v>
      </c>
      <c r="I18" s="3508"/>
      <c r="L18" s="3501"/>
    </row>
    <row r="19" spans="2:12" ht="18" customHeight="1">
      <c r="B19" s="3509"/>
      <c r="C19" s="3513" t="s">
        <v>3538</v>
      </c>
      <c r="D19" s="3513">
        <v>504</v>
      </c>
      <c r="E19" s="3513">
        <v>16000</v>
      </c>
      <c r="F19" s="3524"/>
      <c r="G19" s="3525"/>
      <c r="H19" s="3508">
        <v>800</v>
      </c>
      <c r="I19" s="3517"/>
      <c r="L19" s="3501"/>
    </row>
    <row r="20" spans="2:12" ht="18" customHeight="1">
      <c r="B20" s="3509"/>
      <c r="C20" s="3513" t="s">
        <v>3539</v>
      </c>
      <c r="D20" s="3513">
        <v>100</v>
      </c>
      <c r="E20" s="3513">
        <v>40000</v>
      </c>
      <c r="F20" s="3524"/>
      <c r="G20" s="3525"/>
      <c r="H20" s="3508">
        <v>423</v>
      </c>
      <c r="I20" s="3517"/>
      <c r="L20" s="3501"/>
    </row>
    <row r="21" spans="2:12" ht="18" customHeight="1">
      <c r="B21" s="3509"/>
      <c r="C21" s="3513" t="s">
        <v>3540</v>
      </c>
      <c r="D21" s="3513">
        <v>108</v>
      </c>
      <c r="E21" s="3513">
        <v>20000</v>
      </c>
      <c r="F21" s="3524"/>
      <c r="G21" s="3525"/>
      <c r="H21" s="3508">
        <v>160</v>
      </c>
      <c r="I21" s="3517"/>
      <c r="L21" s="3501"/>
    </row>
    <row r="22" spans="2:12" ht="18" customHeight="1">
      <c r="B22" s="3509"/>
      <c r="C22" s="3513" t="s">
        <v>3541</v>
      </c>
      <c r="D22" s="3513">
        <v>58</v>
      </c>
      <c r="E22" s="3513">
        <v>15000</v>
      </c>
      <c r="F22" s="3524"/>
      <c r="G22" s="3525"/>
      <c r="H22" s="3508">
        <v>70</v>
      </c>
      <c r="I22" s="3517"/>
      <c r="L22" s="3501"/>
    </row>
    <row r="23" spans="2:12" ht="18" customHeight="1">
      <c r="B23" s="3509"/>
      <c r="C23" s="3513" t="s">
        <v>3542</v>
      </c>
      <c r="D23" s="3513">
        <v>60</v>
      </c>
      <c r="E23" s="3513">
        <v>20000</v>
      </c>
      <c r="F23" s="3524"/>
      <c r="G23" s="3525"/>
      <c r="H23" s="3508">
        <v>126</v>
      </c>
      <c r="I23" s="3517"/>
      <c r="L23" s="3501"/>
    </row>
    <row r="24" spans="2:12" ht="18" customHeight="1">
      <c r="B24" s="3509"/>
      <c r="C24" s="3513" t="s">
        <v>3543</v>
      </c>
      <c r="D24" s="3513">
        <v>12</v>
      </c>
      <c r="E24" s="3513">
        <v>12000</v>
      </c>
      <c r="F24" s="3524"/>
      <c r="G24" s="3525"/>
      <c r="H24" s="3508">
        <v>40</v>
      </c>
      <c r="I24" s="3517"/>
      <c r="L24" s="3501"/>
    </row>
    <row r="25" spans="2:12" ht="18" customHeight="1">
      <c r="B25" s="3509"/>
      <c r="C25" s="3513" t="s">
        <v>3544</v>
      </c>
      <c r="D25" s="3513">
        <v>12</v>
      </c>
      <c r="E25" s="3513">
        <v>12000</v>
      </c>
      <c r="F25" s="3524"/>
      <c r="G25" s="3525"/>
      <c r="H25" s="3508">
        <v>40</v>
      </c>
      <c r="I25" s="3517"/>
      <c r="L25" s="3501"/>
    </row>
    <row r="26" spans="2:12" ht="18" customHeight="1">
      <c r="B26" s="3509"/>
      <c r="C26" s="3513" t="s">
        <v>3545</v>
      </c>
      <c r="D26" s="3513">
        <v>14</v>
      </c>
      <c r="E26" s="3513">
        <v>12000</v>
      </c>
      <c r="F26" s="3524"/>
      <c r="G26" s="3525"/>
      <c r="H26" s="3508">
        <v>36</v>
      </c>
      <c r="I26" s="3517"/>
      <c r="L26" s="3501"/>
    </row>
    <row r="27" spans="2:12" ht="18" customHeight="1" thickBot="1">
      <c r="B27" s="3518"/>
      <c r="C27" s="3519" t="s">
        <v>3532</v>
      </c>
      <c r="D27" s="3519"/>
      <c r="E27" s="3519" t="s">
        <v>43</v>
      </c>
      <c r="F27" s="3526" t="s">
        <v>43</v>
      </c>
      <c r="G27" s="3520" t="s">
        <v>43</v>
      </c>
      <c r="H27" s="3508"/>
      <c r="I27" s="3517"/>
      <c r="L27" s="3501"/>
    </row>
    <row r="28" spans="2:12" ht="18" customHeight="1">
      <c r="B28" s="3504">
        <v>3</v>
      </c>
      <c r="C28" s="3505" t="s">
        <v>3546</v>
      </c>
      <c r="D28" s="3505"/>
      <c r="E28" s="3505"/>
      <c r="F28" s="3505"/>
      <c r="G28" s="3521"/>
      <c r="H28" s="3522"/>
      <c r="L28" s="3501"/>
    </row>
    <row r="29" spans="2:12" ht="38.25" customHeight="1">
      <c r="B29" s="3509"/>
      <c r="C29" s="3510" t="s">
        <v>3547</v>
      </c>
      <c r="D29" s="3510" t="s">
        <v>3548</v>
      </c>
      <c r="E29" s="3510" t="s">
        <v>3549</v>
      </c>
      <c r="F29" s="3510" t="s">
        <v>3550</v>
      </c>
      <c r="G29" s="3511" t="s">
        <v>3551</v>
      </c>
      <c r="L29" s="3501"/>
    </row>
    <row r="30" spans="2:12" ht="18" customHeight="1">
      <c r="B30" s="3509"/>
      <c r="C30" s="3513" t="s">
        <v>3552</v>
      </c>
      <c r="D30" s="3513">
        <v>50</v>
      </c>
      <c r="E30" s="3513"/>
      <c r="F30" s="3513">
        <v>59.02</v>
      </c>
      <c r="G30" s="3527"/>
      <c r="L30" s="3501"/>
    </row>
    <row r="31" spans="2:12" ht="18" customHeight="1">
      <c r="B31" s="3509"/>
      <c r="C31" s="3513" t="s">
        <v>3553</v>
      </c>
      <c r="D31" s="3513">
        <v>120</v>
      </c>
      <c r="E31" s="3513"/>
      <c r="F31" s="3513">
        <v>82.77</v>
      </c>
      <c r="G31" s="3527"/>
      <c r="L31" s="3501"/>
    </row>
    <row r="32" spans="2:12" ht="18" customHeight="1">
      <c r="B32" s="3509"/>
      <c r="C32" s="3513" t="s">
        <v>3554</v>
      </c>
      <c r="D32" s="3513" t="s">
        <v>3555</v>
      </c>
      <c r="E32" s="3513"/>
      <c r="F32" s="3513">
        <v>268.54000000000002</v>
      </c>
      <c r="G32" s="3527"/>
      <c r="L32" s="3501"/>
    </row>
    <row r="33" spans="2:12" ht="18" customHeight="1">
      <c r="B33" s="3509"/>
      <c r="C33" s="3513"/>
      <c r="D33" s="3513"/>
      <c r="E33" s="3513"/>
      <c r="F33" s="3513"/>
      <c r="G33" s="3527"/>
      <c r="L33" s="3501"/>
    </row>
    <row r="34" spans="2:12" ht="18" customHeight="1">
      <c r="B34" s="3509"/>
      <c r="C34" s="3513"/>
      <c r="D34" s="3513"/>
      <c r="E34" s="3513"/>
      <c r="F34" s="3513"/>
      <c r="G34" s="3527"/>
      <c r="L34" s="3501"/>
    </row>
    <row r="35" spans="2:12" ht="18" customHeight="1">
      <c r="B35" s="3509"/>
      <c r="C35" s="3513"/>
      <c r="D35" s="3513"/>
      <c r="E35" s="3513"/>
      <c r="F35" s="3513"/>
      <c r="G35" s="3527"/>
      <c r="L35" s="3501"/>
    </row>
    <row r="36" spans="2:12" ht="18" customHeight="1">
      <c r="B36" s="3509"/>
      <c r="C36" s="3513"/>
      <c r="D36" s="3513"/>
      <c r="E36" s="3513"/>
      <c r="F36" s="3513"/>
      <c r="G36" s="3527"/>
      <c r="L36" s="3501"/>
    </row>
    <row r="37" spans="2:12" ht="18" customHeight="1">
      <c r="B37" s="3509"/>
      <c r="C37" s="3513"/>
      <c r="D37" s="3513"/>
      <c r="E37" s="3513"/>
      <c r="F37" s="3513"/>
      <c r="G37" s="3527"/>
      <c r="L37" s="3501"/>
    </row>
    <row r="38" spans="2:12" ht="18" customHeight="1" thickBot="1">
      <c r="B38" s="3518"/>
      <c r="C38" s="3519" t="s">
        <v>3532</v>
      </c>
      <c r="D38" s="3519"/>
      <c r="E38" s="3519"/>
      <c r="F38" s="3519"/>
      <c r="G38" s="3528"/>
      <c r="L38" s="3501"/>
    </row>
    <row r="39" spans="2:12" ht="18" customHeight="1">
      <c r="B39" s="3504">
        <v>4</v>
      </c>
      <c r="C39" s="3505" t="s">
        <v>3556</v>
      </c>
      <c r="D39" s="3505"/>
      <c r="E39" s="3505"/>
      <c r="F39" s="3505"/>
      <c r="G39" s="3521"/>
      <c r="L39" s="3501"/>
    </row>
    <row r="40" spans="2:12" ht="27" customHeight="1">
      <c r="B40" s="3509"/>
      <c r="C40" s="3510" t="s">
        <v>3557</v>
      </c>
      <c r="D40" s="3510" t="s">
        <v>3558</v>
      </c>
      <c r="E40" s="3510" t="s">
        <v>3559</v>
      </c>
      <c r="F40" s="3529" t="s">
        <v>3560</v>
      </c>
      <c r="G40" s="3530"/>
      <c r="L40" s="3501"/>
    </row>
    <row r="41" spans="2:12" ht="18" customHeight="1">
      <c r="B41" s="3509"/>
      <c r="C41" s="3531" t="s">
        <v>3561</v>
      </c>
      <c r="D41" s="3531"/>
      <c r="E41" s="3531"/>
      <c r="F41" s="3532"/>
      <c r="G41" s="3533"/>
      <c r="I41" s="3534"/>
      <c r="L41" s="3501"/>
    </row>
    <row r="42" spans="2:12" ht="18" customHeight="1">
      <c r="B42" s="3509"/>
      <c r="C42" s="3531" t="s">
        <v>3562</v>
      </c>
      <c r="D42" s="3531"/>
      <c r="E42" s="3531"/>
      <c r="F42" s="3532"/>
      <c r="G42" s="3533"/>
      <c r="I42" s="3534"/>
      <c r="L42" s="3501"/>
    </row>
    <row r="43" spans="2:12" ht="18" customHeight="1">
      <c r="B43" s="3509"/>
      <c r="C43" s="3531" t="s">
        <v>3563</v>
      </c>
      <c r="D43" s="3531"/>
      <c r="E43" s="3531"/>
      <c r="F43" s="3532"/>
      <c r="G43" s="3533"/>
      <c r="I43" s="3534"/>
      <c r="L43" s="3501"/>
    </row>
    <row r="44" spans="2:12" ht="18" customHeight="1">
      <c r="B44" s="3509"/>
      <c r="C44" s="3531" t="s">
        <v>3564</v>
      </c>
      <c r="D44" s="3531">
        <v>176</v>
      </c>
      <c r="E44" s="3531">
        <v>129</v>
      </c>
      <c r="F44" s="3532">
        <v>14</v>
      </c>
      <c r="G44" s="3533"/>
      <c r="I44" s="3534"/>
      <c r="L44" s="3501"/>
    </row>
    <row r="45" spans="2:12" ht="18" customHeight="1">
      <c r="B45" s="3509"/>
      <c r="C45" s="3531" t="s">
        <v>3565</v>
      </c>
      <c r="D45" s="3531">
        <v>45</v>
      </c>
      <c r="E45" s="3531">
        <v>47</v>
      </c>
      <c r="F45" s="3532">
        <v>6</v>
      </c>
      <c r="G45" s="3533"/>
      <c r="I45" s="3534"/>
      <c r="L45" s="3501"/>
    </row>
    <row r="46" spans="2:12" ht="18" customHeight="1">
      <c r="B46" s="3509"/>
      <c r="C46" s="3531" t="s">
        <v>3566</v>
      </c>
      <c r="D46" s="3531"/>
      <c r="E46" s="3531"/>
      <c r="F46" s="3532">
        <v>3.3</v>
      </c>
      <c r="G46" s="3533"/>
      <c r="I46" s="3534"/>
      <c r="L46" s="3501"/>
    </row>
    <row r="47" spans="2:12" ht="18" customHeight="1" thickBot="1">
      <c r="B47" s="3518"/>
      <c r="C47" s="3535" t="s">
        <v>3532</v>
      </c>
      <c r="D47" s="3535">
        <f>SUM(D41:D46)</f>
        <v>221</v>
      </c>
      <c r="E47" s="3535" t="s">
        <v>43</v>
      </c>
      <c r="F47" s="3536" t="s">
        <v>43</v>
      </c>
      <c r="G47" s="3537"/>
      <c r="I47" s="3534"/>
      <c r="L47" s="3501"/>
    </row>
    <row r="48" spans="2:12" ht="18" customHeight="1">
      <c r="B48" s="3538" t="s">
        <v>3567</v>
      </c>
      <c r="C48" s="3538"/>
      <c r="D48" s="3538"/>
      <c r="E48" s="3538"/>
      <c r="F48" s="3538"/>
      <c r="G48" s="3538"/>
      <c r="I48" s="3539"/>
    </row>
  </sheetData>
  <mergeCells count="19">
    <mergeCell ref="F46:G46"/>
    <mergeCell ref="F47:G47"/>
    <mergeCell ref="B48:G48"/>
    <mergeCell ref="B28:B38"/>
    <mergeCell ref="C28:G28"/>
    <mergeCell ref="B39:B47"/>
    <mergeCell ref="C39:G39"/>
    <mergeCell ref="F40:G40"/>
    <mergeCell ref="F41:G41"/>
    <mergeCell ref="F42:G42"/>
    <mergeCell ref="F43:G43"/>
    <mergeCell ref="F44:G44"/>
    <mergeCell ref="F45:G45"/>
    <mergeCell ref="B1:G1"/>
    <mergeCell ref="B2:G2"/>
    <mergeCell ref="B3:B16"/>
    <mergeCell ref="C3:G3"/>
    <mergeCell ref="B17:B27"/>
    <mergeCell ref="C17:G17"/>
  </mergeCells>
  <phoneticPr fontId="134" type="noConversion"/>
  <pageMargins left="0.23622047244094499" right="0.23622047244094499" top="0.39370078740157499" bottom="0.39370078740157499" header="0.31496062992126" footer="0.31496062992126"/>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8621-BDA9-4252-B1EA-E7616AB2481F}">
  <dimension ref="B1:O36"/>
  <sheetViews>
    <sheetView zoomScale="90" zoomScaleNormal="90" workbookViewId="0">
      <selection activeCell="G30" sqref="G30"/>
    </sheetView>
  </sheetViews>
  <sheetFormatPr defaultColWidth="9" defaultRowHeight="13.5"/>
  <cols>
    <col min="1" max="1" width="1.5" style="3550" customWidth="1"/>
    <col min="2" max="2" width="34.125" style="3550" customWidth="1"/>
    <col min="3" max="3" width="14.625" style="3550" customWidth="1"/>
    <col min="4" max="4" width="13.875" style="3550" customWidth="1"/>
    <col min="5" max="5" width="16.25" style="3580" customWidth="1"/>
    <col min="6" max="6" width="17.5" style="3580" customWidth="1"/>
    <col min="7" max="8" width="16.25" style="3580" customWidth="1"/>
    <col min="9" max="9" width="24.875" style="3550" customWidth="1"/>
    <col min="10" max="10" width="9" style="3550"/>
    <col min="11" max="11" width="16.375" style="3550" customWidth="1"/>
    <col min="12" max="12" width="12.625" style="3550" customWidth="1"/>
    <col min="13" max="14" width="11.125" style="3550" customWidth="1"/>
    <col min="15" max="15" width="16.125" style="3550" customWidth="1"/>
    <col min="16" max="16384" width="9" style="3550"/>
  </cols>
  <sheetData>
    <row r="1" spans="2:12" s="3501" customFormat="1" ht="18.75" customHeight="1" thickBot="1">
      <c r="B1" s="3500" t="s">
        <v>3568</v>
      </c>
      <c r="C1" s="3500"/>
      <c r="D1" s="3500"/>
      <c r="E1" s="3500"/>
      <c r="F1" s="3500"/>
      <c r="G1" s="3500"/>
      <c r="H1" s="3500"/>
      <c r="L1" s="3540"/>
    </row>
    <row r="2" spans="2:12" s="3545" customFormat="1" ht="27">
      <c r="B2" s="3541" t="s">
        <v>3569</v>
      </c>
      <c r="C2" s="3542"/>
      <c r="D2" s="3542"/>
      <c r="E2" s="3543" t="s">
        <v>3570</v>
      </c>
      <c r="F2" s="3543" t="s">
        <v>3571</v>
      </c>
      <c r="G2" s="3543" t="s">
        <v>3572</v>
      </c>
      <c r="H2" s="3544" t="s">
        <v>3573</v>
      </c>
    </row>
    <row r="3" spans="2:12" ht="20.100000000000001" customHeight="1">
      <c r="B3" s="3546" t="s">
        <v>3574</v>
      </c>
      <c r="C3" s="3547" t="s">
        <v>3575</v>
      </c>
      <c r="D3" s="3547" t="s">
        <v>3576</v>
      </c>
      <c r="E3" s="3548">
        <f>E4+E20+E22+E24+E26</f>
        <v>51410029.540000007</v>
      </c>
      <c r="F3" s="3548">
        <f>F4+F20+F22+F24+F26</f>
        <v>105538215.36000001</v>
      </c>
      <c r="G3" s="3548">
        <f>G4+G20+G22+G24+G26</f>
        <v>95140312.459999993</v>
      </c>
      <c r="H3" s="3549">
        <f>H4+H20+H22+H24+H26</f>
        <v>14007914.07</v>
      </c>
    </row>
    <row r="4" spans="2:12" ht="20.100000000000001" customHeight="1">
      <c r="B4" s="3551" t="s">
        <v>3577</v>
      </c>
      <c r="C4" s="3552" t="s">
        <v>3578</v>
      </c>
      <c r="D4" s="3553" t="s">
        <v>3579</v>
      </c>
      <c r="E4" s="3554">
        <v>28050920.850000001</v>
      </c>
      <c r="F4" s="3554">
        <v>64111039.009999998</v>
      </c>
      <c r="G4" s="3554">
        <v>58986244.729999997</v>
      </c>
      <c r="H4" s="3555">
        <v>9107438.1699999999</v>
      </c>
    </row>
    <row r="5" spans="2:12" ht="20.100000000000001" customHeight="1" thickBot="1">
      <c r="B5" s="3556"/>
      <c r="C5" s="3557"/>
      <c r="D5" s="3558" t="s">
        <v>3580</v>
      </c>
      <c r="E5" s="3558">
        <f>E4/E3</f>
        <v>0.54563129220096529</v>
      </c>
      <c r="F5" s="3558">
        <f>F4/F3</f>
        <v>0.60746753004408571</v>
      </c>
      <c r="G5" s="3558">
        <f>G4/G3</f>
        <v>0.61999212746751997</v>
      </c>
      <c r="H5" s="3559">
        <f>H4/H3</f>
        <v>0.65016376631727868</v>
      </c>
    </row>
    <row r="6" spans="2:12" ht="20.100000000000001" customHeight="1">
      <c r="B6" s="3541" t="s">
        <v>3581</v>
      </c>
      <c r="C6" s="3560" t="s">
        <v>3582</v>
      </c>
      <c r="D6" s="3561" t="s">
        <v>3579</v>
      </c>
      <c r="E6" s="3562">
        <v>5325365.7300000004</v>
      </c>
      <c r="F6" s="3562">
        <v>8049753.4299999997</v>
      </c>
      <c r="G6" s="3562">
        <v>6420111.1399999997</v>
      </c>
      <c r="H6" s="3563">
        <v>993384.36</v>
      </c>
    </row>
    <row r="7" spans="2:12" ht="20.100000000000001" customHeight="1">
      <c r="B7" s="3551"/>
      <c r="C7" s="3552"/>
      <c r="D7" s="3564" t="s">
        <v>3580</v>
      </c>
      <c r="E7" s="3564">
        <f>E6/E3</f>
        <v>0.10358612468519503</v>
      </c>
      <c r="F7" s="3564">
        <f>F6/F3</f>
        <v>7.627335181423707E-2</v>
      </c>
      <c r="G7" s="3564">
        <f>G6/G3</f>
        <v>6.7480450442069115E-2</v>
      </c>
      <c r="H7" s="3565">
        <f>H6/H3</f>
        <v>7.0915937593269376E-2</v>
      </c>
    </row>
    <row r="8" spans="2:12" ht="20.100000000000001" customHeight="1">
      <c r="B8" s="3551"/>
      <c r="C8" s="3552" t="s">
        <v>3583</v>
      </c>
      <c r="D8" s="3553" t="s">
        <v>3579</v>
      </c>
      <c r="E8" s="3554">
        <v>3848522.86</v>
      </c>
      <c r="F8" s="3554">
        <v>8457307.1600000001</v>
      </c>
      <c r="G8" s="3554">
        <v>8444901.9399999995</v>
      </c>
      <c r="H8" s="3555">
        <v>1020586.01</v>
      </c>
    </row>
    <row r="9" spans="2:12" ht="20.100000000000001" customHeight="1">
      <c r="B9" s="3551"/>
      <c r="C9" s="3552"/>
      <c r="D9" s="3564" t="s">
        <v>3580</v>
      </c>
      <c r="E9" s="3564">
        <f>E8/E3</f>
        <v>7.4859378499396195E-2</v>
      </c>
      <c r="F9" s="3564">
        <f>F8/F3</f>
        <v>8.0135021528944667E-2</v>
      </c>
      <c r="G9" s="3564">
        <f>G8/G3</f>
        <v>8.8762604637760714E-2</v>
      </c>
      <c r="H9" s="3565">
        <f>H8/H3</f>
        <v>7.2857814868077644E-2</v>
      </c>
    </row>
    <row r="10" spans="2:12" ht="20.100000000000001" customHeight="1">
      <c r="B10" s="3551"/>
      <c r="C10" s="3552" t="s">
        <v>3552</v>
      </c>
      <c r="D10" s="3553" t="s">
        <v>3579</v>
      </c>
      <c r="E10" s="3554">
        <v>634274.56999999995</v>
      </c>
      <c r="F10" s="3554">
        <v>753845.63</v>
      </c>
      <c r="G10" s="3554">
        <v>312811.55</v>
      </c>
      <c r="H10" s="3555">
        <v>24253.360000000001</v>
      </c>
    </row>
    <row r="11" spans="2:12" ht="20.100000000000001" customHeight="1">
      <c r="B11" s="3551"/>
      <c r="C11" s="3552"/>
      <c r="D11" s="3564" t="s">
        <v>3580</v>
      </c>
      <c r="E11" s="3564">
        <f>E10/E3</f>
        <v>1.2337564784056334E-2</v>
      </c>
      <c r="F11" s="3564">
        <f>F10/F3</f>
        <v>7.1428688407186641E-3</v>
      </c>
      <c r="G11" s="3564">
        <f>G10/G3</f>
        <v>3.2878970219013723E-3</v>
      </c>
      <c r="H11" s="3565">
        <f>H10/H3</f>
        <v>1.7314041104765287E-3</v>
      </c>
      <c r="L11" s="3566"/>
    </row>
    <row r="12" spans="2:12" ht="20.100000000000001" customHeight="1">
      <c r="B12" s="3551"/>
      <c r="C12" s="3552" t="s">
        <v>3584</v>
      </c>
      <c r="D12" s="3553" t="s">
        <v>3579</v>
      </c>
      <c r="E12" s="3554">
        <v>217348.11</v>
      </c>
      <c r="F12" s="3554">
        <v>196252.02</v>
      </c>
      <c r="G12" s="3554">
        <v>155914.34</v>
      </c>
      <c r="H12" s="3555">
        <v>33778.35</v>
      </c>
    </row>
    <row r="13" spans="2:12" ht="20.100000000000001" customHeight="1">
      <c r="B13" s="3551"/>
      <c r="C13" s="3552"/>
      <c r="D13" s="3564" t="s">
        <v>3580</v>
      </c>
      <c r="E13" s="3564">
        <f>E12/E3</f>
        <v>4.2277375046223314E-3</v>
      </c>
      <c r="F13" s="3564">
        <f>F12/F3</f>
        <v>1.8595351392911783E-3</v>
      </c>
      <c r="G13" s="3564">
        <f>G12/G3</f>
        <v>1.6387831400653779E-3</v>
      </c>
      <c r="H13" s="3565">
        <f>H12/H3</f>
        <v>2.4113761571639908E-3</v>
      </c>
      <c r="L13" s="3566"/>
    </row>
    <row r="14" spans="2:12" ht="20.100000000000001" customHeight="1">
      <c r="B14" s="3551"/>
      <c r="C14" s="3552" t="s">
        <v>3585</v>
      </c>
      <c r="D14" s="3553" t="s">
        <v>3579</v>
      </c>
      <c r="E14" s="3554">
        <v>813407.57</v>
      </c>
      <c r="F14" s="3554">
        <v>168361.88</v>
      </c>
      <c r="G14" s="3554">
        <v>287561.03999999998</v>
      </c>
      <c r="H14" s="3555">
        <v>30075.47</v>
      </c>
    </row>
    <row r="15" spans="2:12" ht="20.100000000000001" customHeight="1">
      <c r="B15" s="3551"/>
      <c r="C15" s="3552"/>
      <c r="D15" s="3564" t="s">
        <v>3580</v>
      </c>
      <c r="E15" s="3564">
        <f>E14/E3</f>
        <v>1.5821962704128022E-2</v>
      </c>
      <c r="F15" s="3564">
        <f>F14/F3</f>
        <v>1.5952693479390665E-3</v>
      </c>
      <c r="G15" s="3564">
        <f>G14/G3</f>
        <v>3.022494172708333E-3</v>
      </c>
      <c r="H15" s="3565">
        <f>H14/H3</f>
        <v>2.1470341586697071E-3</v>
      </c>
      <c r="L15" s="3566"/>
    </row>
    <row r="16" spans="2:12" ht="20.100000000000001" customHeight="1">
      <c r="B16" s="3551"/>
      <c r="C16" s="3552" t="s">
        <v>3586</v>
      </c>
      <c r="D16" s="3553" t="s">
        <v>3579</v>
      </c>
      <c r="E16" s="3554">
        <v>3251499.11</v>
      </c>
      <c r="F16" s="3554">
        <v>1281949.32</v>
      </c>
      <c r="G16" s="3554">
        <v>1156263.05</v>
      </c>
      <c r="H16" s="3555">
        <v>0</v>
      </c>
    </row>
    <row r="17" spans="2:15" ht="20.100000000000001" customHeight="1">
      <c r="B17" s="3551"/>
      <c r="C17" s="3552"/>
      <c r="D17" s="3564" t="s">
        <v>3580</v>
      </c>
      <c r="E17" s="3564">
        <f>E16/E3</f>
        <v>6.3246396454025453E-2</v>
      </c>
      <c r="F17" s="3564">
        <f>F16/F3</f>
        <v>1.2146778450129743E-2</v>
      </c>
      <c r="G17" s="3564">
        <f>G16/G3</f>
        <v>1.2153239989474806E-2</v>
      </c>
      <c r="H17" s="3565">
        <f>H16/H3</f>
        <v>0</v>
      </c>
      <c r="L17" s="3566"/>
    </row>
    <row r="18" spans="2:15" ht="20.100000000000001" customHeight="1">
      <c r="B18" s="3551"/>
      <c r="C18" s="3552" t="s">
        <v>3587</v>
      </c>
      <c r="D18" s="3553" t="s">
        <v>3579</v>
      </c>
      <c r="E18" s="3554">
        <v>12247.32</v>
      </c>
      <c r="F18" s="3554">
        <v>10886.19</v>
      </c>
      <c r="G18" s="3554">
        <v>4491.63</v>
      </c>
      <c r="H18" s="3555">
        <v>1030.2</v>
      </c>
    </row>
    <row r="19" spans="2:15" ht="20.100000000000001" customHeight="1">
      <c r="B19" s="3551"/>
      <c r="C19" s="3552"/>
      <c r="D19" s="3564" t="s">
        <v>3580</v>
      </c>
      <c r="E19" s="3564">
        <f>E18/E3</f>
        <v>2.3822822335612293E-4</v>
      </c>
      <c r="F19" s="3564">
        <f>F18/F3</f>
        <v>1.0314927121769362E-4</v>
      </c>
      <c r="G19" s="3564">
        <f>G18/G3</f>
        <v>4.7210587014714964E-5</v>
      </c>
      <c r="H19" s="3565">
        <f>H18/H3</f>
        <v>7.3544140466018726E-5</v>
      </c>
      <c r="L19" s="3566"/>
    </row>
    <row r="20" spans="2:15" ht="20.100000000000001" customHeight="1">
      <c r="B20" s="3551"/>
      <c r="C20" s="3552" t="s">
        <v>3588</v>
      </c>
      <c r="D20" s="3553" t="s">
        <v>3579</v>
      </c>
      <c r="E20" s="3554">
        <f>E6+E8+E10+E12+E14+E16+E18</f>
        <v>14102665.27</v>
      </c>
      <c r="F20" s="3554">
        <f>F6+F8+F10+F12+F14+F16+F18</f>
        <v>18918355.629999999</v>
      </c>
      <c r="G20" s="3554">
        <f t="shared" ref="G20:H20" si="0">G6+G8+G10+G12+G14+G16+G18</f>
        <v>16782054.689999998</v>
      </c>
      <c r="H20" s="3555">
        <f t="shared" si="0"/>
        <v>2103107.7500000005</v>
      </c>
    </row>
    <row r="21" spans="2:15" ht="20.100000000000001" customHeight="1" thickBot="1">
      <c r="B21" s="3556"/>
      <c r="C21" s="3557"/>
      <c r="D21" s="3558" t="s">
        <v>3580</v>
      </c>
      <c r="E21" s="3558">
        <f>E20/E3</f>
        <v>0.27431739285477946</v>
      </c>
      <c r="F21" s="3558">
        <f>F20/F3</f>
        <v>0.17925597439247809</v>
      </c>
      <c r="G21" s="3558">
        <f>G20/G3</f>
        <v>0.17639267999099442</v>
      </c>
      <c r="H21" s="3559">
        <f>H20/H3</f>
        <v>0.1501371110281233</v>
      </c>
      <c r="O21" s="3567"/>
    </row>
    <row r="22" spans="2:15" ht="20.100000000000001" customHeight="1">
      <c r="B22" s="3551" t="s">
        <v>3589</v>
      </c>
      <c r="C22" s="3568" t="s">
        <v>3564</v>
      </c>
      <c r="D22" s="3553" t="s">
        <v>3579</v>
      </c>
      <c r="E22" s="3554">
        <v>1736398.74</v>
      </c>
      <c r="F22" s="3554">
        <v>1760102.2</v>
      </c>
      <c r="G22" s="3554">
        <v>1285385.94</v>
      </c>
      <c r="H22" s="3555">
        <v>140267.09</v>
      </c>
      <c r="O22" s="3567"/>
    </row>
    <row r="23" spans="2:15" ht="20.100000000000001" customHeight="1" thickBot="1">
      <c r="B23" s="3556"/>
      <c r="C23" s="3569"/>
      <c r="D23" s="3558" t="s">
        <v>3580</v>
      </c>
      <c r="E23" s="3558">
        <f>E22/E3</f>
        <v>3.3775486136396408E-2</v>
      </c>
      <c r="F23" s="3558">
        <f>F22/F3</f>
        <v>1.6677392108594393E-2</v>
      </c>
      <c r="G23" s="3558">
        <f>G22/G3</f>
        <v>1.351042378109087E-2</v>
      </c>
      <c r="H23" s="3559">
        <f>H22/H3</f>
        <v>1.0013417365287993E-2</v>
      </c>
      <c r="O23" s="3567"/>
    </row>
    <row r="24" spans="2:15" ht="20.100000000000001" customHeight="1">
      <c r="B24" s="3541" t="s">
        <v>3590</v>
      </c>
      <c r="C24" s="3560" t="s">
        <v>3533</v>
      </c>
      <c r="D24" s="3561" t="s">
        <v>3579</v>
      </c>
      <c r="E24" s="3562">
        <v>6229037.7999999998</v>
      </c>
      <c r="F24" s="3562">
        <v>17112566.399999999</v>
      </c>
      <c r="G24" s="3562">
        <v>17186236.48</v>
      </c>
      <c r="H24" s="3563">
        <v>2424128.9300000002</v>
      </c>
    </row>
    <row r="25" spans="2:15" ht="20.100000000000001" customHeight="1" thickBot="1">
      <c r="B25" s="3556"/>
      <c r="C25" s="3557"/>
      <c r="D25" s="3558" t="s">
        <v>3580</v>
      </c>
      <c r="E25" s="3558">
        <f>E24/E3</f>
        <v>0.12116386346663047</v>
      </c>
      <c r="F25" s="3558">
        <f>F24/F3</f>
        <v>0.1621456866749883</v>
      </c>
      <c r="G25" s="3558">
        <f>G24/G3</f>
        <v>0.18064095056683402</v>
      </c>
      <c r="H25" s="3559">
        <f>H24/H3</f>
        <v>0.17305424047336407</v>
      </c>
    </row>
    <row r="26" spans="2:15" ht="20.100000000000001" customHeight="1">
      <c r="B26" s="3551" t="s">
        <v>3591</v>
      </c>
      <c r="C26" s="3552" t="s">
        <v>3592</v>
      </c>
      <c r="D26" s="3553" t="s">
        <v>3579</v>
      </c>
      <c r="E26" s="3554">
        <v>1291006.8799999999</v>
      </c>
      <c r="F26" s="3554">
        <v>3636152.12</v>
      </c>
      <c r="G26" s="3554">
        <v>900390.62</v>
      </c>
      <c r="H26" s="3555">
        <v>232972.13</v>
      </c>
    </row>
    <row r="27" spans="2:15" ht="20.100000000000001" customHeight="1" thickBot="1">
      <c r="B27" s="3556"/>
      <c r="C27" s="3557"/>
      <c r="D27" s="3558" t="s">
        <v>3580</v>
      </c>
      <c r="E27" s="3558">
        <f>E26/E3</f>
        <v>2.5111965341228233E-2</v>
      </c>
      <c r="F27" s="3558">
        <f>F26/F3</f>
        <v>3.4453416779853342E-2</v>
      </c>
      <c r="G27" s="3558">
        <f>G26/G3</f>
        <v>9.4638181935607236E-3</v>
      </c>
      <c r="H27" s="3559">
        <f>H26/H3</f>
        <v>1.6631464815946004E-2</v>
      </c>
    </row>
    <row r="28" spans="2:15" ht="20.100000000000001" customHeight="1">
      <c r="B28" s="3570" t="s">
        <v>3593</v>
      </c>
      <c r="C28" s="3571"/>
      <c r="D28" s="3572" t="s">
        <v>3579</v>
      </c>
      <c r="E28" s="3573">
        <v>30642865.43</v>
      </c>
      <c r="F28" s="3573">
        <v>44115726.100000001</v>
      </c>
      <c r="G28" s="3573">
        <v>42988956.109999999</v>
      </c>
      <c r="H28" s="3574">
        <v>6777874.4800000004</v>
      </c>
    </row>
    <row r="29" spans="2:15" ht="20.100000000000001" customHeight="1">
      <c r="B29" s="3551"/>
      <c r="C29" s="3575"/>
      <c r="D29" s="3564" t="s">
        <v>3594</v>
      </c>
      <c r="E29" s="3564">
        <f>E28/E3</f>
        <v>0.59604839180568958</v>
      </c>
      <c r="F29" s="3564">
        <f>F28/F3</f>
        <v>0.41800712613452323</v>
      </c>
      <c r="G29" s="3564">
        <f>G28/G3</f>
        <v>0.45184796011757816</v>
      </c>
      <c r="H29" s="3565">
        <f>H28/H3</f>
        <v>0.48386036965459484</v>
      </c>
    </row>
    <row r="30" spans="2:15" ht="20.100000000000001" customHeight="1">
      <c r="B30" s="3551" t="s">
        <v>3595</v>
      </c>
      <c r="C30" s="3575"/>
      <c r="D30" s="3553" t="s">
        <v>3579</v>
      </c>
      <c r="E30" s="3554">
        <v>3330255.73</v>
      </c>
      <c r="F30" s="3554">
        <v>5027450.76</v>
      </c>
      <c r="G30" s="3554">
        <v>5102078.75</v>
      </c>
      <c r="H30" s="3555">
        <v>889993.71</v>
      </c>
    </row>
    <row r="31" spans="2:15" ht="20.100000000000001" customHeight="1">
      <c r="B31" s="3551"/>
      <c r="C31" s="3575"/>
      <c r="D31" s="3564" t="s">
        <v>3594</v>
      </c>
      <c r="E31" s="3564">
        <f>E30/E3</f>
        <v>6.4778327493643359E-2</v>
      </c>
      <c r="F31" s="3564">
        <f>F30/F3</f>
        <v>4.7636306364011644E-2</v>
      </c>
      <c r="G31" s="3564">
        <f>G30/G3</f>
        <v>5.3626886627527903E-2</v>
      </c>
      <c r="H31" s="3565">
        <f>H30/H3</f>
        <v>6.3535063504283756E-2</v>
      </c>
    </row>
    <row r="32" spans="2:15" ht="20.100000000000001" customHeight="1">
      <c r="B32" s="3551" t="s">
        <v>3596</v>
      </c>
      <c r="C32" s="3575"/>
      <c r="D32" s="3553" t="s">
        <v>3579</v>
      </c>
      <c r="E32" s="3554">
        <v>19205280.050000001</v>
      </c>
      <c r="F32" s="3554">
        <v>22466040.109999999</v>
      </c>
      <c r="G32" s="3554">
        <v>23018507.760000002</v>
      </c>
      <c r="H32" s="3555">
        <v>3837151.84</v>
      </c>
    </row>
    <row r="33" spans="2:8" ht="20.100000000000001" customHeight="1" thickBot="1">
      <c r="B33" s="3556"/>
      <c r="C33" s="3576"/>
      <c r="D33" s="3558" t="s">
        <v>3594</v>
      </c>
      <c r="E33" s="3558">
        <f>E32/E3</f>
        <v>0.37357068692320378</v>
      </c>
      <c r="F33" s="3558">
        <f>F32/F3</f>
        <v>0.21287113898379262</v>
      </c>
      <c r="G33" s="3558">
        <f>G32/G3</f>
        <v>0.24194273872789426</v>
      </c>
      <c r="H33" s="3559">
        <f>H32/H3</f>
        <v>0.27392742565560296</v>
      </c>
    </row>
    <row r="34" spans="2:8">
      <c r="B34" s="3577" t="s">
        <v>3567</v>
      </c>
      <c r="C34" s="3577"/>
      <c r="D34" s="3577"/>
      <c r="E34" s="3577"/>
      <c r="F34" s="3577"/>
      <c r="G34" s="3577"/>
      <c r="H34" s="3577"/>
    </row>
    <row r="35" spans="2:8">
      <c r="E35" s="3578"/>
      <c r="F35" s="3578"/>
      <c r="G35" s="3578"/>
      <c r="H35" s="3578"/>
    </row>
    <row r="36" spans="2:8">
      <c r="E36" s="3579"/>
      <c r="F36" s="3579"/>
      <c r="G36" s="3579"/>
      <c r="H36" s="3579"/>
    </row>
  </sheetData>
  <mergeCells count="23">
    <mergeCell ref="B26:B27"/>
    <mergeCell ref="C26:C27"/>
    <mergeCell ref="B28:C29"/>
    <mergeCell ref="B30:C31"/>
    <mergeCell ref="B32:C33"/>
    <mergeCell ref="B34:H34"/>
    <mergeCell ref="C16:C17"/>
    <mergeCell ref="C18:C19"/>
    <mergeCell ref="C20:C21"/>
    <mergeCell ref="B22:B23"/>
    <mergeCell ref="C22:C23"/>
    <mergeCell ref="B24:B25"/>
    <mergeCell ref="C24:C25"/>
    <mergeCell ref="B1:H1"/>
    <mergeCell ref="B2:D2"/>
    <mergeCell ref="B4:B5"/>
    <mergeCell ref="C4:C5"/>
    <mergeCell ref="B6:B21"/>
    <mergeCell ref="C6:C7"/>
    <mergeCell ref="C8:C9"/>
    <mergeCell ref="C10:C11"/>
    <mergeCell ref="C12:C13"/>
    <mergeCell ref="C14:C15"/>
  </mergeCells>
  <phoneticPr fontId="134" type="noConversion"/>
  <printOptions horizontalCentered="1"/>
  <pageMargins left="0.23622047244094499" right="0.23622047244094499" top="0.74803149606299202" bottom="0.74803149606299202" header="0.31496062992126" footer="0.31496062992126"/>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124259</v>
      </c>
    </row>
    <row r="6" spans="1:5" ht="15.75">
      <c r="B6" s="3156"/>
      <c r="C6" s="1392" t="s">
        <v>911</v>
      </c>
      <c r="D6" s="797" t="str">
        <f ca="1">NUMBERSTRING(INT(D5*10000),2)&amp;"元整"</f>
        <v>壹拾贰亿肆仟贰佰伍拾玖万元整</v>
      </c>
    </row>
    <row r="7" spans="1:5" ht="15.75">
      <c r="B7" s="3161"/>
      <c r="C7" s="1393" t="s">
        <v>912</v>
      </c>
      <c r="D7" s="798">
        <f ca="1">结果表!H102</f>
        <v>25800</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124259</v>
      </c>
    </row>
    <row r="14" spans="1:5" ht="15.75">
      <c r="B14" s="3156"/>
      <c r="C14" s="1392" t="s">
        <v>911</v>
      </c>
      <c r="D14" s="797" t="str">
        <f ca="1">NUMBERSTRING(INT(D13*10000),2)&amp;"元整"</f>
        <v>壹拾贰亿肆仟贰佰伍拾玖万元整</v>
      </c>
    </row>
    <row r="15" spans="1:5" ht="15">
      <c r="B15" s="3161"/>
      <c r="C15" s="1393" t="s">
        <v>921</v>
      </c>
      <c r="D15" s="806">
        <f ca="1">结果表!H108</f>
        <v>25800</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16FCA-EC1F-4E62-979E-246C1E5B80AE}">
  <dimension ref="A1:R13"/>
  <sheetViews>
    <sheetView workbookViewId="0">
      <selection activeCell="A9" sqref="A9:XFD9"/>
    </sheetView>
  </sheetViews>
  <sheetFormatPr defaultRowHeight="14.25"/>
  <cols>
    <col min="1" max="1" width="28.625" style="3581" customWidth="1"/>
    <col min="2" max="2" width="7" style="3581" customWidth="1"/>
    <col min="3" max="3" width="20" style="3581" customWidth="1"/>
    <col min="4" max="4" width="11.125" style="3581" customWidth="1"/>
    <col min="5" max="5" width="11.75" style="3581" customWidth="1"/>
    <col min="6" max="6" width="13.25" style="3581" customWidth="1"/>
    <col min="7" max="7" width="20" style="3581" customWidth="1"/>
    <col min="8" max="8" width="12.125" style="3581" customWidth="1"/>
    <col min="9" max="9" width="11.375" style="3581" customWidth="1"/>
    <col min="10" max="10" width="7.25" style="3581" customWidth="1"/>
    <col min="11" max="11" width="10.5" style="3581" customWidth="1"/>
    <col min="12" max="12" width="7.75" style="3581" customWidth="1"/>
    <col min="13" max="13" width="20" style="3581" customWidth="1"/>
    <col min="14" max="14" width="11.375" style="3581" customWidth="1"/>
    <col min="15" max="15" width="10.875" style="3581" customWidth="1"/>
    <col min="16" max="16" width="10.25" style="3581" customWidth="1"/>
    <col min="17" max="17" width="9.5" style="3581" customWidth="1"/>
    <col min="18" max="18" width="8.125" style="3581" customWidth="1"/>
    <col min="19" max="19" width="20" style="3581" customWidth="1"/>
    <col min="20" max="16384" width="9" style="3581"/>
  </cols>
  <sheetData>
    <row r="1" spans="1:18">
      <c r="A1" s="3581" t="s">
        <v>3601</v>
      </c>
      <c r="B1" s="3581" t="s">
        <v>3602</v>
      </c>
      <c r="C1" s="3581" t="s">
        <v>3603</v>
      </c>
      <c r="D1" s="3581" t="s">
        <v>3604</v>
      </c>
      <c r="E1" s="3581" t="s">
        <v>3605</v>
      </c>
      <c r="F1" s="3581" t="s">
        <v>3606</v>
      </c>
      <c r="G1" s="3581" t="s">
        <v>3607</v>
      </c>
      <c r="H1" s="3581" t="s">
        <v>3608</v>
      </c>
      <c r="I1" s="3581" t="s">
        <v>3609</v>
      </c>
      <c r="J1" s="3581" t="s">
        <v>3610</v>
      </c>
      <c r="K1" s="3581" t="s">
        <v>3611</v>
      </c>
      <c r="L1" s="3581" t="s">
        <v>3612</v>
      </c>
      <c r="M1" s="3581" t="s">
        <v>3613</v>
      </c>
      <c r="N1" s="3581" t="s">
        <v>3614</v>
      </c>
      <c r="O1" s="3581" t="s">
        <v>3615</v>
      </c>
      <c r="P1" s="3581" t="s">
        <v>3616</v>
      </c>
      <c r="Q1" s="3581" t="s">
        <v>3617</v>
      </c>
      <c r="R1" s="3581" t="s">
        <v>3618</v>
      </c>
    </row>
    <row r="2" spans="1:18">
      <c r="A2" s="3581" t="s">
        <v>3619</v>
      </c>
      <c r="B2" s="3581" t="s">
        <v>3478</v>
      </c>
      <c r="C2" s="3581" t="s">
        <v>3620</v>
      </c>
      <c r="D2" s="3581">
        <v>31330.48</v>
      </c>
      <c r="E2" s="3581">
        <v>122233</v>
      </c>
      <c r="F2" s="3581" t="s">
        <v>3621</v>
      </c>
      <c r="G2" s="3581" t="s">
        <v>3622</v>
      </c>
      <c r="H2" s="3581" t="s">
        <v>3623</v>
      </c>
      <c r="I2" s="3581" t="s">
        <v>3624</v>
      </c>
      <c r="J2" s="3581" t="s">
        <v>3625</v>
      </c>
      <c r="K2" s="3581" t="s">
        <v>3626</v>
      </c>
      <c r="L2" s="3581" t="s">
        <v>3627</v>
      </c>
      <c r="M2" s="3581" t="s">
        <v>3628</v>
      </c>
      <c r="N2" s="3581">
        <v>163410</v>
      </c>
      <c r="O2" s="3581">
        <v>163410</v>
      </c>
      <c r="P2" s="3581">
        <v>3477.13</v>
      </c>
      <c r="Q2" s="3581">
        <v>13369</v>
      </c>
      <c r="R2" s="3581">
        <v>0</v>
      </c>
    </row>
    <row r="3" spans="1:18">
      <c r="A3" s="3581" t="s">
        <v>3629</v>
      </c>
      <c r="B3" s="3581" t="s">
        <v>3478</v>
      </c>
      <c r="C3" s="3581" t="s">
        <v>3630</v>
      </c>
      <c r="D3" s="3581">
        <v>4239.42</v>
      </c>
      <c r="E3" s="3581">
        <v>16957.66</v>
      </c>
      <c r="F3" s="3581" t="s">
        <v>3621</v>
      </c>
      <c r="G3" s="3581" t="s">
        <v>3622</v>
      </c>
      <c r="H3" s="3581" t="s">
        <v>3623</v>
      </c>
      <c r="I3" s="3581" t="s">
        <v>3631</v>
      </c>
      <c r="J3" s="3581" t="s">
        <v>3625</v>
      </c>
      <c r="K3" s="3581" t="s">
        <v>3626</v>
      </c>
      <c r="L3" s="3581" t="s">
        <v>3627</v>
      </c>
      <c r="M3" s="3581" t="s">
        <v>3632</v>
      </c>
      <c r="N3" s="3581">
        <v>22680</v>
      </c>
      <c r="O3" s="3581">
        <v>22680</v>
      </c>
      <c r="P3" s="3581">
        <v>3566.53</v>
      </c>
      <c r="Q3" s="3581">
        <v>13374</v>
      </c>
      <c r="R3" s="3581">
        <v>0</v>
      </c>
    </row>
    <row r="4" spans="1:18">
      <c r="A4" s="3581" t="s">
        <v>3633</v>
      </c>
      <c r="B4" s="3581" t="s">
        <v>3478</v>
      </c>
      <c r="C4" s="3581" t="s">
        <v>3634</v>
      </c>
      <c r="D4" s="3581">
        <v>5369.21</v>
      </c>
      <c r="E4" s="3581">
        <v>12886.11</v>
      </c>
      <c r="F4" s="3581" t="s">
        <v>3621</v>
      </c>
      <c r="G4" s="3581" t="s">
        <v>3622</v>
      </c>
      <c r="H4" s="3581" t="s">
        <v>3623</v>
      </c>
      <c r="I4" s="3581" t="s">
        <v>3635</v>
      </c>
      <c r="J4" s="3581" t="s">
        <v>3625</v>
      </c>
      <c r="K4" s="3581" t="s">
        <v>3636</v>
      </c>
      <c r="L4" s="3581" t="s">
        <v>3627</v>
      </c>
      <c r="M4" s="3581" t="s">
        <v>3637</v>
      </c>
      <c r="N4" s="3581">
        <v>17220</v>
      </c>
      <c r="O4" s="3581">
        <v>17220</v>
      </c>
      <c r="P4" s="3581">
        <v>2138.12</v>
      </c>
      <c r="Q4" s="3581">
        <v>13363</v>
      </c>
      <c r="R4" s="3581">
        <v>0</v>
      </c>
    </row>
    <row r="5" spans="1:18">
      <c r="A5" s="3581" t="s">
        <v>3638</v>
      </c>
      <c r="B5" s="3581" t="s">
        <v>3478</v>
      </c>
      <c r="C5" s="3581" t="s">
        <v>3639</v>
      </c>
      <c r="D5" s="3581">
        <v>13348.31</v>
      </c>
      <c r="E5" s="3581">
        <v>17352.8</v>
      </c>
      <c r="F5" s="3581" t="s">
        <v>3621</v>
      </c>
      <c r="G5" s="3581" t="s">
        <v>3640</v>
      </c>
      <c r="H5" s="3581" t="s">
        <v>3641</v>
      </c>
      <c r="I5" s="3581" t="s">
        <v>3642</v>
      </c>
      <c r="J5" s="3581" t="s">
        <v>3625</v>
      </c>
      <c r="K5" s="3581" t="s">
        <v>3643</v>
      </c>
      <c r="L5" s="3581" t="s">
        <v>3627</v>
      </c>
      <c r="M5" s="3581" t="s">
        <v>3644</v>
      </c>
      <c r="N5" s="3581">
        <v>6823.12</v>
      </c>
      <c r="O5" s="3581">
        <v>6823.12</v>
      </c>
      <c r="P5" s="3581">
        <v>340.77</v>
      </c>
      <c r="Q5" s="3581">
        <v>3932</v>
      </c>
      <c r="R5" s="3581">
        <v>0</v>
      </c>
    </row>
    <row r="6" spans="1:18">
      <c r="A6" s="3581" t="s">
        <v>3645</v>
      </c>
      <c r="B6" s="3581" t="s">
        <v>3478</v>
      </c>
      <c r="C6" s="3581" t="s">
        <v>3646</v>
      </c>
      <c r="D6" s="3581">
        <v>41129.769999999997</v>
      </c>
      <c r="E6" s="3581">
        <v>90485.49</v>
      </c>
      <c r="F6" s="3581" t="s">
        <v>3621</v>
      </c>
      <c r="G6" s="3581" t="s">
        <v>3622</v>
      </c>
      <c r="H6" s="3581" t="s">
        <v>3647</v>
      </c>
      <c r="I6" s="3581" t="s">
        <v>3648</v>
      </c>
      <c r="J6" s="3581" t="s">
        <v>3625</v>
      </c>
      <c r="K6" s="3581" t="s">
        <v>3649</v>
      </c>
      <c r="L6" s="3581" t="s">
        <v>3627</v>
      </c>
      <c r="M6" s="3581" t="s">
        <v>3650</v>
      </c>
      <c r="N6" s="3581">
        <v>80900</v>
      </c>
      <c r="O6" s="3581">
        <v>80900</v>
      </c>
      <c r="P6" s="3581">
        <v>1311.3</v>
      </c>
      <c r="Q6" s="3581">
        <v>8941</v>
      </c>
      <c r="R6" s="3581">
        <v>0</v>
      </c>
    </row>
    <row r="7" spans="1:18">
      <c r="A7" s="3581" t="s">
        <v>3651</v>
      </c>
      <c r="B7" s="3581" t="s">
        <v>3478</v>
      </c>
      <c r="C7" s="3581" t="s">
        <v>3652</v>
      </c>
      <c r="D7" s="3581">
        <v>19810.400000000001</v>
      </c>
      <c r="E7" s="3581">
        <v>700</v>
      </c>
      <c r="F7" s="3581" t="s">
        <v>3621</v>
      </c>
      <c r="G7" s="3581" t="s">
        <v>3653</v>
      </c>
      <c r="H7" s="3581" t="s">
        <v>3647</v>
      </c>
      <c r="I7" s="3581" t="s">
        <v>3654</v>
      </c>
      <c r="J7" s="3581" t="s">
        <v>3625</v>
      </c>
      <c r="K7" s="3581" t="s">
        <v>3655</v>
      </c>
      <c r="L7" s="3581" t="s">
        <v>3627</v>
      </c>
      <c r="M7" s="3581" t="s">
        <v>3656</v>
      </c>
      <c r="N7" s="3581">
        <v>6600</v>
      </c>
      <c r="O7" s="3581">
        <v>6600</v>
      </c>
      <c r="P7" s="3581">
        <v>222.11</v>
      </c>
      <c r="Q7" s="3581">
        <v>94286</v>
      </c>
      <c r="R7" s="3581">
        <v>0</v>
      </c>
    </row>
    <row r="8" spans="1:18">
      <c r="A8" s="3581" t="s">
        <v>3657</v>
      </c>
      <c r="B8" s="3581" t="s">
        <v>3478</v>
      </c>
      <c r="C8" s="3581" t="s">
        <v>3658</v>
      </c>
      <c r="D8" s="3581">
        <v>9632.01</v>
      </c>
      <c r="E8" s="3581">
        <v>15025.93</v>
      </c>
      <c r="F8" s="3581" t="s">
        <v>3621</v>
      </c>
      <c r="G8" s="3581" t="s">
        <v>3622</v>
      </c>
      <c r="H8" s="3581" t="s">
        <v>3659</v>
      </c>
      <c r="I8" s="3581" t="s">
        <v>3660</v>
      </c>
      <c r="J8" s="3581" t="s">
        <v>3625</v>
      </c>
      <c r="K8" s="3581" t="s">
        <v>3661</v>
      </c>
      <c r="L8" s="3581" t="s">
        <v>3627</v>
      </c>
      <c r="M8" s="3581" t="s">
        <v>3662</v>
      </c>
      <c r="N8" s="3581">
        <v>13700</v>
      </c>
      <c r="O8" s="3581">
        <v>13700</v>
      </c>
      <c r="P8" s="3581">
        <v>948.23</v>
      </c>
      <c r="Q8" s="3581">
        <v>9118</v>
      </c>
      <c r="R8" s="3581">
        <v>0</v>
      </c>
    </row>
    <row r="9" spans="1:18">
      <c r="A9" s="3581" t="s">
        <v>3663</v>
      </c>
      <c r="B9" s="3581" t="s">
        <v>3478</v>
      </c>
      <c r="C9" s="3581" t="s">
        <v>3664</v>
      </c>
      <c r="D9" s="3581">
        <v>15459.22</v>
      </c>
      <c r="E9" s="3581">
        <v>52599.12</v>
      </c>
      <c r="F9" s="3581" t="s">
        <v>3621</v>
      </c>
      <c r="G9" s="3581" t="s">
        <v>3665</v>
      </c>
      <c r="H9" s="3581" t="s">
        <v>3666</v>
      </c>
      <c r="I9" s="3581" t="s">
        <v>3667</v>
      </c>
      <c r="J9" s="3581" t="s">
        <v>3625</v>
      </c>
      <c r="K9" s="3581" t="s">
        <v>3668</v>
      </c>
      <c r="L9" s="3581" t="s">
        <v>3627</v>
      </c>
      <c r="M9" s="3581" t="s">
        <v>3662</v>
      </c>
      <c r="N9" s="3581">
        <v>53100</v>
      </c>
      <c r="O9" s="3581">
        <v>53100</v>
      </c>
      <c r="P9" s="3581">
        <v>2289.9</v>
      </c>
      <c r="Q9" s="3581">
        <v>10095</v>
      </c>
      <c r="R9" s="3581">
        <v>0</v>
      </c>
    </row>
    <row r="10" spans="1:18" s="3582" customFormat="1">
      <c r="A10" s="3582" t="s">
        <v>3669</v>
      </c>
      <c r="B10" s="3582" t="s">
        <v>3478</v>
      </c>
      <c r="C10" s="3582" t="s">
        <v>3670</v>
      </c>
      <c r="D10" s="3582">
        <v>5500.65</v>
      </c>
      <c r="E10" s="3582">
        <v>15401.81</v>
      </c>
      <c r="F10" s="3582" t="s">
        <v>3621</v>
      </c>
      <c r="G10" s="3582" t="s">
        <v>3671</v>
      </c>
      <c r="H10" s="3582" t="s">
        <v>3672</v>
      </c>
      <c r="I10" s="3582" t="s">
        <v>3673</v>
      </c>
      <c r="J10" s="3582" t="s">
        <v>3625</v>
      </c>
      <c r="K10" s="3582" t="s">
        <v>3674</v>
      </c>
      <c r="L10" s="3582" t="s">
        <v>3627</v>
      </c>
      <c r="M10" s="3582" t="s">
        <v>3675</v>
      </c>
      <c r="N10" s="3582">
        <v>17000</v>
      </c>
      <c r="O10" s="3582">
        <v>17000</v>
      </c>
      <c r="P10" s="3582">
        <v>2060.36</v>
      </c>
      <c r="Q10" s="3582">
        <v>11038</v>
      </c>
      <c r="R10" s="3582">
        <v>0</v>
      </c>
    </row>
    <row r="11" spans="1:18">
      <c r="A11" s="3581" t="s">
        <v>3676</v>
      </c>
      <c r="B11" s="3581" t="s">
        <v>3478</v>
      </c>
      <c r="C11" s="3581" t="s">
        <v>3677</v>
      </c>
      <c r="D11" s="3581">
        <v>10000</v>
      </c>
      <c r="E11" s="3581">
        <v>22000</v>
      </c>
      <c r="F11" s="3581" t="s">
        <v>3621</v>
      </c>
      <c r="G11" s="3581" t="s">
        <v>3622</v>
      </c>
      <c r="H11" s="3581" t="s">
        <v>3678</v>
      </c>
      <c r="I11" s="3581" t="s">
        <v>3679</v>
      </c>
      <c r="J11" s="3581" t="s">
        <v>3625</v>
      </c>
      <c r="K11" s="3581" t="s">
        <v>3680</v>
      </c>
      <c r="L11" s="3581" t="s">
        <v>3627</v>
      </c>
      <c r="M11" s="3581" t="s">
        <v>3681</v>
      </c>
      <c r="N11" s="3581">
        <v>36400</v>
      </c>
      <c r="O11" s="3581">
        <v>36400</v>
      </c>
      <c r="P11" s="3581">
        <v>2426.67</v>
      </c>
      <c r="Q11" s="3581">
        <v>16545</v>
      </c>
      <c r="R11" s="3581">
        <v>0</v>
      </c>
    </row>
    <row r="12" spans="1:18">
      <c r="A12" s="3581" t="s">
        <v>3682</v>
      </c>
      <c r="B12" s="3581" t="s">
        <v>3478</v>
      </c>
      <c r="C12" s="3581" t="s">
        <v>3683</v>
      </c>
      <c r="D12" s="3581">
        <v>5500</v>
      </c>
      <c r="E12" s="3581">
        <v>12100</v>
      </c>
      <c r="F12" s="3581" t="s">
        <v>3621</v>
      </c>
      <c r="G12" s="3581" t="s">
        <v>3622</v>
      </c>
      <c r="H12" s="3581" t="s">
        <v>3678</v>
      </c>
      <c r="I12" s="3581" t="s">
        <v>3679</v>
      </c>
      <c r="J12" s="3581" t="s">
        <v>3625</v>
      </c>
      <c r="K12" s="3581" t="s">
        <v>3684</v>
      </c>
      <c r="L12" s="3581" t="s">
        <v>3627</v>
      </c>
      <c r="M12" s="3581" t="s">
        <v>3685</v>
      </c>
      <c r="N12" s="3581">
        <v>20000</v>
      </c>
      <c r="O12" s="3581">
        <v>20000</v>
      </c>
      <c r="P12" s="3581">
        <v>2424.2399999999998</v>
      </c>
      <c r="Q12" s="3581">
        <v>16529</v>
      </c>
      <c r="R12" s="3581">
        <v>0</v>
      </c>
    </row>
    <row r="13" spans="1:18">
      <c r="A13" s="3581" t="s">
        <v>3686</v>
      </c>
      <c r="B13" s="3581" t="s">
        <v>3478</v>
      </c>
      <c r="C13" s="3581" t="s">
        <v>3687</v>
      </c>
      <c r="D13" s="3581">
        <v>16122.82</v>
      </c>
      <c r="E13" s="3581">
        <v>45143.91</v>
      </c>
      <c r="F13" s="3581" t="s">
        <v>3621</v>
      </c>
      <c r="G13" s="3581" t="s">
        <v>3622</v>
      </c>
      <c r="H13" s="3581" t="s">
        <v>3688</v>
      </c>
      <c r="I13" s="3581" t="s">
        <v>3673</v>
      </c>
      <c r="J13" s="3581" t="s">
        <v>3625</v>
      </c>
      <c r="K13" s="3581" t="s">
        <v>3689</v>
      </c>
      <c r="L13" s="3581" t="s">
        <v>3627</v>
      </c>
      <c r="M13" s="3581" t="s">
        <v>3690</v>
      </c>
      <c r="N13" s="3581">
        <v>76000</v>
      </c>
      <c r="O13" s="3581">
        <v>76000</v>
      </c>
      <c r="P13" s="3581">
        <v>3142.54</v>
      </c>
      <c r="Q13" s="3581">
        <v>16835</v>
      </c>
      <c r="R13" s="3581">
        <v>0</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0.90459999999999996</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0.86050000000000004</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96505</v>
      </c>
      <c r="C2" s="2" t="s">
        <v>106</v>
      </c>
      <c r="D2" s="191"/>
      <c r="E2" s="191"/>
      <c r="F2" s="191"/>
      <c r="G2" s="191"/>
    </row>
    <row r="3" spans="1:7" s="192" customFormat="1" ht="18" customHeight="1" thickBot="1">
      <c r="A3" s="195" t="s">
        <v>58</v>
      </c>
      <c r="B3" s="196">
        <f ca="1">ROUND(B2*10000/'数据-汇总表'!E3,0)</f>
        <v>20037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963</v>
      </c>
      <c r="D10" s="795">
        <f>'数据-汇总表'!E6</f>
        <v>48162.54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963</v>
      </c>
      <c r="D19" s="204">
        <f>'数据-汇总表'!E3</f>
        <v>48162.54</v>
      </c>
      <c r="E19" s="203">
        <f>'数据-取费表'!B31</f>
        <v>200</v>
      </c>
      <c r="F19" s="223"/>
      <c r="G19" s="1" t="s">
        <v>436</v>
      </c>
    </row>
    <row r="20" spans="1:7" s="206" customFormat="1" ht="13.5" customHeight="1">
      <c r="A20" s="731" t="s">
        <v>419</v>
      </c>
      <c r="B20" s="202" t="s">
        <v>77</v>
      </c>
      <c r="C20" s="224">
        <f>ROUND((C5+C19)*F20,0)</f>
        <v>647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2099</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92</v>
      </c>
      <c r="D24" s="230"/>
      <c r="E24" s="230"/>
      <c r="F24" s="231"/>
      <c r="G24" s="232" t="s">
        <v>82</v>
      </c>
    </row>
    <row r="25" spans="1:7" s="206" customFormat="1" ht="24">
      <c r="A25" s="734" t="s">
        <v>348</v>
      </c>
      <c r="B25" s="207" t="s">
        <v>420</v>
      </c>
      <c r="C25" s="1042">
        <f ca="1">ROUND(IF('数据-取费表'!B22&lt;=1,C20*F22*'数据-取费表'!B23/2,C20*(POWER((1+F22),'数据-取费表'!B23/2)-1)),0)</f>
        <v>30</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4444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4444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31633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51033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44310</v>
      </c>
      <c r="D34" s="209"/>
      <c r="E34" s="212"/>
      <c r="F34" s="249">
        <f>IF('数据-取费表'!B24=0,1,'数据-取费表'!N16)</f>
        <v>1</v>
      </c>
      <c r="G34" s="211" t="s">
        <v>89</v>
      </c>
    </row>
    <row r="35" spans="1:7" ht="13.5" customHeight="1">
      <c r="A35" s="734" t="s">
        <v>351</v>
      </c>
      <c r="B35" s="207" t="s">
        <v>33</v>
      </c>
      <c r="C35" s="212">
        <f>ROUND(C34*F35,0)</f>
        <v>4431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963</v>
      </c>
      <c r="D37" s="209">
        <f>'数据-汇总表'!E3</f>
        <v>48162.54</v>
      </c>
      <c r="E37" s="241">
        <f>'数据-取费表'!B35</f>
        <v>200</v>
      </c>
      <c r="F37" s="251"/>
      <c r="G37" s="253" t="s">
        <v>92</v>
      </c>
    </row>
    <row r="38" spans="1:7" ht="13.5" customHeight="1">
      <c r="A38" s="734" t="s">
        <v>354</v>
      </c>
      <c r="B38" s="207" t="s">
        <v>36</v>
      </c>
      <c r="C38" s="212">
        <f>ROUND(C34*F38,0)</f>
        <v>1329</v>
      </c>
      <c r="D38" s="212"/>
      <c r="E38" s="212"/>
      <c r="F38" s="251">
        <f>'数据-取费表'!B36</f>
        <v>0.03</v>
      </c>
      <c r="G38" s="211" t="s">
        <v>90</v>
      </c>
    </row>
    <row r="39" spans="1:7" s="206" customFormat="1" ht="13.5" customHeight="1">
      <c r="A39" s="731" t="s">
        <v>338</v>
      </c>
      <c r="B39" s="202" t="s">
        <v>77</v>
      </c>
      <c r="C39" s="224">
        <f>ROUND(C33*F20,0)</f>
        <v>1531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2463</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2391</v>
      </c>
      <c r="D42" s="230"/>
      <c r="E42" s="230"/>
      <c r="F42" s="231"/>
      <c r="G42" s="3336" t="s">
        <v>94</v>
      </c>
    </row>
    <row r="43" spans="1:7" ht="13.5" customHeight="1">
      <c r="A43" s="734" t="s">
        <v>347</v>
      </c>
      <c r="B43" s="207" t="s">
        <v>426</v>
      </c>
      <c r="C43" s="230">
        <f ca="1">ROUND(IF('数据-取费表'!B22&lt;=1,C39*F22*'数据-取费表'!B21/2,C39*(POWER((1+F22),'数据-取费表'!B21/2)-1)),0)</f>
        <v>72</v>
      </c>
      <c r="D43" s="230"/>
      <c r="E43" s="230"/>
      <c r="F43" s="231"/>
      <c r="G43" s="3337"/>
    </row>
    <row r="44" spans="1:7" ht="13.5" customHeight="1">
      <c r="A44" s="734" t="s">
        <v>348</v>
      </c>
      <c r="B44" s="207" t="s">
        <v>428</v>
      </c>
      <c r="C44" s="230">
        <f ca="1">ROUND(IF('数据-取费表'!B22&lt;=1,C40*F22*'数据-取费表'!B21/2,C40*(POWER((1+F22),'数据-取费表'!B21/2)-1)),4)</f>
        <v>1.4E-3</v>
      </c>
      <c r="D44" s="230"/>
      <c r="E44" s="230"/>
      <c r="F44" s="231"/>
      <c r="G44" s="3338"/>
    </row>
    <row r="45" spans="1:7" s="206" customFormat="1" ht="13.5" customHeight="1">
      <c r="A45" s="731" t="s">
        <v>341</v>
      </c>
      <c r="B45" s="236" t="s">
        <v>85</v>
      </c>
      <c r="C45" s="237">
        <f>C46</f>
        <v>10513</v>
      </c>
      <c r="D45" s="227">
        <f>C47</f>
        <v>6.0000000000000001E-3</v>
      </c>
      <c r="E45" s="228" t="s">
        <v>102</v>
      </c>
      <c r="F45" s="238"/>
      <c r="G45" s="239" t="s">
        <v>434</v>
      </c>
    </row>
    <row r="46" spans="1:7" s="206" customFormat="1" ht="13.5" customHeight="1">
      <c r="A46" s="734" t="s">
        <v>349</v>
      </c>
      <c r="B46" s="240" t="s">
        <v>427</v>
      </c>
      <c r="C46" s="241">
        <f>ROUND((C33+C39)*F27,0)</f>
        <v>10513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72080</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64872</v>
      </c>
      <c r="D51" s="224"/>
      <c r="E51" s="224"/>
      <c r="F51" s="256"/>
      <c r="G51" s="226" t="s">
        <v>37</v>
      </c>
    </row>
    <row r="52" spans="1:7" s="200" customFormat="1" ht="16.5" thickBot="1">
      <c r="A52" s="257" t="s">
        <v>38</v>
      </c>
      <c r="B52" s="258"/>
      <c r="C52" s="259">
        <f ca="1">C31+C51</f>
        <v>96505</v>
      </c>
      <c r="D52" s="258"/>
      <c r="E52" s="258"/>
      <c r="F52" s="258"/>
      <c r="G52" s="260"/>
    </row>
    <row r="55" spans="1:7" ht="15">
      <c r="B55" s="262" t="s">
        <v>39</v>
      </c>
      <c r="C55" s="263"/>
    </row>
    <row r="56" spans="1:7">
      <c r="B56" s="265" t="s">
        <v>40</v>
      </c>
      <c r="C56" s="266">
        <f ca="1">ROUND(C51/C52,3)</f>
        <v>0.67200000000000004</v>
      </c>
    </row>
    <row r="57" spans="1:7">
      <c r="B57" s="265" t="s">
        <v>41</v>
      </c>
      <c r="C57" s="267">
        <f ca="1">1-C56</f>
        <v>0.32799999999999996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45734</v>
      </c>
      <c r="B1" s="2930" t="s">
        <v>3379</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45734</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48162.54</v>
      </c>
      <c r="C4" s="801">
        <f>项目基本情况!C18</f>
        <v>0</v>
      </c>
      <c r="D4" s="801">
        <f ca="1">结果表!D118</f>
        <v>68094</v>
      </c>
      <c r="E4" s="801">
        <f ca="1">结果表!E118</f>
        <v>14138</v>
      </c>
      <c r="F4" s="801">
        <f ca="1">结果表!F118</f>
        <v>56165</v>
      </c>
      <c r="G4" s="801">
        <f ca="1">结果表!G118</f>
        <v>11662</v>
      </c>
      <c r="H4" s="801">
        <f ca="1">结果表!H118</f>
        <v>124259</v>
      </c>
      <c r="I4" s="801">
        <f ca="1">结果表!I118</f>
        <v>25800</v>
      </c>
    </row>
    <row r="5" spans="1:9" ht="30" customHeight="1">
      <c r="A5" s="3168" t="s">
        <v>927</v>
      </c>
      <c r="B5" s="3168"/>
      <c r="C5" s="3168"/>
      <c r="D5" s="3168" t="str">
        <f ca="1">结果表!D119</f>
        <v>陆亿捌仟零玖拾肆万元整</v>
      </c>
      <c r="E5" s="3168"/>
      <c r="F5" s="3168" t="str">
        <f ca="1">结果表!F119</f>
        <v>伍亿陆仟壹佰陆拾伍万元整</v>
      </c>
      <c r="G5" s="3168"/>
      <c r="H5" s="3168" t="str">
        <f ca="1">结果表!H119</f>
        <v>壹拾贰亿肆仟贰佰伍拾玖万元整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124259</v>
      </c>
      <c r="E8" s="3167"/>
      <c r="F8" s="3167"/>
      <c r="G8" s="3167"/>
      <c r="H8" s="3167"/>
      <c r="I8" s="3167"/>
    </row>
    <row r="9" spans="1:9" ht="15">
      <c r="A9" s="3168" t="s">
        <v>927</v>
      </c>
      <c r="B9" s="3168"/>
      <c r="C9" s="3168"/>
      <c r="D9" s="3168" t="str">
        <f ca="1">结果表!D123</f>
        <v>壹拾贰亿肆仟贰佰伍拾玖万元整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测绘分层面积</vt:lpstr>
      <vt:lpstr>酒店物业明细</vt:lpstr>
      <vt:lpstr>酒店营业收入及成本明细</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酒店物业明细!Print_Titles</vt:lpstr>
      <vt:lpstr>酒店营业收入及成本明细!Print_Titles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2025-03-17T05:57:01Z</dcterms:modified>
</cp:coreProperties>
</file>