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土地案例" sheetId="79"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1" i="39" l="1"/>
  <c r="J71" i="39" s="1"/>
  <c r="K71" i="39" s="1"/>
  <c r="L71" i="39" s="1"/>
  <c r="M71" i="39" s="1"/>
  <c r="I7" i="39"/>
  <c r="I46" i="39"/>
  <c r="E71" i="39"/>
  <c r="F71" i="39" s="1"/>
  <c r="G71" i="39" s="1"/>
  <c r="H71" i="39" s="1"/>
  <c r="D71" i="39"/>
  <c r="I5" i="39"/>
  <c r="G5" i="39"/>
  <c r="E5" i="39"/>
  <c r="G7" i="39"/>
  <c r="E7" i="39"/>
  <c r="G46" i="39"/>
  <c r="E46" i="39"/>
  <c r="B29" i="1"/>
  <c r="F19" i="6"/>
  <c r="I13" i="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s="1"/>
  <c r="J19" i="39"/>
  <c r="AC19" i="39"/>
  <c r="J17" i="39"/>
  <c r="J27" i="39"/>
  <c r="AC27" i="39" s="1"/>
  <c r="F27" i="39"/>
  <c r="S27" i="39" s="1"/>
  <c r="F11" i="21"/>
  <c r="S11" i="21" s="1"/>
  <c r="S40" i="21"/>
  <c r="U34" i="21"/>
  <c r="S34" i="21"/>
  <c r="C25" i="39"/>
  <c r="C27" i="39"/>
  <c r="C21" i="39"/>
  <c r="H11" i="39"/>
  <c r="U11" i="39" s="1"/>
  <c r="S40" i="39"/>
  <c r="C15" i="39"/>
  <c r="H32" i="33"/>
  <c r="AB32" i="33"/>
  <c r="H11" i="21"/>
  <c r="U11" i="2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K101" i="43"/>
  <c r="G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E10" i="6"/>
  <c r="E11" i="6"/>
  <c r="E61" i="39" s="1"/>
  <c r="BL17" i="3"/>
  <c r="AZ17" i="3"/>
  <c r="BL13" i="3"/>
  <c r="G30" i="6"/>
  <c r="G31" i="6" s="1"/>
  <c r="J56" i="9"/>
  <c r="J57" i="9" s="1"/>
  <c r="J59" i="9" s="1"/>
  <c r="J61" i="9" s="1"/>
  <c r="A24" i="51"/>
  <c r="B18" i="72"/>
  <c r="U29" i="34"/>
  <c r="E5" i="6"/>
  <c r="G102" i="43"/>
  <c r="L101" i="43"/>
  <c r="L109" i="43" s="1"/>
  <c r="D101" i="43"/>
  <c r="D109" i="43" s="1"/>
  <c r="I101" i="43"/>
  <c r="I109" i="43" s="1"/>
  <c r="G22" i="43"/>
  <c r="E32" i="6"/>
  <c r="L19" i="6" s="1"/>
  <c r="G1" i="68"/>
  <c r="K1" i="12"/>
  <c r="E28" i="6"/>
  <c r="K107" i="43"/>
  <c r="K104" i="43"/>
  <c r="G103" i="43"/>
  <c r="K106" i="43"/>
  <c r="AR10" i="1"/>
  <c r="E19" i="69"/>
  <c r="E19" i="68"/>
  <c r="E19" i="11"/>
  <c r="G22" i="69"/>
  <c r="G26"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B11" i="39"/>
  <c r="AA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s="1"/>
  <c r="J33" i="21"/>
  <c r="H33" i="21"/>
  <c r="AB33" i="21" s="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M6" i="1"/>
  <c r="O6" i="1" s="1"/>
  <c r="F30" i="11"/>
  <c r="C48" i="11" s="1"/>
  <c r="T11" i="1"/>
  <c r="D9" i="69"/>
  <c r="C9" i="69" s="1"/>
  <c r="AQ9" i="1"/>
  <c r="AR11" i="1"/>
  <c r="T9" i="1"/>
  <c r="T13" i="1"/>
  <c r="S7" i="1"/>
  <c r="AQ7" i="1" s="1"/>
  <c r="E7" i="70"/>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c r="H23" i="21"/>
  <c r="S13" i="21"/>
  <c r="D6" i="52"/>
  <c r="S6" i="43"/>
  <c r="S3" i="43"/>
  <c r="J22" i="43"/>
  <c r="K14" i="1"/>
  <c r="M14" i="1" s="1"/>
  <c r="BL5" i="3"/>
  <c r="I102" i="43"/>
  <c r="I104" i="43"/>
  <c r="I106" i="43"/>
  <c r="I107" i="43"/>
  <c r="I103" i="43"/>
  <c r="I105" i="43"/>
  <c r="D103" i="43"/>
  <c r="D105" i="43"/>
  <c r="D104" i="43"/>
  <c r="D106" i="43"/>
  <c r="D107" i="43"/>
  <c r="D102" i="43"/>
  <c r="L102" i="43"/>
  <c r="L106" i="43"/>
  <c r="L105" i="43"/>
  <c r="L107" i="43"/>
  <c r="L104" i="43"/>
  <c r="L103" i="43"/>
  <c r="AR8" i="1"/>
  <c r="AQ8" i="1"/>
  <c r="T8" i="1"/>
  <c r="R22" i="31"/>
  <c r="AP7" i="1"/>
  <c r="C36" i="69" s="1"/>
  <c r="M7" i="1"/>
  <c r="O7" i="1" s="1"/>
  <c r="P7" i="1" s="1"/>
  <c r="Q16" i="1"/>
  <c r="F27" i="69" s="1"/>
  <c r="H16" i="1"/>
  <c r="AB45" i="21"/>
  <c r="AC33" i="21"/>
  <c r="W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34" i="68"/>
  <c r="R8" i="1"/>
  <c r="E2" i="70"/>
  <c r="C34" i="69"/>
  <c r="C35" i="69" s="1"/>
  <c r="AE7" i="1"/>
  <c r="AE8" i="1"/>
  <c r="AE6" i="1"/>
  <c r="AG6" i="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G17" i="43"/>
  <c r="C16" i="43" s="1"/>
  <c r="E68" i="39"/>
  <c r="F68" i="39" s="1"/>
  <c r="V17" i="71"/>
  <c r="C17" i="71"/>
  <c r="D18" i="71"/>
  <c r="E41" i="43"/>
  <c r="C41" i="43"/>
  <c r="I59" i="34"/>
  <c r="J59" i="34" s="1"/>
  <c r="D15" i="71"/>
  <c r="T17" i="71"/>
  <c r="D16" i="71"/>
  <c r="D17" i="71"/>
  <c r="U17" i="71"/>
  <c r="D9" i="68"/>
  <c r="F41" i="67"/>
  <c r="AO12" i="1"/>
  <c r="D4" i="73"/>
  <c r="F41" i="15"/>
  <c r="AO9" i="1"/>
  <c r="F37" i="15"/>
  <c r="M28" i="15"/>
  <c r="B7" i="76"/>
  <c r="F9" i="15"/>
  <c r="M26" i="67"/>
  <c r="C76" i="15"/>
  <c r="M27" i="67"/>
  <c r="F6" i="15"/>
  <c r="D2" i="35"/>
  <c r="M23" i="15"/>
  <c r="L48" i="15"/>
  <c r="J15" i="15"/>
  <c r="F26" i="15"/>
  <c r="D2" i="37"/>
  <c r="M24" i="15"/>
  <c r="M22" i="15"/>
  <c r="F4" i="73"/>
  <c r="D7" i="73"/>
  <c r="F26" i="67"/>
  <c r="M6" i="67"/>
  <c r="D5" i="73"/>
  <c r="F20" i="31"/>
  <c r="F36" i="15"/>
  <c r="F35" i="15"/>
  <c r="F8" i="67"/>
  <c r="E2" i="68"/>
  <c r="F36" i="67"/>
  <c r="D35" i="9"/>
  <c r="E9" i="76"/>
  <c r="F42" i="15"/>
  <c r="F6" i="67"/>
  <c r="M9" i="67"/>
  <c r="M21" i="67"/>
  <c r="B12" i="76"/>
  <c r="F7" i="15"/>
  <c r="D2" i="34"/>
  <c r="M26" i="15"/>
  <c r="F9" i="67"/>
  <c r="E2" i="69"/>
  <c r="F16" i="15"/>
  <c r="AO10" i="1"/>
  <c r="F43" i="15"/>
  <c r="F37" i="67"/>
  <c r="F43" i="67"/>
  <c r="F40" i="15"/>
  <c r="D3" i="73"/>
  <c r="F8" i="15"/>
  <c r="M8" i="15"/>
  <c r="M8" i="67"/>
  <c r="AO6" i="1"/>
  <c r="F35" i="67"/>
  <c r="D2" i="21"/>
  <c r="M6" i="15"/>
  <c r="AO7" i="1"/>
  <c r="B10" i="76"/>
  <c r="F7" i="73"/>
  <c r="M28" i="67"/>
  <c r="F42" i="67"/>
  <c r="E11" i="76"/>
  <c r="F5" i="73"/>
  <c r="M22" i="67"/>
  <c r="L47" i="67"/>
  <c r="F38" i="67"/>
  <c r="D2" i="33"/>
  <c r="E10" i="76"/>
  <c r="F6" i="73"/>
  <c r="L48" i="67"/>
  <c r="M23" i="67"/>
  <c r="E12" i="76"/>
  <c r="E7" i="76"/>
  <c r="M21" i="15"/>
  <c r="M29" i="15"/>
  <c r="D6" i="73"/>
  <c r="F13" i="15"/>
  <c r="E8" i="76"/>
  <c r="M29" i="67"/>
  <c r="C76" i="67"/>
  <c r="B8" i="76"/>
  <c r="AO13" i="1"/>
  <c r="B13" i="76"/>
  <c r="F3" i="73"/>
  <c r="F13" i="67"/>
  <c r="F7" i="67"/>
  <c r="F16" i="67"/>
  <c r="AO11" i="1"/>
  <c r="J15" i="67"/>
  <c r="D2" i="36"/>
  <c r="F40" i="67"/>
  <c r="M27" i="15"/>
  <c r="E13" i="76"/>
  <c r="M9" i="15"/>
  <c r="L47" i="15"/>
  <c r="D34" i="9"/>
  <c r="B9" i="76"/>
  <c r="F38" i="15"/>
  <c r="B11" i="76"/>
  <c r="AO8" i="1"/>
  <c r="M24" i="67"/>
  <c r="C9" i="68" l="1"/>
  <c r="H25" i="39"/>
  <c r="F25" i="39"/>
  <c r="AA25" i="39" s="1"/>
  <c r="F99" i="39"/>
  <c r="G99" i="39" s="1"/>
  <c r="J25" i="39"/>
  <c r="W27" i="39"/>
  <c r="S25" i="39"/>
  <c r="AC11" i="39"/>
  <c r="AB8" i="39"/>
  <c r="F95" i="39"/>
  <c r="G95" i="39" s="1"/>
  <c r="J21" i="39"/>
  <c r="F21" i="39"/>
  <c r="S21" i="39" s="1"/>
  <c r="H21" i="39"/>
  <c r="U21" i="39" s="1"/>
  <c r="H15" i="39"/>
  <c r="F89" i="39"/>
  <c r="G89" i="39" s="1"/>
  <c r="F15" i="39"/>
  <c r="AA15" i="39" s="1"/>
  <c r="J15" i="39"/>
  <c r="S15" i="39"/>
  <c r="AA33" i="21"/>
  <c r="U33" i="21"/>
  <c r="C13" i="12"/>
  <c r="C94" i="9"/>
  <c r="C92" i="9"/>
  <c r="C5" i="11"/>
  <c r="F30" i="69"/>
  <c r="D68" i="9"/>
  <c r="M18" i="15"/>
  <c r="F52" i="9"/>
  <c r="C30" i="11"/>
  <c r="F32" i="15"/>
  <c r="F60" i="15" s="1"/>
  <c r="F32" i="67"/>
  <c r="F60" i="67" s="1"/>
  <c r="F28" i="67"/>
  <c r="C28" i="67" s="1"/>
  <c r="C24" i="12"/>
  <c r="C77" i="9"/>
  <c r="C74" i="9" s="1"/>
  <c r="F54" i="9"/>
  <c r="F28" i="15"/>
  <c r="C28" i="15" s="1"/>
  <c r="C48" i="69"/>
  <c r="M18" i="67"/>
  <c r="F31" i="12"/>
  <c r="C31" i="12" s="1"/>
  <c r="F30" i="68"/>
  <c r="F53" i="9"/>
  <c r="C21" i="69"/>
  <c r="C23" i="12"/>
  <c r="D22" i="15"/>
  <c r="G22" i="11"/>
  <c r="G22" i="68"/>
  <c r="E1" i="73"/>
  <c r="L27" i="6"/>
  <c r="AR7" i="1"/>
  <c r="E57" i="40"/>
  <c r="E62" i="39"/>
  <c r="D9" i="11"/>
  <c r="C9" i="11" s="1"/>
  <c r="D19" i="12"/>
  <c r="C19" i="12" s="1"/>
  <c r="J101" i="43"/>
  <c r="N101" i="43"/>
  <c r="AQ10" i="1"/>
  <c r="T10" i="1"/>
  <c r="AR12" i="1"/>
  <c r="T12" i="1"/>
  <c r="G105" i="43"/>
  <c r="G107" i="43"/>
  <c r="G104" i="43"/>
  <c r="G106" i="43"/>
  <c r="K103" i="43"/>
  <c r="K102" i="43"/>
  <c r="K105" i="43"/>
  <c r="K109" i="43"/>
  <c r="E8" i="6"/>
  <c r="E15" i="6"/>
  <c r="E13" i="6"/>
  <c r="E14" i="6"/>
  <c r="B113" i="43"/>
  <c r="F101" i="43"/>
  <c r="E22" i="43"/>
  <c r="D22" i="43" s="1"/>
  <c r="C101" i="43"/>
  <c r="N104" i="46"/>
  <c r="H22" i="43"/>
  <c r="H101" i="43"/>
  <c r="M101" i="43"/>
  <c r="E101" i="43"/>
  <c r="S2" i="43"/>
  <c r="S5" i="43"/>
  <c r="C23" i="43"/>
  <c r="C21" i="43" s="1"/>
  <c r="S4" i="43"/>
  <c r="T4" i="43" s="1"/>
  <c r="V4" i="43" s="1"/>
  <c r="S7" i="43"/>
  <c r="AZ13" i="3"/>
  <c r="AZ5" i="3" s="1"/>
  <c r="BA5" i="3"/>
  <c r="G13" i="3"/>
  <c r="F27" i="11"/>
  <c r="F28" i="12"/>
  <c r="C29" i="12" s="1"/>
  <c r="D28" i="12" s="1"/>
  <c r="O14" i="1"/>
  <c r="P14" i="1"/>
  <c r="P6" i="1"/>
  <c r="M16" i="1"/>
  <c r="O9" i="1"/>
  <c r="P9" i="1" s="1"/>
  <c r="E29" i="6"/>
  <c r="F30" i="6"/>
  <c r="E56" i="40"/>
  <c r="AA5" i="71"/>
  <c r="AB5" i="71"/>
  <c r="X5" i="71"/>
  <c r="Y5" i="71"/>
  <c r="Z5" i="71" s="1"/>
  <c r="E70" i="39"/>
  <c r="C5" i="43"/>
  <c r="T11" i="43" s="1"/>
  <c r="V11" i="43" s="1"/>
  <c r="D5" i="43"/>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12" i="71"/>
  <c r="C11" i="71"/>
  <c r="T12" i="43"/>
  <c r="V12" i="43" s="1"/>
  <c r="Y13" i="71"/>
  <c r="Z13" i="71" s="1"/>
  <c r="Y12" i="71"/>
  <c r="AA13" i="71"/>
  <c r="AB3" i="71"/>
  <c r="C35" i="43"/>
  <c r="E35" i="43" s="1"/>
  <c r="C36" i="43"/>
  <c r="E36" i="43" s="1"/>
  <c r="T9" i="43"/>
  <c r="V9" i="43" s="1"/>
  <c r="C39" i="43"/>
  <c r="C29" i="69"/>
  <c r="D27" i="69" s="1"/>
  <c r="C37" i="43"/>
  <c r="E37" i="43" s="1"/>
  <c r="B13" i="71"/>
  <c r="B12" i="71" s="1"/>
  <c r="B11" i="71" s="1"/>
  <c r="B10" i="71" s="1"/>
  <c r="B9" i="71" s="1"/>
  <c r="B8" i="71" s="1"/>
  <c r="B7" i="71" s="1"/>
  <c r="B6" i="71" s="1"/>
  <c r="B5" i="71" s="1"/>
  <c r="X13" i="71"/>
  <c r="AB13" i="71"/>
  <c r="T6" i="43"/>
  <c r="V6" i="43" s="1"/>
  <c r="Z12" i="71"/>
  <c r="Y3" i="71"/>
  <c r="Z3" i="71" s="1"/>
  <c r="D13" i="71"/>
  <c r="F13" i="71"/>
  <c r="F12" i="71" s="1"/>
  <c r="F11" i="71" s="1"/>
  <c r="F10" i="71" s="1"/>
  <c r="F9" i="71" s="1"/>
  <c r="F8" i="71" s="1"/>
  <c r="F7" i="71" s="1"/>
  <c r="F6" i="71" s="1"/>
  <c r="F5" i="71" s="1"/>
  <c r="AF3" i="71"/>
  <c r="P22" i="43" s="1"/>
  <c r="C38" i="69"/>
  <c r="C34" i="43"/>
  <c r="T10" i="43"/>
  <c r="V10" i="43" s="1"/>
  <c r="C33" i="43"/>
  <c r="T13" i="43"/>
  <c r="V13" i="43" s="1"/>
  <c r="T2" i="43"/>
  <c r="V2" i="43" s="1"/>
  <c r="C38" i="43"/>
  <c r="T3" i="43"/>
  <c r="V3" i="43" s="1"/>
  <c r="T5" i="43"/>
  <c r="V5" i="43"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36" i="68"/>
  <c r="C17" i="67"/>
  <c r="C34" i="68"/>
  <c r="C14" i="15"/>
  <c r="C16" i="67"/>
  <c r="C14" i="67"/>
  <c r="F27" i="68"/>
  <c r="C17" i="15"/>
  <c r="C16" i="15"/>
  <c r="G1" i="73"/>
  <c r="AB21" i="39" l="1"/>
  <c r="F45" i="68"/>
  <c r="W25" i="39"/>
  <c r="AC25" i="39"/>
  <c r="AB25" i="39"/>
  <c r="U25" i="39"/>
  <c r="AA21" i="39"/>
  <c r="AC21" i="39"/>
  <c r="W21" i="39"/>
  <c r="W15" i="39"/>
  <c r="AC15" i="39"/>
  <c r="U15" i="39"/>
  <c r="AB15" i="39"/>
  <c r="F48" i="69"/>
  <c r="C30" i="69"/>
  <c r="F48" i="68"/>
  <c r="C30" i="68"/>
  <c r="C48" i="68"/>
  <c r="E3" i="6"/>
  <c r="E104" i="43"/>
  <c r="E107" i="43"/>
  <c r="E105" i="43"/>
  <c r="E109" i="43"/>
  <c r="E102" i="43"/>
  <c r="E103" i="43"/>
  <c r="E106" i="43"/>
  <c r="H107" i="43"/>
  <c r="H106" i="43"/>
  <c r="H105" i="43"/>
  <c r="H102" i="43"/>
  <c r="H104" i="43"/>
  <c r="H109" i="43"/>
  <c r="H103"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D117" i="43"/>
  <c r="E117" i="43" s="1"/>
  <c r="F117" i="43" s="1"/>
  <c r="G117" i="43" s="1"/>
  <c r="H117" i="43" s="1"/>
  <c r="D118" i="43"/>
  <c r="E118" i="43" s="1"/>
  <c r="F118" i="43" s="1"/>
  <c r="I117" i="43"/>
  <c r="J117" i="43" s="1"/>
  <c r="K117" i="43" s="1"/>
  <c r="L117" i="43" s="1"/>
  <c r="M117" i="43" s="1"/>
  <c r="D115" i="43"/>
  <c r="E115" i="43" s="1"/>
  <c r="F115" i="43" s="1"/>
  <c r="G115" i="43" s="1"/>
  <c r="H115" i="43" s="1"/>
  <c r="E58" i="40"/>
  <c r="E63" i="39"/>
  <c r="F27" i="6"/>
  <c r="E56" i="39"/>
  <c r="E51" i="40"/>
  <c r="E16" i="6"/>
  <c r="J104" i="43"/>
  <c r="J107" i="43"/>
  <c r="J102" i="43"/>
  <c r="J109" i="43"/>
  <c r="J105" i="43"/>
  <c r="J103" i="43"/>
  <c r="J106" i="43"/>
  <c r="G5" i="3"/>
  <c r="B3" i="3" s="1"/>
  <c r="E13" i="3" s="1"/>
  <c r="F31" i="6"/>
  <c r="E27" i="6"/>
  <c r="M109" i="43"/>
  <c r="M104" i="43"/>
  <c r="M107" i="43"/>
  <c r="M105" i="43"/>
  <c r="M106" i="43"/>
  <c r="M102" i="43"/>
  <c r="M103" i="43"/>
  <c r="C104" i="43"/>
  <c r="C107" i="43"/>
  <c r="C103" i="43"/>
  <c r="C106" i="43"/>
  <c r="C105" i="43"/>
  <c r="C102" i="43"/>
  <c r="C109" i="43"/>
  <c r="F104" i="43"/>
  <c r="F102" i="43"/>
  <c r="F105" i="43"/>
  <c r="F109" i="43"/>
  <c r="F107" i="43"/>
  <c r="F103" i="43"/>
  <c r="F106" i="43"/>
  <c r="E64" i="39"/>
  <c r="E59" i="40"/>
  <c r="E60" i="40"/>
  <c r="E65" i="39"/>
  <c r="N102" i="43"/>
  <c r="N105" i="43"/>
  <c r="N104" i="43"/>
  <c r="N109" i="43"/>
  <c r="N106" i="43"/>
  <c r="N107" i="43"/>
  <c r="N103" i="43"/>
  <c r="C47" i="68"/>
  <c r="D45" i="68" s="1"/>
  <c r="C29" i="68"/>
  <c r="D27" i="68" s="1"/>
  <c r="C15" i="15"/>
  <c r="C18" i="15"/>
  <c r="C35" i="68"/>
  <c r="C38" i="68"/>
  <c r="O16" i="1"/>
  <c r="C47" i="11"/>
  <c r="D45" i="11" s="1"/>
  <c r="C29" i="11"/>
  <c r="D27" i="11" s="1"/>
  <c r="E30" i="6"/>
  <c r="E31" i="6" s="1"/>
  <c r="K15" i="1"/>
  <c r="K16" i="1" s="1"/>
  <c r="P16" i="1"/>
  <c r="C11" i="12" s="1"/>
  <c r="C34" i="11"/>
  <c r="N16" i="1"/>
  <c r="L16" i="1"/>
  <c r="J10" i="40"/>
  <c r="AC10" i="40" s="1"/>
  <c r="H10" i="39"/>
  <c r="U10" i="39" s="1"/>
  <c r="F10" i="40"/>
  <c r="S10" i="40" s="1"/>
  <c r="J10" i="39"/>
  <c r="W10" i="39" s="1"/>
  <c r="H10" i="40"/>
  <c r="AB10" i="40" s="1"/>
  <c r="G36" i="43"/>
  <c r="I36" i="43" s="1"/>
  <c r="T8" i="43"/>
  <c r="V8" i="43" s="1"/>
  <c r="T16" i="43"/>
  <c r="V16" i="43" s="1"/>
  <c r="T7" i="43"/>
  <c r="V7" i="43" s="1"/>
  <c r="C29" i="43"/>
  <c r="E29"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W10" i="40" l="1"/>
  <c r="U10" i="40"/>
  <c r="K20" i="6"/>
  <c r="M20" i="6" s="1"/>
  <c r="I20" i="6" s="1"/>
  <c r="S20" i="6" s="1"/>
  <c r="K26" i="6"/>
  <c r="M26" i="6" s="1"/>
  <c r="I26" i="6" s="1"/>
  <c r="S26" i="6" s="1"/>
  <c r="K21" i="6"/>
  <c r="M21" i="6" s="1"/>
  <c r="I21" i="6" s="1"/>
  <c r="S21" i="6" s="1"/>
  <c r="K25" i="6"/>
  <c r="M25" i="6" s="1"/>
  <c r="I25" i="6" s="1"/>
  <c r="S25" i="6" s="1"/>
  <c r="K24" i="6"/>
  <c r="M24" i="6" s="1"/>
  <c r="I24" i="6" s="1"/>
  <c r="S24" i="6" s="1"/>
  <c r="K19" i="6"/>
  <c r="S6" i="1" s="1"/>
  <c r="K22" i="6"/>
  <c r="M22" i="6" s="1"/>
  <c r="I22" i="6" s="1"/>
  <c r="S22" i="6" s="1"/>
  <c r="K23" i="6"/>
  <c r="M23" i="6" s="1"/>
  <c r="I23" i="6" s="1"/>
  <c r="S23" i="6" s="1"/>
  <c r="D3" i="21"/>
  <c r="D3" i="34"/>
  <c r="E6" i="6"/>
  <c r="D14" i="12"/>
  <c r="D3" i="33"/>
  <c r="D37" i="11"/>
  <c r="C37" i="11" s="1"/>
  <c r="M18" i="9"/>
  <c r="B118" i="9" s="1"/>
  <c r="B14" i="74" s="1"/>
  <c r="B1" i="74" s="1"/>
  <c r="L18" i="9"/>
  <c r="D19" i="11"/>
  <c r="C19" i="11" s="1"/>
  <c r="D3" i="37"/>
  <c r="C17" i="4"/>
  <c r="B4" i="52" s="1"/>
  <c r="B43" i="72" s="1"/>
  <c r="E53" i="3"/>
  <c r="E175" i="3"/>
  <c r="E319" i="3"/>
  <c r="E530" i="3"/>
  <c r="E501" i="3"/>
  <c r="E343" i="3"/>
  <c r="E153" i="3"/>
  <c r="E305" i="3"/>
  <c r="E426" i="3"/>
  <c r="E508" i="3"/>
  <c r="E328" i="3"/>
  <c r="E347" i="3"/>
  <c r="E583" i="3"/>
  <c r="AA6" i="3"/>
  <c r="X6" i="3"/>
  <c r="E399" i="3"/>
  <c r="E336" i="3"/>
  <c r="E217" i="3"/>
  <c r="E526" i="3"/>
  <c r="E268" i="3"/>
  <c r="E322" i="3"/>
  <c r="AJ6" i="3"/>
  <c r="E539" i="3"/>
  <c r="E567" i="3"/>
  <c r="E461" i="3"/>
  <c r="E280" i="3"/>
  <c r="E246" i="3"/>
  <c r="E124" i="3"/>
  <c r="E293" i="3"/>
  <c r="E397" i="3"/>
  <c r="E314" i="3"/>
  <c r="E568" i="3"/>
  <c r="E511" i="3"/>
  <c r="I6" i="3"/>
  <c r="E16" i="3"/>
  <c r="E536" i="3"/>
  <c r="AK6" i="3"/>
  <c r="E549" i="3"/>
  <c r="E434" i="3"/>
  <c r="E453" i="3"/>
  <c r="E306" i="3"/>
  <c r="E368" i="3"/>
  <c r="E296" i="3"/>
  <c r="E244"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366" i="3"/>
  <c r="E282" i="3"/>
  <c r="E545" i="3"/>
  <c r="E352" i="3"/>
  <c r="E205" i="3"/>
  <c r="E128" i="3"/>
  <c r="E385" i="3"/>
  <c r="E518" i="3"/>
  <c r="AI6" i="3"/>
  <c r="E578" i="3"/>
  <c r="E423" i="3"/>
  <c r="E382" i="3"/>
  <c r="E263" i="3"/>
  <c r="E230" i="3"/>
  <c r="E189" i="3"/>
  <c r="E130" i="3"/>
  <c r="E134" i="3"/>
  <c r="E254" i="3"/>
  <c r="E91" i="3"/>
  <c r="E221" i="3"/>
  <c r="E180" i="3"/>
  <c r="E207" i="3"/>
  <c r="E252" i="3"/>
  <c r="E271" i="3"/>
  <c r="E204" i="3"/>
  <c r="E145"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125" i="3"/>
  <c r="E553" i="3"/>
  <c r="N6" i="3"/>
  <c r="E329" i="3"/>
  <c r="E510" i="3"/>
  <c r="E227" i="3"/>
  <c r="E165" i="3"/>
  <c r="E353" i="3"/>
  <c r="E495" i="3"/>
  <c r="AN6" i="3"/>
  <c r="E586" i="3"/>
  <c r="E402" i="3"/>
  <c r="E350" i="3"/>
  <c r="E303" i="3"/>
  <c r="E301" i="3"/>
  <c r="E216" i="3"/>
  <c r="E169" i="3"/>
  <c r="E185" i="3"/>
  <c r="E61" i="3"/>
  <c r="E135" i="3"/>
  <c r="E290" i="3"/>
  <c r="E161" i="3"/>
  <c r="E117" i="3"/>
  <c r="E149" i="3"/>
  <c r="E77" i="3"/>
  <c r="E212" i="3"/>
  <c r="E253" i="3"/>
  <c r="E167"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61" i="3"/>
  <c r="E304" i="3"/>
  <c r="E565" i="3"/>
  <c r="E213" i="3"/>
  <c r="E361" i="3"/>
  <c r="E503" i="3"/>
  <c r="E388" i="3"/>
  <c r="E574" i="3"/>
  <c r="E359" i="3"/>
  <c r="E337" i="3"/>
  <c r="E143" i="3"/>
  <c r="E270" i="3"/>
  <c r="E533" i="3"/>
  <c r="E523" i="3"/>
  <c r="E506" i="3"/>
  <c r="E418" i="3"/>
  <c r="E338" i="3"/>
  <c r="E321" i="3"/>
  <c r="E298" i="3"/>
  <c r="E237" i="3"/>
  <c r="E528" i="3"/>
  <c r="E183" i="3"/>
  <c r="E17" i="3"/>
  <c r="E302" i="3"/>
  <c r="O6" i="3"/>
  <c r="E555" i="3"/>
  <c r="E410" i="3"/>
  <c r="E285" i="3"/>
  <c r="E97" i="3"/>
  <c r="E390" i="3"/>
  <c r="S6" i="3"/>
  <c r="AR6" i="3"/>
  <c r="E561" i="3"/>
  <c r="E538" i="3"/>
  <c r="E439" i="3"/>
  <c r="E380" i="3"/>
  <c r="E231" i="3"/>
  <c r="E66" i="39"/>
  <c r="D113" i="43"/>
  <c r="C115" i="43"/>
  <c r="AY6" i="3"/>
  <c r="C19" i="15"/>
  <c r="C20" i="15" s="1"/>
  <c r="C26" i="15" s="1"/>
  <c r="C38" i="11"/>
  <c r="C35" i="11"/>
  <c r="AB10" i="39"/>
  <c r="F50" i="69"/>
  <c r="F50" i="11"/>
  <c r="F50" i="68"/>
  <c r="C15" i="12"/>
  <c r="C12" i="12"/>
  <c r="C30" i="43"/>
  <c r="E30" i="43" s="1"/>
  <c r="C27" i="43" s="1"/>
  <c r="AC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6" i="76"/>
  <c r="AQ6" i="1" l="1"/>
  <c r="S16" i="1"/>
  <c r="AR6" i="1"/>
  <c r="T6" i="1"/>
  <c r="T16"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D17" i="12"/>
  <c r="C17" i="12" s="1"/>
  <c r="C14" i="12"/>
  <c r="C16" i="12" s="1"/>
  <c r="K27" i="6"/>
  <c r="M19" i="6"/>
  <c r="H6" i="3"/>
  <c r="C20" i="11"/>
  <c r="C28" i="11" s="1"/>
  <c r="C27" i="11" s="1"/>
  <c r="D20" i="12"/>
  <c r="C20" i="12" s="1"/>
  <c r="C18" i="12" s="1"/>
  <c r="D10" i="69"/>
  <c r="D10" i="11"/>
  <c r="C10" i="11" s="1"/>
  <c r="C33" i="11"/>
  <c r="C39" i="11" s="1"/>
  <c r="C46" i="11" s="1"/>
  <c r="C45" i="11"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D10" i="68"/>
  <c r="B6" i="76"/>
  <c r="C21" i="12" l="1"/>
  <c r="C42" i="11"/>
  <c r="C25" i="11"/>
  <c r="C22" i="11" s="1"/>
  <c r="C31" i="11" s="1"/>
  <c r="E6" i="3"/>
  <c r="C10" i="69"/>
  <c r="C8" i="69" s="1"/>
  <c r="C5" i="69" s="1"/>
  <c r="D19" i="69"/>
  <c r="C10" i="68"/>
  <c r="C8" i="68" s="1"/>
  <c r="D19" i="68"/>
  <c r="I19" i="6"/>
  <c r="M27" i="6"/>
  <c r="D19" i="6"/>
  <c r="D26" i="6"/>
  <c r="C18" i="4"/>
  <c r="D8" i="6"/>
  <c r="D23" i="6"/>
  <c r="D14" i="6"/>
  <c r="D6" i="6"/>
  <c r="D9" i="6"/>
  <c r="D10" i="6"/>
  <c r="L19" i="9"/>
  <c r="E61" i="40"/>
  <c r="M19" i="9"/>
  <c r="C118" i="9" s="1"/>
  <c r="C14" i="74" s="1"/>
  <c r="B2" i="74" s="1"/>
  <c r="D25" i="6"/>
  <c r="D15" i="6"/>
  <c r="D22" i="6"/>
  <c r="D21" i="6"/>
  <c r="D24" i="6"/>
  <c r="D20" i="6"/>
  <c r="D5" i="6"/>
  <c r="D12" i="6"/>
  <c r="D11" i="6"/>
  <c r="D13" i="6"/>
  <c r="D28" i="6"/>
  <c r="H25" i="6"/>
  <c r="R25" i="6" s="1"/>
  <c r="H21" i="6"/>
  <c r="D29" i="6"/>
  <c r="H23" i="6"/>
  <c r="R23" i="6" s="1"/>
  <c r="H26" i="6"/>
  <c r="R26" i="6" s="1"/>
  <c r="H20" i="6"/>
  <c r="H24" i="6"/>
  <c r="R24" i="6" s="1"/>
  <c r="H22" i="6"/>
  <c r="R22" i="6" s="1"/>
  <c r="C43" i="11"/>
  <c r="C22" i="12"/>
  <c r="C27" i="12" s="1"/>
  <c r="C25"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41" i="11" l="1"/>
  <c r="C49" i="11" s="1"/>
  <c r="C51" i="11" s="1"/>
  <c r="C52" i="11" s="1"/>
  <c r="B2" i="11" s="1"/>
  <c r="B3" i="11" s="1"/>
  <c r="D16" i="6"/>
  <c r="C19" i="68"/>
  <c r="D37" i="68"/>
  <c r="C37" i="68" s="1"/>
  <c r="C33" i="68" s="1"/>
  <c r="R20" i="6"/>
  <c r="R21" i="6"/>
  <c r="D30" i="6"/>
  <c r="C4" i="52"/>
  <c r="B45" i="72" s="1"/>
  <c r="A10" i="51"/>
  <c r="B9" i="72" s="1"/>
  <c r="A7" i="51"/>
  <c r="B7" i="72" s="1"/>
  <c r="D27" i="6"/>
  <c r="D31" i="6" s="1"/>
  <c r="I27" i="6"/>
  <c r="S19" i="6"/>
  <c r="S27" i="6" s="1"/>
  <c r="H19" i="6"/>
  <c r="C23" i="69"/>
  <c r="C19" i="69"/>
  <c r="C24" i="69" s="1"/>
  <c r="D37" i="69"/>
  <c r="C37" i="69" s="1"/>
  <c r="C33" i="69" s="1"/>
  <c r="C30" i="12"/>
  <c r="C28" i="12" s="1"/>
  <c r="C32" i="12" s="1"/>
  <c r="B2" i="12" s="1"/>
  <c r="B3" i="12" s="1"/>
  <c r="D6" i="71"/>
  <c r="M20" i="43"/>
  <c r="K70" i="39"/>
  <c r="L68" i="39"/>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20" i="69" l="1"/>
  <c r="I5" i="6"/>
  <c r="I6" i="6"/>
  <c r="C39" i="68"/>
  <c r="C42" i="68"/>
  <c r="C39" i="69"/>
  <c r="C43" i="69" s="1"/>
  <c r="C42" i="69"/>
  <c r="R19" i="6"/>
  <c r="H27" i="6"/>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41" i="69" l="1"/>
  <c r="R27" i="6"/>
  <c r="R6" i="1"/>
  <c r="R16" i="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D19" i="9"/>
  <c r="D102" i="9" l="1"/>
  <c r="D21" i="9"/>
  <c r="B3" i="15"/>
  <c r="C49" i="69"/>
  <c r="C51" i="69" s="1"/>
  <c r="C31" i="69"/>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52" i="69"/>
  <c r="B2" i="69" s="1"/>
  <c r="B3" i="69" s="1"/>
  <c r="H7" i="39"/>
  <c r="J7" i="39"/>
  <c r="AA7" i="39"/>
  <c r="R47" i="39" s="1"/>
  <c r="S7" i="39"/>
  <c r="R39" i="35"/>
  <c r="E38" i="35"/>
  <c r="M63" i="40"/>
  <c r="L65" i="40"/>
  <c r="C57" i="69" l="1"/>
  <c r="C56" i="69" s="1"/>
  <c r="E47" i="39"/>
  <c r="W7" i="39"/>
  <c r="AC7" i="39"/>
  <c r="V47" i="39" s="1"/>
  <c r="I47" i="39" s="1"/>
  <c r="U7" i="39"/>
  <c r="AB7" i="39"/>
  <c r="T47" i="39" s="1"/>
  <c r="G47" i="39" s="1"/>
  <c r="C39" i="35"/>
  <c r="B2" i="35" s="1"/>
  <c r="B3" i="35" s="1"/>
  <c r="C38" i="35"/>
  <c r="N63" i="40"/>
  <c r="M65" i="40"/>
  <c r="E43" i="35"/>
  <c r="F43" i="35" s="1"/>
  <c r="E42" i="35"/>
  <c r="F42" i="35" s="1"/>
  <c r="I43" i="35"/>
  <c r="J43" i="35" s="1"/>
  <c r="R48" i="39" l="1"/>
  <c r="C48" i="39" s="1"/>
  <c r="E52" i="39"/>
  <c r="F52" i="39" s="1"/>
  <c r="E51" i="39"/>
  <c r="F51" i="39" s="1"/>
  <c r="G51" i="39"/>
  <c r="H51" i="39" s="1"/>
  <c r="G52" i="39"/>
  <c r="H52" i="39" s="1"/>
  <c r="I51" i="39"/>
  <c r="J51" i="39" s="1"/>
  <c r="I52" i="39"/>
  <c r="J52" i="39" s="1"/>
  <c r="O63" i="40"/>
  <c r="O65" i="40" s="1"/>
  <c r="N65" i="40"/>
  <c r="C47" i="39" l="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F66" i="39" l="1"/>
  <c r="B2" i="39" s="1"/>
  <c r="U7" i="40"/>
  <c r="AB7" i="40"/>
  <c r="T42" i="40" s="1"/>
  <c r="G42" i="40" s="1"/>
  <c r="AA7" i="40"/>
  <c r="R42" i="40" s="1"/>
  <c r="S7" i="40"/>
  <c r="AC7" i="40"/>
  <c r="V42" i="40" s="1"/>
  <c r="I42" i="40" s="1"/>
  <c r="W7" i="40"/>
  <c r="B3" i="39" l="1"/>
  <c r="C6" i="68"/>
  <c r="C7" i="68" s="1"/>
  <c r="C5" i="68" s="1"/>
  <c r="I46" i="40"/>
  <c r="J46" i="40" s="1"/>
  <c r="R43" i="40"/>
  <c r="E42" i="40"/>
  <c r="G47" i="40"/>
  <c r="H47" i="40" s="1"/>
  <c r="G46" i="40"/>
  <c r="H46" i="40" s="1"/>
  <c r="C23" i="68" l="1"/>
  <c r="C20" i="68"/>
  <c r="C42" i="40"/>
  <c r="C43" i="40"/>
  <c r="E47" i="40"/>
  <c r="F47" i="40" s="1"/>
  <c r="E46" i="40"/>
  <c r="F46" i="40" s="1"/>
  <c r="I47" i="40"/>
  <c r="J47" i="40" s="1"/>
  <c r="C28" i="68" l="1"/>
  <c r="C27" i="68" s="1"/>
  <c r="C25" i="68"/>
  <c r="C22"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H109" i="9"/>
  <c r="D16" i="53" s="1"/>
  <c r="B2" i="68" l="1"/>
  <c r="C57" i="68"/>
  <c r="C56" i="68" s="1"/>
  <c r="B34" i="72"/>
  <c r="D17" i="53"/>
  <c r="B36" i="72" s="1"/>
  <c r="D124" i="9"/>
  <c r="H110" i="9"/>
  <c r="D18" i="53" s="1"/>
  <c r="B35" i="72" s="1"/>
  <c r="C19" i="9"/>
  <c r="B3" i="68"/>
  <c r="D22" i="9" l="1"/>
  <c r="C102" i="9"/>
  <c r="G19" i="9"/>
  <c r="G21" i="9" s="1"/>
  <c r="C21" i="9"/>
  <c r="H14" i="74"/>
  <c r="B7" i="74" s="1"/>
  <c r="D10" i="52"/>
  <c r="D125" i="9"/>
  <c r="D11" i="52" s="1"/>
  <c r="C20" i="9"/>
  <c r="C103" i="9" l="1"/>
  <c r="G20" i="9"/>
  <c r="C32" i="9" s="1"/>
  <c r="C35" i="9" s="1"/>
  <c r="C34" i="9" s="1"/>
  <c r="D7" i="74"/>
  <c r="C7" i="74"/>
  <c r="D8" i="74"/>
  <c r="C8" i="74"/>
  <c r="C104" i="9"/>
  <c r="H4" i="52"/>
  <c r="D52" i="9"/>
  <c r="D53" i="9"/>
  <c r="C105" i="9"/>
  <c r="I4" i="52"/>
  <c r="F14" i="74"/>
  <c r="E14" i="74"/>
  <c r="D5" i="74"/>
  <c r="D14" i="74"/>
  <c r="B5" i="74"/>
  <c r="C5" i="74"/>
  <c r="C6" i="74"/>
  <c r="D6" i="74"/>
  <c r="P57" i="9"/>
  <c r="N58" i="9"/>
  <c r="B8" i="74"/>
  <c r="D12" i="52"/>
  <c r="I14" i="74"/>
  <c r="M48" i="9"/>
  <c r="B6" i="74"/>
  <c r="B52" i="72"/>
  <c r="N60" i="9"/>
  <c r="B30" i="72"/>
  <c r="L64" i="9"/>
  <c r="M64" i="9"/>
  <c r="N69" i="9"/>
  <c r="B51" i="72"/>
  <c r="B38" i="72"/>
  <c r="B31" i="72"/>
  <c r="B39" i="72"/>
  <c r="M55" i="9"/>
  <c r="L65" i="9"/>
  <c r="M65" i="9"/>
  <c r="D15" i="53"/>
  <c r="C78" i="9"/>
  <c r="C73" i="9"/>
  <c r="B22" i="72"/>
  <c r="D4" i="52"/>
  <c r="B47" i="72"/>
  <c r="F4" i="52"/>
  <c r="G4" i="52"/>
  <c r="C81" i="9"/>
  <c r="E81" i="9"/>
  <c r="D54" i="9"/>
  <c r="H108" i="9"/>
  <c r="D9" i="52"/>
  <c r="C72" i="9"/>
  <c r="C79" i="9"/>
  <c r="C80" i="9"/>
  <c r="E80" i="9"/>
  <c r="C68" i="9"/>
  <c r="C67" i="9"/>
  <c r="D59" i="9"/>
  <c r="D123" i="9"/>
  <c r="D8" i="52"/>
  <c r="D122" i="9"/>
  <c r="G14" i="74"/>
  <c r="L63" i="9"/>
  <c r="M63" i="9"/>
  <c r="M69" i="9"/>
  <c r="C64" i="9"/>
  <c r="C63" i="9"/>
  <c r="D126" i="9"/>
  <c r="D127" i="9"/>
  <c r="D13" i="52"/>
  <c r="D13" i="53"/>
  <c r="D14" i="53"/>
  <c r="B32" i="72"/>
  <c r="C93" i="9"/>
  <c r="C86" i="9"/>
  <c r="L66" i="9"/>
  <c r="M66" i="9"/>
  <c r="H111" i="9"/>
  <c r="D19" i="53"/>
  <c r="D20" i="53"/>
  <c r="B40" i="72"/>
  <c r="L67" i="9"/>
  <c r="M67" i="9"/>
  <c r="D118" i="9"/>
  <c r="D119" i="9"/>
  <c r="D5" i="52"/>
  <c r="B49" i="72"/>
  <c r="B20" i="72"/>
  <c r="D5" i="53"/>
  <c r="D6" i="53"/>
  <c r="G118" i="9"/>
  <c r="F118" i="9"/>
  <c r="F119" i="9"/>
  <c r="F5" i="52"/>
  <c r="B53" i="72"/>
  <c r="H119" i="9"/>
  <c r="H5" i="52"/>
  <c r="C96" i="9"/>
  <c r="E96" i="9"/>
  <c r="E97" i="9"/>
  <c r="H102" i="9"/>
  <c r="D7" i="53"/>
  <c r="B21" i="72"/>
  <c r="E118" i="9"/>
  <c r="E4" i="52"/>
  <c r="B48" i="72"/>
  <c r="N59" i="9"/>
  <c r="N61" i="9"/>
  <c r="H112" i="9"/>
  <c r="D21" i="53"/>
  <c r="H107" i="9"/>
  <c r="M49" i="9"/>
  <c r="L68" i="9"/>
  <c r="M68" i="9"/>
  <c r="C85" i="9"/>
  <c r="C95" i="9"/>
  <c r="C97" i="9"/>
  <c r="D58" i="9"/>
  <c r="D56" i="9"/>
  <c r="M54"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<sst xmlns="http://schemas.openxmlformats.org/spreadsheetml/2006/main" count="8997" uniqueCount="3504">
  <si>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</si>
  <si>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</si>
  <si>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</si>
  <si>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</si>
  <si>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</si>
  <si>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</si>
  <si>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</si>
  <si>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</si>
  <si>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</si>
  <si>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</si>
  <si>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</si>
  <si>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</si>
  <si>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</si>
  <si>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</si>
  <si>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</si>
  <si>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</si>
  <si>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</si>
  <si>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</si>
  <si>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</si>
  <si>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</si>
  <si>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</si>
  <si>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</si>
  <si>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</si>
  <si>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</si>
  <si>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</si>
  <si>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</si>
  <si>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</si>
  <si>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</si>
  <si>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</si>
  <si>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</si>
  <si>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</si>
  <si>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</si>
  <si>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</si>
  <si>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</si>
  <si>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</si>
  <si>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</si>
  <si>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</si>
  <si>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</si>
  <si>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</si>
  <si>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</si>
  <si>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</si>
  <si>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</si>
  <si>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</si>
  <si>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</si>
  <si>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</si>
  <si>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</si>
  <si>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</si>
  <si>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</si>
  <si>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</si>
  <si>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</si>
  <si>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</si>
  <si>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</si>
  <si>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</si>
  <si>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</si>
  <si>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</si>
  <si>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</si>
  <si>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</si>
  <si>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</si>
  <si>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</si>
  <si>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</si>
  <si>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</si>
  <si>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</si>
  <si>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</si>
  <si>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</si>
  <si>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</si>
  <si>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</si>
  <si>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</si>
  <si>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</si>
  <si>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</si>
  <si>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</si>
  <si>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</si>
  <si>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</si>
  <si>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</si>
  <si>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</si>
  <si>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</si>
  <si>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</si>
  <si>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</si>
  <si>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</si>
  <si>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</si>
  <si>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</si>
  <si>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</si>
  <si>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</si>
  <si>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</si>
  <si>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</si>
  <si>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</si>
  <si>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</si>
  <si>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</si>
  <si>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</si>
  <si>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</si>
  <si>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</si>
  <si>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</si>
  <si>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</si>
  <si>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</si>
  <si>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</si>
  <si>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</si>
  <si>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</si>
  <si>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</si>
  <si>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</si>
  <si>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</si>
  <si>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</si>
  <si>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</si>
  <si>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</si>
  <si>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</si>
  <si>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</si>
  <si>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</si>
  <si>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</si>
  <si>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</si>
  <si>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</si>
  <si>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</si>
  <si>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</si>
  <si>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</si>
  <si>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</si>
  <si>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</si>
  <si>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</si>
  <si>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</si>
  <si>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</si>
  <si>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</si>
  <si>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</si>
  <si>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</si>
  <si>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</si>
  <si>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</si>
  <si>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</si>
  <si>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</si>
  <si>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</si>
  <si>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</si>
  <si>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</si>
  <si>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</si>
  <si>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</si>
  <si>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</si>
  <si>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</si>
  <si>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</si>
  <si>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</si>
  <si>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</si>
  <si>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</si>
  <si>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</si>
  <si>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</si>
  <si>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</si>
  <si>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</si>
  <si>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</si>
  <si>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</si>
  <si>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</si>
  <si>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</si>
  <si>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</si>
  <si>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</si>
  <si>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</si>
  <si>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</si>
  <si>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</si>
  <si>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</si>
  <si>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</si>
  <si>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</si>
  <si>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</si>
  <si>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</si>
  <si>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</si>
  <si>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</si>
  <si>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</si>
  <si>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</si>
  <si>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</si>
  <si>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</si>
  <si>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</si>
  <si>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</si>
  <si>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</si>
  <si>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</si>
  <si>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</si>
  <si>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</si>
  <si>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</si>
  <si>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</si>
  <si>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</si>
  <si>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</si>
  <si>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</si>
  <si>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</si>
  <si>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</si>
  <si>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</si>
  <si>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</si>
  <si>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</si>
  <si>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</si>
  <si>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</si>
  <si>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</si>
  <si>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</si>
  <si>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</si>
  <si>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</si>
  <si>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</si>
  <si>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</si>
  <si>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</si>
  <si>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</si>
  <si>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</si>
  <si>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</si>
  <si>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</si>
  <si>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</si>
  <si>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</si>
  <si>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</si>
  <si>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</si>
  <si>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</si>
  <si>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</si>
  <si>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</si>
  <si>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</si>
  <si>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</si>
  <si>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</si>
  <si>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</si>
  <si>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</si>
  <si>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</si>
  <si>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</si>
  <si>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</si>
  <si>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</si>
  <si>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</si>
  <si>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</si>
  <si>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</si>
  <si>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</si>
  <si>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</si>
  <si>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</si>
  <si>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</si>
  <si>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</si>
  <si>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</si>
  <si>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</si>
  <si>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</si>
  <si>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</si>
  <si>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</si>
  <si>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</si>
  <si>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</si>
  <si>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</si>
  <si>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</si>
  <si>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</si>
  <si>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</si>
  <si>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</si>
  <si>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</si>
  <si>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</si>
  <si>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</si>
  <si>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</si>
  <si>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</si>
  <si>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</si>
  <si>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</si>
  <si>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</si>
  <si>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</si>
  <si>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</si>
  <si>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</si>
  <si>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</si>
  <si>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</si>
  <si>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</si>
  <si>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</si>
  <si>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</si>
  <si>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</si>
  <si>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</si>
  <si>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</si>
  <si>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</si>
  <si>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</si>
  <si>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</si>
  <si>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</si>
  <si>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</si>
  <si>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</si>
  <si>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</si>
  <si>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</si>
  <si>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</si>
  <si>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</si>
  <si>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</si>
  <si>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</si>
  <si>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</si>
  <si>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</si>
  <si>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</si>
  <si>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</si>
  <si>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</si>
  <si>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</si>
  <si>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</si>
  <si>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</si>
  <si>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</si>
  <si>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</si>
  <si>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</si>
  <si>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</si>
  <si>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</si>
  <si>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</si>
  <si>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</si>
  <si>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</si>
  <si>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</si>
  <si>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</si>
  <si>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</si>
  <si>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</si>
  <si>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</si>
  <si>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</si>
  <si>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</si>
  <si>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</si>
  <si>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</si>
  <si>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</si>
  <si>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</si>
  <si>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</si>
  <si>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</si>
  <si>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</si>
  <si>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</si>
  <si>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</si>
  <si>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</si>
  <si>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</si>
  <si>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</si>
  <si>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</si>
  <si>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</si>
  <si>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</si>
  <si>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</si>
  <si>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</si>
  <si>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</si>
  <si>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</si>
  <si>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</si>
  <si>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</si>
  <si>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</si>
  <si>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</si>
  <si>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</si>
  <si>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</si>
  <si>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</si>
  <si>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</si>
  <si>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</si>
  <si>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</si>
  <si>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</si>
  <si>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</si>
  <si>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</si>
  <si>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</si>
  <si>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</si>
  <si>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</si>
  <si>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</si>
  <si>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</si>
  <si>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</si>
  <si>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</si>
  <si>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</si>
  <si>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</si>
  <si>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</si>
  <si>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</si>
  <si>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</si>
  <si>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</si>
  <si>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</si>
  <si>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</si>
  <si>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</si>
  <si>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</si>
  <si>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</si>
  <si>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</si>
  <si>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</si>
  <si>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</si>
  <si>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</si>
  <si>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</si>
  <si>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</si>
  <si>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</si>
  <si>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</si>
  <si>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</si>
  <si>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</si>
  <si>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</si>
  <si>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</si>
  <si>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</si>
  <si>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</si>
  <si>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</si>
  <si>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</si>
  <si>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</si>
  <si>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</si>
  <si>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</si>
  <si>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</si>
  <si>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</si>
  <si>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</si>
  <si>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</si>
  <si>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</si>
  <si>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</si>
  <si>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</si>
  <si>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</si>
  <si>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</si>
  <si>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</si>
  <si>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</si>
  <si>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</si>
  <si>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</si>
  <si>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</si>
  <si>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</si>
  <si>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</si>
  <si>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</si>
  <si>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</si>
  <si>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</si>
  <si>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</si>
  <si>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</si>
  <si>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</si>
  <si>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</si>
  <si>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</si>
  <si>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</si>
  <si>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</si>
  <si>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</si>
  <si>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</si>
  <si>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</si>
  <si>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</si>
  <si>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</si>
  <si>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</si>
  <si>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</si>
  <si>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</si>
  <si>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</si>
  <si>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</si>
  <si>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</si>
  <si>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</si>
  <si>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</si>
  <si>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</si>
  <si>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</si>
  <si>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</si>
  <si>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</si>
  <si>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</si>
  <si>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</si>
  <si>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</si>
  <si>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</si>
  <si>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</si>
  <si>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</si>
  <si>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</si>
  <si>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</si>
  <si>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</si>
  <si>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</si>
  <si>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</si>
  <si>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</si>
  <si>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</si>
  <si>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</si>
  <si>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</si>
  <si>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</si>
  <si>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</si>
  <si>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</si>
  <si>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</si>
  <si>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</si>
  <si>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</si>
  <si>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</si>
  <si>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</si>
  <si>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</si>
  <si>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</si>
  <si>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</si>
  <si>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</si>
  <si>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</si>
  <si>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</si>
  <si>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</si>
  <si>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</si>
  <si>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</si>
  <si>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</si>
  <si>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</si>
  <si>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</si>
  <si>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</si>
  <si>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</si>
  <si>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</si>
  <si>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</si>
  <si>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</si>
  <si>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</si>
  <si>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</si>
  <si>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</si>
  <si>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</si>
  <si>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</si>
  <si>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</si>
  <si>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</si>
  <si>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</si>
  <si>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</si>
  <si>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</si>
  <si>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</si>
  <si>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</si>
  <si>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</si>
  <si>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</si>
  <si>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</si>
  <si>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</si>
  <si>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</si>
  <si>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</si>
  <si>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</si>
  <si>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</si>
  <si>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</si>
  <si>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</si>
  <si>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</si>
  <si>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</si>
  <si>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</si>
  <si>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</si>
  <si>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</si>
  <si>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</si>
  <si>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</si>
  <si>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</si>
  <si>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</si>
  <si>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</si>
  <si>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</si>
  <si>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</si>
  <si>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</si>
  <si>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</si>
  <si>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</si>
  <si>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</si>
  <si>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</si>
  <si>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</si>
  <si>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</si>
  <si>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</si>
  <si>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</si>
  <si>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</si>
  <si>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</si>
  <si>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</si>
  <si>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</si>
  <si>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</si>
  <si>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</si>
  <si>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</si>
  <si>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</si>
  <si>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</si>
  <si>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</si>
  <si>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</si>
  <si>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</si>
  <si>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</si>
  <si>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</si>
  <si>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</si>
  <si>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</si>
  <si>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</si>
  <si>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</si>
  <si>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</si>
  <si>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</si>
  <si>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</si>
  <si>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</si>
  <si>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</si>
  <si>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</si>
  <si>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</si>
  <si>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</si>
  <si>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</si>
  <si>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</si>
  <si>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</si>
  <si>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</si>
  <si>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</si>
  <si>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</si>
  <si>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</si>
  <si>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</si>
  <si>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</si>
  <si>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</si>
  <si>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</si>
  <si>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</si>
  <si>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</si>
  <si>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</si>
  <si>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</si>
  <si>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</si>
  <si>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</si>
  <si>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</si>
  <si>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</si>
  <si>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</si>
  <si>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</si>
  <si>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</si>
  <si>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</si>
  <si>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</si>
  <si>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</si>
  <si>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</si>
  <si>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</si>
  <si>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</si>
  <si>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</si>
  <si>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</si>
  <si>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</si>
  <si>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</si>
  <si>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</si>
  <si>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</si>
  <si>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</si>
  <si>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</si>
  <si>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</si>
  <si>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</si>
  <si>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</si>
  <si>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</si>
  <si>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</si>
  <si>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</si>
  <si>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</si>
  <si>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</si>
  <si>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</si>
  <si>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</si>
  <si>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</si>
  <si>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</si>
  <si>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</si>
  <si>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</si>
  <si>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</si>
  <si>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</si>
  <si>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</si>
  <si>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</si>
  <si>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</si>
  <si>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</si>
  <si>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</si>
  <si>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</si>
  <si>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</si>
  <si>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</si>
  <si>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</si>
  <si>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</si>
  <si>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</si>
  <si>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</si>
  <si>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</si>
  <si>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</si>
  <si>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</si>
  <si>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</si>
  <si>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</si>
  <si>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</si>
  <si>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</si>
  <si>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</si>
  <si>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</si>
  <si>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</si>
  <si>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</si>
  <si>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</si>
  <si>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</si>
  <si>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</si>
  <si>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</si>
  <si>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</si>
  <si>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</si>
  <si>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</si>
  <si>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</si>
  <si>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</si>
  <si>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</si>
  <si>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</si>
  <si>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</si>
  <si>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</si>
  <si>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</si>
  <si>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</si>
  <si>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</si>
  <si>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</si>
  <si>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</si>
  <si>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</si>
  <si>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</si>
  <si>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</si>
  <si>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</si>
  <si>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</si>
  <si>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</si>
  <si>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</si>
  <si>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</si>
  <si>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</si>
  <si>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</si>
  <si>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</si>
  <si>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</si>
  <si>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</si>
  <si>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</si>
  <si>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</si>
  <si>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</si>
  <si>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</si>
  <si>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</si>
  <si>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</si>
  <si>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</si>
  <si>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</si>
  <si>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</si>
  <si>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</si>
  <si>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</si>
  <si>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</si>
  <si>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</si>
  <si>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</si>
  <si>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</si>
  <si>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</si>
  <si>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</si>
  <si>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</si>
  <si>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</si>
  <si>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</si>
  <si>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</si>
  <si>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</si>
  <si>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</si>
  <si>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</si>
  <si>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</si>
  <si>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</si>
  <si>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</si>
  <si>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</si>
  <si>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</si>
  <si>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</si>
  <si>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</si>
  <si>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</si>
  <si>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</si>
  <si>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</si>
  <si>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</si>
  <si>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</si>
  <si>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</si>
  <si>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</si>
  <si>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</si>
  <si>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</si>
  <si>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</si>
  <si>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</si>
  <si>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</si>
  <si>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</si>
  <si>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</si>
  <si>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</si>
  <si>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</si>
  <si>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</si>
  <si>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</si>
  <si>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</si>
  <si>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</si>
  <si>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</si>
  <si>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</si>
  <si>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</si>
  <si>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</si>
  <si>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</si>
  <si>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</si>
  <si>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</si>
  <si>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</si>
  <si>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</si>
  <si>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</si>
  <si>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</si>
  <si>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</si>
  <si>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</si>
  <si>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</si>
  <si>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</si>
  <si>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</si>
  <si>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</si>
  <si>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</si>
  <si>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</si>
  <si>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</si>
  <si>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</si>
  <si>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</si>
  <si>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</si>
  <si>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</si>
  <si>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</si>
  <si>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</si>
  <si>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</si>
  <si>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</si>
  <si>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</si>
  <si>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</si>
  <si>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</si>
  <si>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</si>
  <si>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</si>
  <si>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</si>
  <si>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</si>
  <si>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</si>
  <si>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</si>
  <si>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</si>
  <si>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</si>
  <si>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</si>
  <si>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</si>
  <si>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</si>
  <si>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</si>
  <si>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</si>
  <si>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</si>
  <si>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</si>
  <si>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</si>
  <si>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</si>
  <si>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</si>
  <si>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</si>
  <si>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</si>
  <si>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</si>
  <si>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</si>
  <si>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</si>
  <si>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</si>
  <si>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</si>
  <si>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</si>
  <si>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</si>
  <si>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</si>
  <si>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</si>
  <si>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</si>
  <si>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</si>
  <si>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</si>
  <si>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</si>
  <si>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</si>
  <si>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</si>
  <si>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</si>
  <si>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</si>
  <si>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</si>
  <si>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</si>
  <si>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</si>
  <si>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</si>
  <si>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</si>
  <si>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</si>
  <si>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</si>
  <si>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</si>
  <si>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</si>
  <si>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</si>
  <si>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</si>
  <si>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</si>
  <si>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</si>
  <si>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</si>
  <si>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</si>
  <si>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</si>
  <si>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</si>
  <si>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</si>
  <si>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</si>
  <si>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</si>
  <si>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</si>
  <si>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</si>
  <si>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</si>
  <si>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</si>
  <si>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</si>
  <si>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</si>
  <si>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</si>
  <si>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</si>
  <si>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</si>
  <si>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</si>
  <si>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</si>
  <si>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</si>
  <si>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</si>
  <si>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</si>
  <si>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</si>
  <si>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</si>
  <si>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</si>
  <si>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</si>
  <si>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</si>
  <si>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</si>
  <si>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</si>
  <si>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</si>
  <si>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</si>
  <si>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</si>
  <si>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</si>
  <si>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</si>
  <si>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</si>
  <si>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</si>
  <si>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</si>
  <si>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</si>
  <si>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</si>
  <si>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</si>
  <si>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</si>
  <si>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</si>
  <si>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</si>
  <si>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</si>
  <si>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</si>
  <si>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</si>
  <si>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</si>
  <si>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</si>
  <si>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</si>
  <si>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</si>
  <si>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</si>
  <si>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</si>
  <si>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</si>
  <si>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</si>
  <si>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</si>
  <si>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</si>
  <si>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</si>
  <si>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</si>
  <si>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</si>
  <si>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</si>
  <si>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</si>
  <si>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</si>
  <si>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</si>
  <si>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</si>
  <si>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</si>
  <si>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</si>
  <si>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</si>
  <si>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</si>
  <si>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</si>
  <si>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</si>
  <si>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</si>
  <si>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</si>
  <si>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</si>
  <si>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</si>
  <si>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</si>
  <si>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</si>
  <si>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</si>
  <si>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</si>
  <si>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</si>
  <si>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</si>
  <si>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</si>
  <si>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</si>
  <si>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</si>
  <si>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</si>
  <si>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</si>
  <si>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</si>
  <si>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</si>
  <si>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</si>
  <si>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</si>
  <si>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</si>
  <si>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</si>
  <si>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</si>
  <si>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</si>
  <si>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</si>
  <si>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</si>
  <si>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</si>
  <si>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</si>
  <si>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</si>
  <si>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</si>
  <si>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</si>
  <si>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</si>
  <si>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</si>
  <si>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</si>
  <si>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</si>
  <si>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</si>
  <si>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</si>
  <si>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</si>
  <si>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</si>
  <si>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</si>
  <si>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</si>
  <si>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</si>
  <si>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</si>
  <si>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</si>
  <si>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</si>
  <si>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</si>
  <si>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</si>
  <si>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</si>
  <si>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</si>
  <si>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</si>
  <si>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</si>
  <si>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</si>
  <si>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</si>
  <si>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</si>
  <si>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</si>
  <si>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</si>
  <si>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</si>
  <si>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</si>
  <si>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</si>
  <si>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</si>
  <si>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</si>
  <si>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</si>
  <si>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</si>
  <si>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</si>
  <si>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</si>
  <si>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</si>
  <si>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</si>
  <si>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</si>
  <si>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</si>
  <si>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</si>
  <si>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</si>
  <si>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</si>
  <si>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</si>
  <si>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</si>
  <si>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</si>
  <si>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</si>
  <si>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</si>
  <si>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</si>
  <si>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</si>
  <si>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</si>
  <si>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</si>
  <si>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</si>
  <si>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</si>
  <si>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</si>
  <si>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</si>
  <si>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</si>
  <si>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</si>
  <si>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</si>
  <si>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</si>
  <si>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</si>
  <si>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</si>
  <si>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</si>
  <si>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</si>
  <si>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</si>
  <si>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</si>
  <si>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</si>
  <si>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</si>
  <si>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</si>
  <si>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</si>
  <si>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</si>
  <si>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</si>
  <si>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</si>
  <si>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</si>
  <si>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</si>
  <si>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</si>
  <si>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</si>
  <si>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</si>
  <si>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</si>
  <si>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</si>
  <si>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</si>
  <si>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</si>
  <si>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</si>
  <si>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</si>
  <si>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</si>
  <si>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</si>
  <si>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</si>
  <si>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</si>
  <si>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</si>
  <si>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</si>
  <si>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</si>
  <si>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</si>
  <si>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</si>
  <si>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</si>
  <si>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</si>
  <si>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</si>
  <si>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</si>
  <si>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</si>
  <si>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</si>
  <si>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</si>
  <si>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</si>
  <si>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</si>
  <si>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</si>
  <si>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</si>
  <si>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</si>
  <si>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</si>
  <si>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</si>
  <si>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</si>
  <si>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</si>
  <si>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</si>
  <si>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</si>
  <si>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</si>
  <si>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</si>
  <si>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</si>
  <si>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</si>
  <si>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</si>
  <si>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</si>
  <si>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</si>
  <si>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</si>
  <si>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</si>
  <si>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</si>
  <si>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</si>
  <si>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</si>
  <si>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</si>
  <si>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</si>
  <si>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</si>
  <si>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</si>
  <si>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</si>
  <si>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</si>
  <si>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</si>
  <si>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</si>
  <si>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</si>
  <si>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</si>
  <si>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</si>
  <si>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</si>
  <si>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</si>
  <si>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</si>
  <si>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</si>
  <si>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</si>
  <si>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</si>
  <si>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</si>
  <si>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</si>
  <si>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</si>
  <si>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</si>
  <si>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</si>
  <si>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</si>
  <si>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</si>
  <si>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</si>
  <si>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</si>
  <si>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</si>
  <si>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</si>
  <si>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</si>
  <si>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</si>
  <si>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</si>
  <si>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</si>
  <si>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</si>
  <si>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</si>
  <si>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</si>
  <si>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</si>
  <si>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</si>
  <si>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</si>
  <si>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</si>
  <si>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</si>
  <si>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</si>
  <si>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</si>
  <si>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</si>
  <si>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</si>
  <si>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</si>
  <si>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</si>
  <si>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</si>
  <si>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</si>
  <si>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</si>
  <si>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</si>
  <si>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</si>
  <si>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</si>
  <si>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</si>
  <si>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</si>
  <si>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</si>
  <si>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</si>
  <si>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</si>
  <si>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</si>
  <si>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</si>
  <si>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</si>
  <si>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</si>
  <si>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</si>
  <si>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</si>
  <si>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</si>
  <si>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</si>
  <si>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</si>
  <si>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</si>
  <si>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</si>
  <si>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</si>
  <si>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</si>
  <si>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</si>
  <si>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</si>
  <si>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</si>
  <si>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</si>
  <si>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</si>
  <si>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</si>
  <si>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</si>
  <si>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</si>
  <si>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</si>
  <si>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</si>
  <si>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</si>
  <si>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</si>
  <si>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</si>
  <si>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</si>
  <si>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</si>
  <si>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</si>
  <si>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</si>
  <si>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</si>
  <si>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</si>
  <si>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</si>
  <si>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</si>
  <si>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</si>
  <si>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</si>
  <si>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</si>
  <si>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</si>
  <si>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</si>
  <si>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</si>
  <si>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</si>
  <si>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</si>
  <si>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</si>
  <si>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</si>
  <si>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</si>
  <si>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</si>
  <si>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</si>
  <si>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</si>
  <si>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</si>
  <si>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</si>
  <si>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</si>
  <si>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</si>
  <si>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</si>
  <si>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</si>
  <si>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</si>
  <si>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</si>
  <si>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</si>
  <si>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</si>
  <si>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</si>
  <si>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</si>
  <si>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</si>
  <si>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</si>
  <si>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</si>
  <si>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</si>
  <si>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</si>
  <si>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</si>
  <si>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</si>
  <si>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</si>
  <si>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</si>
  <si>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</si>
  <si>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</si>
  <si>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</si>
  <si>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</si>
  <si>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</si>
  <si>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</si>
  <si>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</si>
  <si>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</si>
  <si>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</si>
  <si>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</si>
  <si>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</si>
  <si>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</si>
  <si>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</si>
  <si>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</si>
  <si>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</si>
  <si>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</si>
  <si>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</si>
  <si>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</si>
  <si>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</si>
  <si>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</si>
  <si>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</si>
  <si>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</si>
  <si>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</si>
  <si>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</si>
  <si>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</si>
  <si>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</si>
  <si>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</si>
  <si>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</si>
  <si>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</si>
  <si>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</si>
  <si>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</si>
  <si>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</si>
  <si>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</si>
  <si>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</si>
  <si>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</si>
  <si>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</si>
  <si>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</si>
  <si>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</si>
  <si>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</si>
  <si>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</si>
  <si>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</si>
  <si>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</si>
  <si>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</si>
  <si>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</si>
  <si>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</si>
  <si>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</si>
  <si>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</si>
  <si>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</si>
  <si>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</si>
  <si>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</si>
  <si>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</si>
  <si>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</si>
  <si>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</si>
  <si>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</si>
  <si>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</si>
  <si>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</si>
  <si>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</si>
  <si>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</si>
  <si>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</si>
  <si>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</si>
  <si>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</si>
  <si>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</si>
  <si>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</si>
  <si>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</si>
  <si>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</si>
  <si>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</si>
  <si>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</si>
  <si>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</si>
  <si>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</si>
  <si>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</si>
  <si>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</si>
  <si>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</si>
  <si>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</si>
  <si>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</si>
  <si>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</si>
  <si>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</si>
  <si>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</si>
  <si>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</si>
  <si>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</si>
  <si>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</si>
  <si>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</si>
  <si>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</si>
  <si>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</si>
  <si>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</si>
  <si>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</si>
  <si>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</si>
  <si>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</si>
  <si>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</si>
  <si>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</si>
  <si>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</si>
  <si>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</si>
  <si>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</si>
  <si>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</si>
  <si>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</si>
  <si>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</si>
  <si>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</si>
  <si>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</si>
  <si>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</si>
  <si>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</si>
  <si>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</si>
  <si>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</si>
  <si>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</si>
  <si>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</si>
  <si>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</si>
  <si>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</si>
  <si>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</si>
  <si>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</si>
  <si>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</si>
  <si>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</si>
  <si>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</si>
  <si>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</si>
  <si>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</si>
  <si>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</si>
  <si>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</si>
  <si>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</si>
  <si>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</si>
  <si>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</si>
  <si>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</si>
  <si>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</si>
  <si>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</si>
  <si>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</si>
  <si>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</si>
  <si>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</si>
  <si>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</si>
  <si>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</si>
  <si>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</si>
  <si>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</si>
  <si>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</si>
  <si>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</si>
  <si>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</si>
  <si>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</si>
  <si>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</si>
  <si>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</si>
  <si>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</si>
  <si>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</si>
  <si>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</si>
  <si>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</si>
  <si>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</si>
  <si>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</si>
  <si>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</si>
  <si>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</si>
  <si>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</si>
  <si>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</si>
  <si>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</si>
  <si>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</si>
  <si>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</si>
  <si>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</si>
  <si>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</si>
  <si>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</si>
  <si>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</si>
  <si>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</si>
  <si>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</si>
  <si>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</si>
  <si>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</si>
  <si>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</si>
  <si>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</si>
  <si>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</si>
  <si>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</si>
  <si>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</si>
  <si>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</si>
  <si>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</si>
  <si>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</si>
  <si>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</si>
  <si>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</si>
  <si>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</si>
  <si>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</si>
  <si>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</si>
  <si>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</si>
  <si>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</si>
  <si>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</si>
  <si>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</si>
  <si>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</si>
  <si>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</si>
  <si>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</si>
  <si>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</si>
  <si>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</si>
  <si>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</si>
  <si>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</si>
  <si>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</si>
  <si>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</si>
  <si>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</si>
  <si>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</si>
  <si>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</si>
  <si>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</si>
  <si>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</si>
  <si>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</si>
  <si>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</si>
  <si>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</si>
  <si>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</si>
  <si>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</si>
  <si>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</si>
  <si>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</si>
  <si>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</si>
  <si>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</si>
  <si>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</si>
  <si>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</si>
  <si>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</si>
  <si>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</si>
  <si>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</si>
  <si>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</si>
  <si>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</si>
  <si>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</si>
  <si>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</si>
  <si>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</si>
  <si>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</si>
  <si>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</si>
  <si>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</si>
  <si>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</si>
  <si>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</si>
  <si>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</si>
  <si>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</si>
  <si>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</si>
  <si>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</si>
  <si>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</si>
  <si>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</si>
  <si>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</si>
  <si>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</si>
  <si>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</si>
  <si>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</si>
  <si>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</si>
  <si>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</si>
  <si>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</si>
  <si>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</si>
  <si>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</si>
  <si>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</si>
  <si>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</si>
  <si>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</si>
  <si>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</si>
  <si>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</si>
  <si>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</si>
  <si>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</si>
  <si>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</si>
  <si>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</si>
  <si>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</si>
  <si>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</si>
  <si>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</si>
  <si>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</si>
  <si>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</si>
  <si>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</si>
  <si>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</si>
  <si>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</si>
  <si>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</si>
  <si>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</si>
  <si>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</si>
  <si>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</si>
  <si>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</si>
  <si>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</si>
  <si>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</si>
  <si>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</si>
  <si>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</si>
  <si>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</si>
  <si>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</si>
  <si>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</si>
  <si>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</si>
  <si>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</si>
  <si>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</si>
  <si>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</si>
  <si>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</si>
  <si>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</si>
  <si>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</si>
  <si>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</si>
  <si>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</si>
  <si>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</si>
  <si>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</si>
  <si>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</si>
  <si>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</si>
  <si>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</si>
  <si>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</si>
  <si>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</si>
  <si>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</si>
  <si>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</si>
  <si>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</si>
  <si>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</si>
  <si>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</si>
  <si>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</si>
  <si>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</si>
  <si>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</si>
  <si>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</si>
  <si>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</si>
  <si>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</si>
  <si>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</si>
  <si>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</si>
  <si>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</si>
  <si>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</si>
  <si>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</si>
  <si>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</si>
  <si>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</si>
  <si>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</si>
  <si>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</si>
  <si>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</si>
  <si>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</si>
  <si>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</si>
  <si>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</si>
  <si>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</si>
  <si>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</si>
  <si>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</si>
  <si>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</si>
  <si>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</si>
  <si>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</si>
  <si>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</si>
  <si>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</si>
  <si>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</si>
  <si>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</si>
  <si>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</si>
  <si>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</si>
  <si>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</si>
  <si>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</si>
  <si>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</si>
  <si>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</si>
  <si>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</si>
  <si>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</si>
  <si>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</si>
  <si>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</si>
  <si>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</si>
  <si>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</si>
  <si>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</si>
  <si>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</si>
  <si>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</si>
  <si>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</si>
  <si>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</si>
  <si>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</si>
  <si>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</si>
  <si>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</si>
  <si>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</si>
  <si>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</si>
  <si>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</si>
  <si>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</si>
  <si>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</si>
  <si>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</si>
  <si>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</si>
  <si>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</si>
  <si>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</si>
  <si>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</si>
  <si>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</si>
  <si>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</si>
  <si>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</si>
  <si>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</si>
  <si>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</si>
  <si>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</si>
  <si>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</si>
  <si>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</si>
  <si>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</si>
  <si>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</si>
  <si>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</si>
  <si>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</si>
  <si>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</si>
  <si>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</si>
  <si>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</si>
  <si>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</si>
  <si>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</si>
  <si>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</si>
  <si>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</si>
  <si>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</si>
  <si>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</si>
  <si>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</si>
  <si>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</si>
  <si>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</si>
  <si>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</si>
  <si>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</si>
  <si>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</si>
  <si>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</si>
  <si>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</si>
  <si>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</si>
  <si>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</si>
  <si>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</si>
  <si>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</si>
  <si>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</si>
  <si>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</si>
  <si>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</si>
  <si>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</si>
  <si>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</si>
  <si>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</si>
  <si>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</si>
  <si>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</si>
  <si>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</si>
  <si>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</si>
  <si>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</si>
  <si>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</si>
  <si>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</si>
  <si>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</si>
  <si>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</si>
  <si>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</si>
  <si>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</si>
  <si>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</si>
  <si>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</si>
  <si>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</si>
  <si>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</si>
  <si>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</si>
  <si>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</si>
  <si>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</si>
  <si>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</si>
  <si>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</si>
  <si>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</si>
  <si>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</si>
  <si>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</si>
  <si>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</si>
  <si>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</si>
  <si>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</si>
  <si>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</si>
  <si>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</si>
  <si>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</si>
  <si>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</si>
  <si>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</si>
  <si>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</si>
  <si>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</si>
  <si>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</si>
  <si>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</si>
  <si>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</si>
  <si>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</si>
  <si>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</si>
  <si>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</si>
  <si>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</si>
  <si>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</si>
  <si>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</si>
  <si>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</si>
  <si>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</si>
  <si>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</si>
  <si>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</si>
  <si>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</si>
  <si>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</si>
  <si>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</si>
  <si>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</si>
  <si>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</si>
  <si>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</si>
  <si>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</si>
  <si>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</si>
  <si>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</si>
  <si>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</si>
  <si>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</si>
  <si>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</si>
  <si>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</si>
  <si>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</si>
  <si>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</si>
  <si>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</si>
  <si>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</si>
  <si>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</si>
  <si>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</si>
  <si>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</si>
  <si>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</si>
  <si>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</si>
  <si>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</si>
  <si>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</si>
  <si>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</si>
  <si>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</si>
  <si>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</si>
  <si>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</si>
  <si>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</si>
  <si>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</si>
  <si>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</si>
  <si>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</si>
  <si>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</si>
  <si>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</si>
  <si>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</si>
  <si>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</si>
  <si>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</si>
  <si>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</si>
  <si>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</si>
  <si>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</si>
  <si>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</si>
  <si>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</si>
  <si>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</si>
  <si>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</si>
  <si>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</si>
  <si>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</si>
  <si>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</si>
  <si>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</si>
  <si>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</si>
  <si>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</si>
  <si>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</si>
  <si>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</si>
  <si>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</si>
  <si>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</si>
  <si>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</si>
  <si>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</si>
  <si>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</si>
  <si>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</si>
  <si>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</si>
  <si>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</si>
  <si>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</si>
  <si>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</si>
  <si>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</si>
  <si>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</si>
  <si>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</si>
  <si>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</si>
  <si>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</si>
  <si>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</si>
  <si>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</si>
  <si>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</si>
  <si>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</si>
  <si>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</si>
  <si>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</si>
  <si>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</si>
  <si>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</si>
  <si>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</si>
  <si>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</si>
  <si>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</si>
  <si>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</si>
  <si>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</si>
  <si>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</si>
  <si>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</si>
  <si>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</si>
  <si>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</si>
  <si>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</si>
  <si>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</si>
  <si>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</si>
  <si>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</si>
  <si>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</si>
  <si>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</si>
  <si>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</si>
  <si>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</si>
  <si>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</si>
  <si>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</si>
  <si>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</si>
  <si>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</si>
  <si>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</si>
  <si>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</si>
  <si>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</si>
  <si>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</si>
  <si>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</si>
  <si>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</si>
  <si>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</si>
  <si>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</si>
  <si>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</si>
  <si>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</si>
  <si>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</si>
  <si>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</si>
  <si>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</si>
  <si>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</si>
  <si>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</si>
  <si>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</si>
  <si>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</si>
  <si>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</si>
  <si>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</si>
  <si>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</si>
  <si>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</si>
  <si>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</si>
  <si>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</si>
  <si>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</si>
  <si>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</si>
  <si>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</si>
  <si>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</si>
  <si>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</si>
  <si>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</si>
  <si>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</si>
  <si>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</si>
  <si>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</si>
  <si>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</si>
  <si>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</si>
  <si>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</si>
  <si>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</si>
  <si>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</si>
  <si>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</si>
  <si>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</si>
  <si>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</si>
  <si>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</si>
  <si>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</si>
  <si>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</si>
  <si>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</si>
  <si>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</si>
  <si>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</si>
  <si>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</si>
  <si>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</si>
  <si>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</si>
  <si>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</si>
  <si>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</si>
  <si>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</si>
  <si>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</si>
  <si>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</si>
  <si>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</si>
  <si>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</si>
  <si>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</si>
  <si>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</si>
  <si>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</si>
  <si>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</si>
  <si>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</si>
  <si>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</si>
  <si>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</si>
  <si>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</si>
  <si>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</si>
  <si>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</si>
  <si>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</si>
  <si>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</si>
  <si>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</si>
  <si>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</si>
  <si>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</si>
  <si>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</si>
  <si>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</si>
  <si>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</si>
  <si>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</si>
  <si>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</si>
  <si>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</si>
  <si>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</si>
  <si>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</si>
  <si>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</si>
  <si>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</si>
  <si>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</si>
  <si>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</si>
  <si>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</si>
  <si>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</si>
  <si>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</si>
  <si>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</si>
  <si>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</si>
  <si>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</si>
  <si>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</si>
  <si>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</si>
  <si>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</si>
  <si>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</si>
  <si>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</si>
  <si>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</si>
  <si>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</si>
  <si>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</si>
  <si>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</si>
  <si>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</si>
  <si>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</si>
  <si>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</si>
  <si>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</si>
  <si>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</si>
  <si>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</si>
  <si>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</si>
  <si>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</si>
  <si>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</si>
  <si>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</si>
  <si>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</si>
  <si>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</si>
  <si>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</si>
  <si>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</si>
  <si>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</si>
  <si>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</si>
  <si>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</si>
  <si>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</si>
  <si>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</si>
  <si>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</si>
  <si>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</si>
  <si>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</si>
  <si>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</si>
  <si>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</si>
  <si>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</si>
  <si>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</si>
  <si>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</si>
  <si>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</si>
  <si>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</si>
  <si>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</si>
  <si>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</si>
  <si>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</si>
  <si>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</si>
  <si>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</si>
  <si>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</si>
  <si>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</si>
  <si>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</si>
  <si>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</si>
  <si>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</si>
  <si>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</si>
  <si>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</si>
  <si>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</si>
  <si>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</si>
  <si>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</si>
  <si>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</si>
  <si>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</si>
  <si>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</si>
  <si>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</si>
  <si>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</si>
  <si>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</si>
  <si>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</si>
  <si>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</si>
  <si>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</si>
  <si>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</si>
  <si>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</si>
  <si>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</si>
  <si>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</si>
  <si>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</si>
  <si>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</si>
  <si>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</si>
  <si>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</si>
  <si>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</si>
  <si>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</si>
  <si>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</si>
  <si>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</si>
  <si>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</si>
  <si>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</si>
  <si>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</si>
  <si>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</si>
  <si>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</si>
  <si>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</si>
  <si>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</si>
  <si>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</si>
  <si>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</si>
  <si>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</si>
  <si>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</si>
  <si>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</si>
  <si>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</si>
  <si>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</si>
  <si>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</si>
  <si>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</si>
  <si>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</si>
  <si>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</si>
  <si>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</si>
  <si>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</si>
  <si>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</si>
  <si>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</si>
  <si>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</si>
  <si>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</si>
  <si>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</si>
  <si>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</si>
  <si>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</si>
  <si>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</si>
  <si>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</si>
  <si>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</si>
  <si>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</si>
  <si>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</si>
  <si>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</si>
  <si>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</si>
  <si>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</si>
  <si>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</si>
  <si>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</si>
  <si>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</si>
  <si>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</si>
  <si>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</si>
  <si>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</si>
  <si>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</si>
  <si>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</si>
  <si>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</si>
  <si>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</si>
  <si>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</si>
  <si>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</si>
  <si>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</si>
  <si>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</si>
  <si>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</si>
  <si>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</si>
  <si>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</si>
  <si>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</si>
  <si>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</si>
  <si>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</si>
  <si>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</si>
  <si>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</si>
  <si>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</si>
  <si>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</si>
  <si>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</si>
  <si>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</si>
  <si>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</si>
  <si>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</si>
  <si>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</si>
  <si>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</si>
  <si>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</si>
  <si>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</si>
  <si>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</si>
  <si>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</si>
  <si>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</si>
  <si>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</si>
  <si>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</si>
  <si>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</si>
  <si>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</si>
  <si>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</si>
  <si>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</si>
  <si>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</si>
  <si>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</si>
  <si>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</si>
  <si>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</si>
  <si>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</si>
  <si>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</si>
  <si>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</si>
  <si>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</si>
  <si>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</si>
  <si>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</si>
  <si>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</si>
  <si>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</si>
  <si>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</si>
  <si>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</si>
  <si>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</si>
  <si>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</si>
  <si>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</si>
  <si>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</si>
  <si>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</si>
  <si>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</si>
  <si>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</si>
  <si>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</si>
  <si>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</si>
  <si>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</si>
  <si>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</si>
  <si>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</si>
  <si>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</si>
  <si>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</si>
  <si>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</si>
  <si>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</si>
  <si>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</si>
  <si>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</si>
  <si>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</si>
  <si>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</si>
  <si>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</si>
  <si>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</si>
  <si>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</si>
  <si>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</si>
  <si>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</si>
  <si>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</si>
  <si>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</si>
  <si>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</si>
  <si>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</si>
  <si>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</si>
  <si>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</si>
  <si>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</si>
  <si>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</si>
  <si>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</si>
  <si>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</si>
  <si>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</si>
  <si>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</si>
  <si>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</si>
  <si>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</si>
  <si>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</si>
  <si>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</si>
  <si>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</si>
  <si>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</si>
  <si>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</si>
  <si>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</si>
  <si>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</si>
  <si>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</si>
  <si>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</si>
  <si>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</si>
  <si>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</si>
  <si>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</si>
  <si>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</si>
  <si>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</si>
  <si>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</si>
  <si>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</si>
  <si>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</si>
  <si>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</si>
  <si>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</si>
  <si>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</si>
  <si>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</si>
  <si>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</si>
  <si>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</si>
  <si>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</si>
  <si>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</si>
  <si>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</si>
  <si>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</si>
  <si>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</si>
  <si>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</si>
  <si>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</si>
  <si>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</si>
  <si>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</si>
  <si>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</si>
  <si>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</si>
  <si>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</si>
  <si>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</si>
  <si>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</si>
  <si>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</si>
  <si>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</si>
  <si>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</si>
  <si>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</si>
  <si>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</si>
  <si>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</si>
  <si>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</si>
  <si>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</si>
  <si>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</si>
  <si>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</si>
  <si>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</si>
  <si>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</si>
  <si>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</si>
  <si>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</si>
  <si>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</si>
  <si>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</si>
  <si>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</si>
  <si>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</si>
  <si>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</si>
  <si>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</si>
  <si>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</si>
  <si>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</si>
  <si>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</si>
  <si>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</si>
  <si>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</si>
  <si>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</si>
  <si>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</si>
  <si>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</si>
  <si>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</si>
  <si>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</si>
  <si>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</si>
  <si>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</si>
  <si>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</si>
  <si>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</si>
  <si>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</si>
  <si>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</si>
  <si>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</si>
  <si>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</si>
  <si>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</si>
  <si>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</si>
  <si>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</si>
  <si>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</si>
  <si>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</si>
  <si>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</si>
  <si>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</si>
  <si>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</si>
  <si>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</si>
  <si>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</si>
  <si>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</si>
  <si>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</si>
  <si>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</si>
  <si>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</si>
  <si>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</si>
  <si>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</si>
  <si>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</si>
  <si>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</si>
  <si>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</si>
  <si>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</si>
  <si>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</si>
  <si>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</si>
  <si>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</si>
  <si>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</si>
  <si>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</si>
  <si>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</si>
  <si>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</si>
  <si>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</si>
  <si>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</si>
  <si>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</si>
  <si>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</si>
  <si>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</si>
  <si>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</si>
  <si>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</si>
  <si>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</si>
  <si>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</si>
  <si>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</si>
  <si>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</si>
  <si>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</si>
  <si>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</si>
  <si>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</si>
  <si>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</si>
  <si>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</si>
  <si>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</si>
  <si>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</si>
  <si>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</si>
  <si>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</si>
  <si>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</si>
  <si>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</si>
  <si>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</si>
  <si>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</si>
  <si>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</si>
  <si>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</si>
  <si>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</si>
  <si>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</si>
  <si>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</si>
  <si>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</si>
  <si>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</si>
  <si>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</si>
  <si>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</si>
  <si>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</si>
  <si>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</si>
  <si>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</si>
  <si>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</si>
  <si>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</si>
  <si>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</si>
  <si>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</si>
  <si>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</si>
  <si>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</si>
  <si>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</si>
  <si>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</si>
  <si>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</si>
  <si>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</si>
  <si>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</si>
  <si>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</si>
  <si>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</si>
  <si>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</si>
  <si>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</si>
  <si>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</si>
  <si>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</si>
  <si>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</si>
  <si>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</si>
  <si>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</si>
  <si>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</si>
  <si>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</si>
  <si>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</si>
  <si>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</si>
  <si>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</si>
  <si>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</si>
  <si>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</si>
  <si>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</si>
  <si>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</si>
  <si>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</si>
  <si>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</si>
  <si>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</si>
  <si>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</si>
  <si>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</si>
  <si>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</si>
  <si>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</si>
  <si>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</si>
  <si>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</si>
  <si>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</si>
  <si>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</si>
  <si>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</si>
  <si>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</si>
  <si>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</si>
  <si>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</si>
  <si>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</si>
  <si>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</si>
  <si>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</si>
  <si>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</si>
  <si>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</si>
  <si>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</si>
  <si>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</si>
  <si>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</si>
  <si>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</si>
  <si>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</si>
  <si>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</si>
  <si>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</si>
  <si>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</si>
  <si>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</si>
  <si>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</si>
  <si>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</si>
  <si>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</si>
  <si>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</si>
  <si>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</si>
  <si>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</si>
  <si>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</si>
  <si>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</si>
  <si>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</si>
  <si>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</si>
  <si>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</si>
  <si>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</si>
  <si>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</si>
  <si>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</si>
  <si>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</si>
  <si>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</si>
  <si>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</si>
  <si>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</si>
  <si>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</si>
  <si>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</si>
  <si>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</si>
  <si>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</si>
  <si>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</si>
  <si>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</si>
  <si>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</si>
  <si>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</si>
  <si>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</si>
  <si>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</si>
  <si>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</si>
  <si>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</si>
  <si>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</si>
  <si>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</si>
  <si>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</si>
  <si>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</si>
  <si>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</si>
  <si>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</si>
  <si>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</si>
  <si>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</si>
  <si>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</si>
  <si>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</si>
  <si>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</si>
  <si>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</si>
  <si>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</si>
  <si>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</si>
  <si>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</si>
  <si>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</si>
  <si>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</si>
  <si>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</si>
  <si>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</si>
  <si>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</si>
  <si>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</si>
  <si>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</si>
  <si>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</si>
  <si>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</si>
  <si>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</si>
  <si>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</si>
  <si>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</si>
  <si>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</si>
  <si>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</si>
  <si>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</si>
  <si>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</si>
  <si>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</si>
  <si>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</si>
  <si>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</si>
  <si>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</si>
  <si>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</si>
  <si>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</si>
  <si>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</si>
  <si>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</si>
  <si>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</si>
  <si>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</si>
  <si>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</si>
  <si>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</si>
  <si>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</si>
  <si>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</si>
  <si>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</si>
  <si>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</si>
  <si>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</si>
  <si>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</si>
  <si>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</si>
  <si>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</si>
  <si>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</si>
  <si>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</si>
  <si>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</si>
  <si>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</si>
  <si>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</si>
  <si>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</si>
  <si>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</si>
  <si>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</si>
  <si>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</si>
  <si>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</si>
  <si>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</si>
  <si>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</si>
  <si>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</si>
  <si>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</si>
  <si>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</si>
  <si>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</si>
  <si>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</si>
  <si>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</si>
  <si>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</si>
  <si>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</si>
  <si>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</si>
  <si>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</si>
  <si>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</si>
  <si>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</si>
  <si>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</si>
  <si>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</si>
  <si>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</si>
  <si>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</si>
  <si>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</si>
  <si>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</si>
  <si>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</si>
  <si>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</si>
  <si>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</si>
  <si>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</si>
  <si>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</si>
  <si>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</si>
  <si>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</si>
  <si>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</si>
  <si>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</si>
  <si>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</si>
  <si>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</si>
  <si>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</si>
  <si>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</si>
  <si>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</si>
  <si>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</si>
  <si>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</si>
  <si>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</si>
  <si>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</si>
  <si>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</si>
  <si>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</si>
  <si>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</si>
  <si>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</si>
  <si>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</si>
  <si>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</si>
  <si>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</si>
  <si>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</si>
  <si>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</si>
  <si>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</si>
  <si>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</si>
  <si>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</si>
  <si>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</si>
  <si>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</si>
  <si>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</si>
  <si>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</si>
  <si>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</si>
  <si>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</si>
  <si>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</si>
  <si>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</si>
  <si>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</si>
  <si>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</si>
  <si>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</si>
  <si>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</si>
  <si>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</si>
  <si>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</si>
  <si>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</si>
  <si>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</si>
  <si>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</si>
  <si>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</si>
  <si>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</si>
  <si>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</si>
  <si>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</si>
  <si>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</si>
  <si>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</si>
  <si>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</si>
  <si>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</si>
  <si>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</si>
  <si>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</si>
  <si>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</si>
  <si>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</si>
  <si>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</si>
  <si>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</si>
  <si>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</si>
  <si>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</si>
  <si>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</si>
  <si>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</si>
  <si>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</si>
  <si>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</si>
  <si>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</si>
  <si>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</si>
  <si>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</si>
  <si>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</si>
  <si>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</si>
  <si>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</si>
  <si>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</si>
  <si>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</si>
  <si>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</si>
  <si>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</si>
  <si>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</si>
  <si>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</si>
  <si>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</si>
  <si>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</si>
  <si>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</si>
  <si>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</si>
  <si>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</si>
  <si>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</si>
  <si>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</si>
  <si>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</si>
  <si>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</si>
  <si>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</si>
  <si>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</si>
  <si>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</si>
  <si>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</si>
  <si>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</si>
  <si>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</si>
  <si>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</si>
  <si>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</si>
  <si>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</si>
  <si>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</si>
  <si>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</si>
  <si>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</si>
  <si>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</si>
  <si>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</si>
  <si>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</si>
  <si>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</si>
  <si>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</si>
  <si>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</si>
  <si>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</si>
  <si>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</si>
  <si>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</si>
  <si>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</si>
  <si>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</si>
  <si>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</si>
  <si>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</si>
  <si>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</si>
  <si>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</si>
  <si>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</si>
  <si>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</si>
  <si>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</si>
  <si>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</si>
  <si>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</si>
  <si>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</si>
  <si>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</si>
  <si>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</si>
  <si>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</si>
  <si>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</si>
  <si>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</si>
  <si>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</si>
  <si>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</si>
  <si>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</si>
  <si>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</si>
  <si>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</si>
  <si>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</si>
  <si>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</si>
  <si>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</si>
  <si>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</si>
  <si>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</si>
  <si>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</si>
  <si>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</si>
  <si>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</si>
  <si>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</si>
  <si>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</si>
  <si>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</si>
  <si>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</si>
  <si>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</si>
  <si>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</si>
  <si>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</si>
  <si>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</si>
  <si>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</si>
  <si>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</si>
  <si>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</si>
  <si>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</si>
  <si>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</si>
  <si>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</si>
  <si>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</si>
  <si>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</si>
  <si>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</si>
  <si>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</si>
  <si>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</si>
  <si>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</si>
  <si>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</si>
  <si>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</si>
  <si>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</si>
  <si>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</si>
  <si>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</si>
  <si>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</si>
  <si>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</si>
  <si>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</si>
  <si>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</si>
  <si>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</si>
  <si>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</si>
  <si>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</si>
  <si>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</si>
  <si>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</si>
  <si>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</si>
  <si>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</si>
  <si>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</si>
  <si>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</si>
  <si>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</si>
  <si>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</si>
  <si>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</si>
  <si>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</si>
  <si>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</si>
  <si>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</si>
  <si>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</si>
  <si>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</si>
  <si>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</si>
  <si>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</si>
  <si>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</si>
  <si>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</si>
  <si>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</si>
  <si>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</si>
  <si>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</si>
  <si>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</si>
  <si>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</si>
  <si>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</si>
  <si>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</si>
  <si>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</si>
  <si>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</si>
  <si>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</si>
  <si>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</si>
  <si>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</si>
  <si>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</si>
  <si>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</si>
  <si>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</si>
  <si>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</si>
  <si>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</si>
  <si>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</si>
  <si>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</si>
  <si>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</si>
  <si>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</si>
  <si>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</si>
  <si>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</si>
  <si>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</si>
  <si>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</si>
  <si>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</si>
  <si>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</si>
  <si>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</si>
  <si>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</si>
  <si>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</si>
  <si>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</si>
  <si>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</si>
  <si>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</si>
  <si>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</si>
  <si>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</si>
  <si>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</si>
  <si>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</si>
  <si>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</si>
  <si>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</si>
  <si>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</si>
  <si>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</si>
  <si>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</si>
  <si>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</si>
  <si>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</si>
  <si>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</si>
  <si>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</si>
  <si>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</si>
  <si>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</si>
  <si>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</si>
  <si>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</si>
  <si>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</si>
  <si>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</si>
  <si>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</si>
  <si>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</si>
  <si>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</si>
  <si>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</si>
  <si>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</si>
  <si>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</si>
  <si>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</si>
  <si>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</si>
  <si>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</si>
  <si>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</si>
  <si>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</si>
  <si>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</si>
  <si>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</si>
  <si>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</si>
  <si>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</si>
  <si>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</si>
  <si>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</si>
  <si>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</si>
  <si>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</si>
  <si>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</si>
  <si>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</si>
  <si>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</si>
  <si>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</si>
  <si>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</si>
  <si>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</si>
  <si>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</si>
  <si>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</si>
  <si>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</si>
  <si>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</si>
  <si>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</si>
  <si>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</si>
  <si>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</si>
  <si>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</si>
  <si>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</si>
  <si>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</si>
  <si>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</si>
  <si>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</si>
  <si>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</si>
  <si>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</si>
  <si>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</si>
  <si>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</si>
  <si>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</si>
  <si>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</si>
  <si>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</si>
  <si>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</si>
  <si>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</si>
  <si>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</si>
  <si>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</si>
  <si>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</si>
  <si>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</si>
  <si>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</si>
  <si>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</si>
  <si>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</si>
  <si>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</si>
  <si>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</si>
  <si>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</si>
  <si>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</si>
  <si>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</si>
  <si>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</si>
  <si>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</si>
  <si>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</si>
  <si>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</si>
  <si>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</si>
  <si>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</si>
  <si>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</si>
  <si>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</si>
  <si>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</si>
  <si>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</si>
  <si>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</si>
  <si>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</si>
  <si>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</si>
  <si>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</si>
  <si>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</si>
  <si>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</si>
  <si>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</si>
  <si>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</si>
  <si>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</si>
  <si>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</si>
  <si>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</si>
  <si>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</si>
  <si>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</si>
  <si>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</si>
  <si>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</si>
  <si>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</si>
  <si>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</si>
  <si>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</si>
  <si>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</si>
  <si>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</si>
  <si>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</si>
  <si>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</si>
  <si>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</si>
  <si>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</si>
  <si>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</si>
  <si>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</si>
  <si>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</si>
  <si>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</si>
  <si>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</si>
  <si>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</si>
  <si>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</si>
  <si>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</si>
  <si>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</si>
  <si>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</si>
  <si>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</si>
  <si>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</si>
  <si>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</si>
  <si>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</si>
  <si>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</si>
  <si>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</si>
  <si>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</si>
  <si>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</si>
  <si>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</si>
  <si>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</si>
  <si>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</si>
  <si>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</si>
  <si>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</si>
  <si>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</si>
  <si>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</si>
  <si>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</si>
  <si>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</si>
  <si>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</si>
  <si>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</si>
  <si>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</si>
  <si>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</si>
  <si>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</si>
  <si>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</si>
  <si>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</si>
  <si>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</si>
  <si>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</si>
  <si>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</si>
  <si>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</si>
  <si>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</si>
  <si>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</si>
  <si>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</si>
  <si>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</si>
  <si>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</si>
  <si>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</si>
  <si>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</si>
  <si>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</si>
  <si>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</si>
  <si>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</si>
  <si>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</si>
  <si>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</si>
  <si>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</si>
  <si>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</si>
  <si>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</si>
  <si>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</si>
  <si>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</si>
  <si>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</si>
  <si>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</si>
  <si>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</si>
  <si>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</si>
  <si>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</si>
  <si>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</si>
  <si>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</si>
  <si>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</si>
  <si>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</si>
  <si>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</si>
  <si>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</si>
  <si>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</si>
  <si>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</si>
  <si>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</si>
  <si>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</si>
  <si>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</si>
  <si>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</si>
  <si>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</si>
  <si>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</si>
  <si>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</si>
  <si>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</si>
  <si>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</si>
  <si>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</si>
  <si>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</si>
  <si>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</si>
  <si>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</si>
  <si>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</si>
  <si>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</si>
  <si>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</si>
  <si>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</si>
  <si>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</si>
  <si>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</si>
  <si>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</si>
  <si>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</si>
  <si>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</si>
  <si>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</si>
  <si>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</si>
  <si>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</si>
  <si>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</si>
  <si>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</si>
  <si>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</si>
  <si>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</si>
  <si>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</si>
  <si>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</si>
  <si>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</si>
  <si>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</si>
  <si>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</si>
  <si>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</si>
  <si>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</si>
  <si>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</si>
  <si>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</si>
  <si>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</si>
  <si>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</si>
  <si>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</si>
  <si>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</si>
  <si>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</si>
  <si>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</si>
  <si>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</si>
  <si>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</si>
  <si>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</si>
  <si>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</si>
  <si>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</si>
  <si>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</si>
  <si>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</si>
  <si>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</si>
  <si>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</si>
  <si>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</si>
  <si>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</si>
  <si>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</si>
  <si>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</si>
  <si>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</si>
  <si>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</si>
  <si>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</si>
  <si>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</si>
  <si>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</si>
  <si>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</si>
  <si>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</si>
  <si>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</si>
  <si>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</si>
  <si>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</si>
  <si>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</si>
  <si>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</si>
  <si>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</si>
  <si>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</si>
  <si>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</si>
  <si>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</si>
  <si>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</si>
  <si>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</si>
  <si>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</si>
  <si>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</si>
  <si>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</si>
  <si>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</si>
  <si>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</si>
  <si>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</si>
  <si>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</si>
  <si>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</si>
  <si>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</si>
  <si>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</si>
  <si>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</si>
  <si>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</si>
  <si>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</si>
  <si>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</si>
  <si>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</si>
  <si>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</si>
  <si>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</si>
  <si>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</si>
  <si>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</si>
  <si>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</si>
  <si>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</si>
  <si>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</si>
  <si>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</si>
  <si>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</si>
  <si>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</si>
  <si>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</si>
  <si>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</si>
  <si>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</si>
  <si>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</si>
  <si>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</si>
  <si>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</si>
  <si>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</si>
  <si>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</si>
  <si>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</si>
  <si>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</si>
  <si>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</si>
  <si>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</si>
  <si>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</si>
  <si>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</si>
  <si>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</si>
  <si>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</si>
  <si>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</si>
  <si>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</si>
  <si>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</si>
  <si>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</si>
  <si>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</si>
  <si>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</si>
  <si>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</si>
  <si>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</si>
  <si>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</si>
  <si>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</si>
  <si>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</si>
  <si>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</si>
  <si>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</si>
  <si>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</si>
  <si>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</si>
  <si>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</si>
  <si>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</si>
  <si>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</si>
  <si>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</si>
  <si>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</si>
  <si>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</si>
  <si>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</si>
  <si>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</si>
  <si>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</si>
  <si>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</si>
  <si>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</si>
  <si>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</si>
  <si>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</si>
  <si>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</si>
  <si>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</si>
  <si>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</si>
  <si>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</si>
  <si>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</si>
  <si>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</si>
  <si>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</si>
  <si>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</si>
  <si>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</si>
  <si>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</si>
  <si>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</si>
  <si>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</si>
  <si>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</si>
  <si>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</si>
  <si>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</si>
  <si>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</si>
  <si>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</si>
  <si>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</si>
  <si>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</si>
  <si>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</si>
  <si>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</si>
  <si>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</si>
  <si>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</si>
  <si>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</si>
  <si>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</si>
  <si>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</si>
  <si>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</si>
  <si>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</si>
  <si>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</si>
  <si>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</si>
  <si>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</si>
  <si>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</si>
  <si>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</si>
  <si>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</si>
  <si>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</si>
  <si>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</si>
  <si>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</si>
  <si>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</si>
  <si>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</si>
  <si>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</si>
  <si>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</si>
  <si>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</si>
  <si>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</si>
  <si>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</si>
  <si>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</si>
  <si>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</si>
  <si>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</si>
  <si>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</si>
  <si>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</si>
  <si>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</si>
  <si>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</si>
  <si>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</si>
  <si>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</si>
  <si>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</si>
  <si>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</si>
  <si>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</si>
  <si>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</si>
  <si>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</si>
  <si>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</si>
  <si>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</si>
  <si>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</si>
  <si>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</si>
  <si>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</si>
  <si>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</si>
  <si>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</si>
  <si>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</si>
  <si>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</si>
  <si>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</si>
  <si>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</si>
  <si>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</si>
  <si>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</si>
  <si>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</si>
  <si>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</si>
  <si>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</si>
  <si>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</si>
  <si>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</si>
  <si>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</si>
  <si>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</si>
  <si>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</si>
  <si>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</si>
  <si>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</si>
  <si>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</si>
  <si>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</si>
  <si>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</si>
  <si>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</si>
  <si>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</si>
  <si>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</si>
  <si>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</si>
  <si>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</si>
  <si>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</si>
  <si>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</si>
  <si>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</si>
  <si>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</si>
  <si>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</si>
  <si>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</si>
  <si>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</si>
  <si>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</si>
  <si>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</si>
  <si>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</si>
  <si>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</si>
  <si>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</si>
  <si>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</si>
  <si>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</si>
  <si>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</si>
  <si>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</si>
  <si>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</si>
  <si>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</si>
  <si>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</si>
  <si>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</si>
  <si>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</si>
  <si>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</si>
  <si>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</si>
  <si>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</si>
  <si>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</si>
  <si>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</si>
  <si>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</si>
  <si>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</si>
  <si>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</si>
  <si>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</si>
  <si>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</si>
  <si>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</si>
  <si>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</si>
  <si>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</si>
  <si>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</si>
  <si>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</si>
  <si>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</si>
  <si>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</si>
  <si>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</si>
  <si>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</si>
  <si>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</si>
  <si>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</si>
  <si>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</si>
  <si>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</si>
  <si>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</si>
  <si>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</si>
  <si>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</si>
  <si>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</si>
  <si>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</si>
  <si>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</si>
  <si>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</si>
  <si>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</si>
  <si>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</si>
  <si>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</si>
  <si>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</si>
  <si>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</si>
  <si>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</si>
  <si>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</si>
  <si>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</si>
  <si>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</si>
  <si>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</si>
  <si>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</si>
  <si>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</si>
  <si>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</si>
  <si>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</si>
  <si>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</si>
  <si>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</si>
  <si>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</si>
  <si>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</si>
  <si>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</si>
  <si>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</si>
  <si>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</si>
  <si>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</si>
  <si>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</si>
  <si>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</si>
  <si>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</si>
  <si>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</si>
  <si>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</si>
  <si>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</si>
  <si>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</si>
  <si>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</si>
  <si>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</si>
  <si>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</si>
  <si>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</si>
  <si>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</si>
  <si>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</si>
  <si>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</si>
  <si>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</si>
  <si>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</si>
  <si>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</si>
  <si>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</si>
  <si>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</si>
  <si>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</si>
  <si>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</si>
  <si>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</si>
  <si>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</si>
  <si>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</si>
  <si>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</si>
  <si>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</si>
  <si>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</si>
  <si>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</si>
  <si>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</si>
  <si>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</si>
  <si>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</si>
  <si>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</si>
  <si>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</si>
  <si>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</si>
  <si>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</si>
  <si>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</si>
  <si>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</si>
  <si>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</si>
  <si>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</si>
  <si>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</si>
  <si>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</si>
  <si>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</si>
  <si>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</si>
  <si>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</si>
  <si>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</si>
  <si>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</si>
  <si>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</si>
  <si>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</si>
  <si>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</si>
  <si>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</si>
  <si>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</si>
  <si>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</si>
  <si>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</si>
  <si>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</si>
  <si>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</si>
  <si>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</si>
  <si>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</si>
  <si>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</si>
  <si>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</si>
  <si>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</si>
  <si>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</si>
  <si>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</si>
  <si>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</si>
  <si>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</si>
  <si>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</si>
  <si>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</si>
  <si>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</si>
  <si>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</si>
  <si>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</si>
  <si>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</si>
  <si>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</si>
  <si>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</si>
  <si>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</si>
  <si>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</si>
  <si>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</si>
  <si>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</si>
  <si>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</si>
  <si>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</si>
  <si>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</si>
  <si>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</si>
  <si>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</si>
  <si>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</si>
  <si>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</si>
  <si>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</si>
  <si>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</si>
  <si>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</si>
  <si>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</si>
  <si>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</si>
  <si>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</si>
  <si>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</si>
  <si>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</si>
  <si>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</si>
  <si>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</si>
  <si>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</si>
  <si>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</si>
  <si>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</si>
  <si>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</si>
  <si>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</si>
  <si>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</si>
  <si>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</si>
  <si>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</si>
  <si>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</si>
  <si>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</si>
  <si>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</si>
  <si>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</si>
  <si>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</si>
  <si>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</si>
  <si>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</si>
  <si>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</si>
  <si>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</si>
  <si>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</si>
  <si>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</si>
  <si>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</si>
  <si>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</si>
  <si>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</si>
  <si>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</si>
  <si>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</si>
  <si>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</si>
  <si>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</si>
  <si>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</si>
  <si>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</si>
  <si>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</si>
  <si>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</si>
  <si>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</si>
  <si>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</si>
  <si>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</si>
  <si>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</si>
  <si>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</si>
  <si>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</si>
  <si>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</si>
  <si>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</si>
  <si>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</si>
  <si>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</si>
  <si>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</si>
  <si>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</si>
  <si>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</si>
  <si>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</si>
  <si>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</si>
  <si>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</si>
  <si>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</si>
  <si>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</si>
  <si>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</si>
  <si>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</si>
  <si>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</si>
  <si>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</si>
  <si>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</si>
  <si>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</si>
  <si>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</si>
  <si>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</si>
  <si>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</si>
  <si>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</si>
  <si>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</si>
  <si>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</si>
  <si>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</si>
  <si>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</si>
  <si>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</si>
  <si>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</si>
  <si>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</si>
  <si>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</si>
  <si>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</si>
  <si>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</si>
  <si>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</si>
  <si>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</si>
  <si>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</si>
  <si>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</si>
  <si>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</si>
  <si>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</si>
  <si>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</si>
  <si>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</si>
  <si>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</si>
  <si>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</si>
  <si>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</si>
  <si>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</si>
  <si>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</si>
  <si>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</si>
  <si>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</si>
  <si>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</si>
  <si>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</si>
  <si>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</si>
  <si>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</si>
  <si>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</si>
  <si>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</si>
  <si>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</si>
  <si>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</si>
  <si>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</si>
  <si>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</si>
  <si>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</si>
  <si>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</si>
  <si>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</si>
  <si>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</si>
  <si>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</si>
  <si>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</si>
  <si>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</si>
  <si>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</si>
  <si>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</si>
  <si>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</si>
  <si>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</si>
  <si>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</si>
  <si>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</si>
  <si>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</si>
  <si>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</si>
  <si>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</si>
  <si>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</si>
  <si>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</si>
  <si>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</si>
  <si>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</si>
  <si>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</si>
  <si>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</si>
  <si>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</si>
  <si>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</si>
  <si>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</si>
  <si>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</si>
  <si>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</si>
  <si>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</si>
  <si>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</si>
  <si>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</si>
  <si>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</si>
  <si>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</si>
  <si>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</si>
  <si>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</si>
  <si>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</si>
  <si>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</si>
  <si>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</si>
  <si>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</si>
  <si>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</si>
  <si>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</si>
  <si>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</si>
  <si>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</si>
  <si>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</si>
  <si>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</si>
  <si>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</si>
  <si>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</si>
  <si>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是</t>
  </si>
  <si>
    <t>地上</t>
  </si>
  <si>
    <t>住宅</t>
  </si>
  <si>
    <t>平层住宅</t>
  </si>
  <si>
    <t>住宅</t>
    <phoneticPr fontId="7" type="noConversion"/>
  </si>
  <si>
    <t>利息：取LPR加浮动点数</t>
  </si>
  <si>
    <t>成新度</t>
  </si>
  <si>
    <t>正常</t>
  </si>
  <si>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</si>
  <si>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</si>
  <si>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</si>
  <si>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</si>
  <si>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</si>
  <si>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</si>
  <si>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</si>
  <si>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</si>
  <si>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</si>
  <si>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</si>
  <si>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</si>
  <si>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</si>
  <si>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</si>
  <si>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</si>
  <si>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</si>
  <si>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</si>
  <si>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</si>
  <si>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</si>
  <si>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</si>
  <si>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</si>
  <si>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</si>
  <si>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</si>
  <si>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</si>
  <si>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</si>
  <si>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</si>
  <si>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</si>
  <si>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</si>
  <si>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</si>
  <si>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</si>
  <si>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</si>
  <si>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</si>
  <si>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</si>
  <si>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</si>
  <si>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</si>
  <si>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</si>
  <si>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</si>
  <si>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</si>
  <si>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</si>
  <si>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</si>
  <si>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</si>
  <si>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</si>
  <si>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</si>
  <si>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</si>
  <si>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</si>
  <si>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</si>
  <si>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百合路与金源路交叉口西北角    </t>
  </si>
  <si>
    <t>ZMDG-2021-14</t>
  </si>
  <si>
    <t>驻马店市</t>
  </si>
  <si>
    <t xml:space="preserve">       驿城区</t>
  </si>
  <si>
    <t xml:space="preserve">       练红河板块</t>
  </si>
  <si>
    <t xml:space="preserve">       百合路与金源路交叉口西北角</t>
  </si>
  <si>
    <t xml:space="preserve">       住宅用地</t>
  </si>
  <si>
    <t xml:space="preserve">       大于或等于1.6并且小于或等于3</t>
  </si>
  <si>
    <t xml:space="preserve">       拍卖</t>
  </si>
  <si>
    <t xml:space="preserve">       城镇住宅-普通商品住房用地</t>
  </si>
  <si>
    <t xml:space="preserve">--       </t>
  </si>
  <si>
    <t xml:space="preserve">     --  </t>
  </si>
  <si>
    <t xml:space="preserve">       小于或等于28</t>
  </si>
  <si>
    <t xml:space="preserve">       --</t>
  </si>
  <si>
    <t xml:space="preserve">       驻自然资出让告字[2021]49号</t>
  </si>
  <si>
    <t xml:space="preserve">       已成交</t>
  </si>
  <si>
    <t xml:space="preserve">  驻马店昌建源泰置业有限公司      </t>
  </si>
  <si>
    <t xml:space="preserve">       70年</t>
  </si>
  <si>
    <t xml:space="preserve">      -- </t>
  </si>
  <si>
    <t xml:space="preserve">规划五支路与规划三支路交叉口东南侧    </t>
  </si>
  <si>
    <t>ZMDG-2021-04</t>
  </si>
  <si>
    <t xml:space="preserve">       中心板块</t>
  </si>
  <si>
    <t xml:space="preserve">       规划五支路与规划三支路交叉口东南侧</t>
  </si>
  <si>
    <t xml:space="preserve">       大于或等于1.4并且小于或等于2.6</t>
  </si>
  <si>
    <t xml:space="preserve">       小于或等于22</t>
  </si>
  <si>
    <t xml:space="preserve">  驻马店市泰通房地产开发有限公司      </t>
  </si>
  <si>
    <t xml:space="preserve">驿城大道与福宁路交叉口东北侧    </t>
  </si>
  <si>
    <t>ZMDY-2021-24号</t>
  </si>
  <si>
    <t xml:space="preserve">       北区板块</t>
  </si>
  <si>
    <t xml:space="preserve">       驿城大道与福宁路交叉口东北侧</t>
  </si>
  <si>
    <t xml:space="preserve">       大于或等于1并且小于或等于2</t>
  </si>
  <si>
    <t xml:space="preserve">       小于或等于35</t>
  </si>
  <si>
    <t xml:space="preserve">       等于24</t>
  </si>
  <si>
    <t xml:space="preserve">       驻自然资出让告字[2021]45号</t>
  </si>
  <si>
    <t xml:space="preserve">  驻马店市驿城区老街街道办事处      </t>
  </si>
  <si>
    <t xml:space="preserve">白云山大道与文渊路交叉口西南侧    </t>
  </si>
  <si>
    <t>ZMDSF-2021-09</t>
  </si>
  <si>
    <t xml:space="preserve">       高铁板块</t>
  </si>
  <si>
    <t xml:space="preserve">       白云山大道与文渊路交叉口西南侧</t>
  </si>
  <si>
    <t xml:space="preserve">       大于或等于1.8并且小于或等于2.4</t>
  </si>
  <si>
    <t xml:space="preserve">       小于或等于60</t>
  </si>
  <si>
    <t xml:space="preserve">       驻自然资出让告字[2021]42号</t>
  </si>
  <si>
    <t xml:space="preserve">  驻马店示范基础建设有限公司      </t>
  </si>
  <si>
    <t xml:space="preserve">       驻马店示范基础建设有限公司</t>
  </si>
  <si>
    <t xml:space="preserve">雪松大道与塘坊路交叉口西南角    </t>
  </si>
  <si>
    <t>ZMDY-2020-53号</t>
  </si>
  <si>
    <t xml:space="preserve">       西区板块</t>
  </si>
  <si>
    <t xml:space="preserve">       雪松大道与塘坊路交叉口西南角</t>
  </si>
  <si>
    <t xml:space="preserve">       等于2.567</t>
  </si>
  <si>
    <t xml:space="preserve">       等于51.96</t>
  </si>
  <si>
    <t xml:space="preserve">       驻自然资出让告字[2021]27号</t>
  </si>
  <si>
    <t xml:space="preserve">  驻马店市永达阳光房地产开发有限公司      </t>
  </si>
  <si>
    <t xml:space="preserve">天中山大道与练江大道交叉口东南侧    </t>
  </si>
  <si>
    <t>ZMDY-2019-41号</t>
  </si>
  <si>
    <t xml:space="preserve">       天中山大道与练江大道交叉口东南侧</t>
  </si>
  <si>
    <t xml:space="preserve">       等于3.499</t>
  </si>
  <si>
    <t xml:space="preserve">       小于或等于43.24</t>
  </si>
  <si>
    <t xml:space="preserve">       驻自然资出让告字[2021]41号</t>
  </si>
  <si>
    <t xml:space="preserve">  驻马店市中业房地产开发有限公司      </t>
  </si>
  <si>
    <t xml:space="preserve">白云山大道与交通路交叉口东北角    </t>
  </si>
  <si>
    <t>ZMDSF-2021-03号</t>
  </si>
  <si>
    <t xml:space="preserve">       白云山大道与交通路交叉口东北角</t>
  </si>
  <si>
    <t xml:space="preserve">       大于或等于1.3并且小于或等于2.1</t>
  </si>
  <si>
    <t xml:space="preserve">       小于或等于30</t>
  </si>
  <si>
    <t xml:space="preserve">       小于或等于36</t>
  </si>
  <si>
    <t xml:space="preserve">       驻自然资出让告字[2021]33号</t>
  </si>
  <si>
    <t xml:space="preserve">  驻马店市声隆房地产开发有限公司      </t>
  </si>
  <si>
    <t xml:space="preserve">       驻马店市寰隆实业有限公司</t>
  </si>
  <si>
    <t xml:space="preserve">解放大道与薄山路交叉口西南角    </t>
  </si>
  <si>
    <t>ZMDY-2021-12</t>
  </si>
  <si>
    <t xml:space="preserve">       解放大道与薄山路交叉口西南角</t>
  </si>
  <si>
    <t xml:space="preserve">       大于或等于1.4并且小于或等于3.2</t>
  </si>
  <si>
    <t xml:space="preserve">       等于80</t>
  </si>
  <si>
    <t xml:space="preserve">       驻自然资出让告字[2021]28号</t>
  </si>
  <si>
    <t xml:space="preserve">  河南源晟置业有限公司      </t>
  </si>
  <si>
    <t xml:space="preserve">       河南新世界置业</t>
  </si>
  <si>
    <t xml:space="preserve">天中山大道与团结路交叉口西南侧    </t>
  </si>
  <si>
    <t>ZMDY-2021-5号</t>
  </si>
  <si>
    <t xml:space="preserve">       天中山大道与团结路交叉口西南侧</t>
  </si>
  <si>
    <t xml:space="preserve">       大于或等于1.8并且小于或等于3.5</t>
  </si>
  <si>
    <t xml:space="preserve">       小于或等于25</t>
  </si>
  <si>
    <t xml:space="preserve">       驻自然资出让告字[2021]29号</t>
  </si>
  <si>
    <t xml:space="preserve">  驻马店市德汇置业有限公司      </t>
  </si>
  <si>
    <t xml:space="preserve">       驻马店市德汇置业</t>
  </si>
  <si>
    <t xml:space="preserve">交通路与风光路交叉口西北侧    </t>
  </si>
  <si>
    <t>ZMDY-2021-10号</t>
  </si>
  <si>
    <t xml:space="preserve">       交通路与风光路交叉口西北侧</t>
  </si>
  <si>
    <t xml:space="preserve">       大于或等于2.8并且小于或等于5.5</t>
  </si>
  <si>
    <t xml:space="preserve">       小于或等于55</t>
  </si>
  <si>
    <t xml:space="preserve">       等于100</t>
  </si>
  <si>
    <t xml:space="preserve">  驻马店智晟置业有限公司      </t>
  </si>
  <si>
    <t xml:space="preserve">       驻马店智晟置业</t>
  </si>
  <si>
    <t xml:space="preserve">文明大道与翠柏路交叉口东北侧    </t>
  </si>
  <si>
    <t>ZMDY-2020-38号</t>
  </si>
  <si>
    <t xml:space="preserve">       文明大道与翠柏路交叉口东北侧</t>
  </si>
  <si>
    <t xml:space="preserve">       大于或等于1.6并且小于或等于2.6</t>
  </si>
  <si>
    <t xml:space="preserve">       驻自然资出让告字[2021]23号</t>
  </si>
  <si>
    <t xml:space="preserve">  河南蓝天置业有限公司      </t>
  </si>
  <si>
    <t xml:space="preserve">       河南蓝天置业</t>
  </si>
  <si>
    <t xml:space="preserve">乐山大道与正乐街交叉口西南侧    </t>
  </si>
  <si>
    <t>ZMDK-2020-04号</t>
  </si>
  <si>
    <t xml:space="preserve">       乐山大道与正乐街交叉口西南侧</t>
  </si>
  <si>
    <t xml:space="preserve">       小于或等于80</t>
  </si>
  <si>
    <t xml:space="preserve">       驻自然资出让告字[2021]21号</t>
  </si>
  <si>
    <t xml:space="preserve">  河南品盛置业有限公司      </t>
  </si>
  <si>
    <t xml:space="preserve">雪松路与盘龙山路交叉口西南侧    </t>
  </si>
  <si>
    <t>ZMDY-2019-45号</t>
  </si>
  <si>
    <t xml:space="preserve">       雪松路与盘龙山路交叉口西南侧</t>
  </si>
  <si>
    <t xml:space="preserve">       等于4.411</t>
  </si>
  <si>
    <t xml:space="preserve">       等于43.49</t>
  </si>
  <si>
    <t xml:space="preserve">       等于60</t>
  </si>
  <si>
    <t xml:space="preserve">       驻自然资出让告字[2021]20号</t>
  </si>
  <si>
    <t xml:space="preserve">  驻马店市隆春置业有限公司      </t>
  </si>
  <si>
    <t xml:space="preserve">洪河大道与金山路交叉口东南角    </t>
  </si>
  <si>
    <t>ZMDK-2020-30号</t>
  </si>
  <si>
    <t xml:space="preserve">       洪河大道与金山路交叉口东南角</t>
  </si>
  <si>
    <t xml:space="preserve">       大于或等于1.8并且小于或等于2.6</t>
  </si>
  <si>
    <t xml:space="preserve">       驻自然资出让告字[2021]18号</t>
  </si>
  <si>
    <t xml:space="preserve">  河南佑荣置业有限公司      </t>
  </si>
  <si>
    <t xml:space="preserve">       河南佑荣置业</t>
  </si>
  <si>
    <t xml:space="preserve">洪河大道与金山路交叉口西南角    </t>
  </si>
  <si>
    <t>ZMDK-2020-29号</t>
  </si>
  <si>
    <t xml:space="preserve">       洪河大道与金山路交叉口西南角</t>
  </si>
  <si>
    <t xml:space="preserve">  驻马店市鑫汇房地产开发有限公司      </t>
  </si>
  <si>
    <t xml:space="preserve">       南阳鑫联置业</t>
  </si>
  <si>
    <t xml:space="preserve">永乐街与正阳路东北侧    </t>
  </si>
  <si>
    <t>ZMDK-2018-16</t>
  </si>
  <si>
    <t xml:space="preserve">       永乐街与正阳路东北侧</t>
  </si>
  <si>
    <t xml:space="preserve">       综合用地(含住宅)</t>
  </si>
  <si>
    <t xml:space="preserve">       驻自然资出让告字[2021]5号</t>
  </si>
  <si>
    <t xml:space="preserve">  河南中俊置业有限公司      </t>
  </si>
  <si>
    <t xml:space="preserve">       驻自然资出让告字[2021]17号</t>
  </si>
  <si>
    <t xml:space="preserve">农业路与东开路交叉口东南角    </t>
  </si>
  <si>
    <t>ZMDY-2020-7号</t>
  </si>
  <si>
    <t xml:space="preserve">       农业路与东开路交叉口东南角</t>
  </si>
  <si>
    <t xml:space="preserve">       大于或等于2并且小于或等于3</t>
  </si>
  <si>
    <t xml:space="preserve">       驻自然资出让告字[2021]15号</t>
  </si>
  <si>
    <t xml:space="preserve">  驻马店市驿城区同鑫城市建设有限公司      </t>
  </si>
  <si>
    <t xml:space="preserve">       驻马店市驿城区同鑫城市建设</t>
  </si>
  <si>
    <t xml:space="preserve">乐山大道与交通路交叉口东南角    </t>
  </si>
  <si>
    <t>ZMDCQ-2017-06号</t>
  </si>
  <si>
    <t xml:space="preserve">       乐山大道与交通路交叉口东南角</t>
  </si>
  <si>
    <t xml:space="preserve">       等于2.3</t>
  </si>
  <si>
    <t xml:space="preserve">       等于40.9</t>
  </si>
  <si>
    <t xml:space="preserve">       等于20</t>
  </si>
  <si>
    <t xml:space="preserve">       驻自然资出让告字[2021]9号</t>
  </si>
  <si>
    <t xml:space="preserve">  驻马店市东衡印刷有限公司      </t>
  </si>
  <si>
    <t xml:space="preserve">交通路与学院路交叉口东北侧(中南阳光城北侧)    </t>
  </si>
  <si>
    <t>ZMDY-2019-48号</t>
  </si>
  <si>
    <t xml:space="preserve">       交通路与学院路交叉口东北侧(中南阳光城北侧)</t>
  </si>
  <si>
    <t xml:space="preserve">       等于2.432</t>
  </si>
  <si>
    <t xml:space="preserve">       等于43.04</t>
  </si>
  <si>
    <t xml:space="preserve">       等于23.65</t>
  </si>
  <si>
    <t xml:space="preserve">  驻马店市金鑫置业有限公司      </t>
  </si>
  <si>
    <t xml:space="preserve">驿城大道与中华大道交叉口西南侧    </t>
  </si>
  <si>
    <t>ZMDY-2019-43号</t>
  </si>
  <si>
    <t xml:space="preserve">       驿城大道与中华大道交叉口西南侧</t>
  </si>
  <si>
    <t xml:space="preserve">       大于或等于1.6并且小于或等于3.2</t>
  </si>
  <si>
    <t xml:space="preserve">  河南省恒和实业有限公司      </t>
  </si>
  <si>
    <t xml:space="preserve">驿城大道与团结路交叉口东南侧    </t>
  </si>
  <si>
    <t>ZMDY-2020-51号</t>
  </si>
  <si>
    <t xml:space="preserve">       驿城大道与团结路交叉口东南侧</t>
  </si>
  <si>
    <t xml:space="preserve">       等于2.999</t>
  </si>
  <si>
    <t xml:space="preserve">       等于14.44</t>
  </si>
  <si>
    <t xml:space="preserve">  驻马店建华置业有限公司      </t>
  </si>
  <si>
    <t xml:space="preserve">       建业地产</t>
  </si>
  <si>
    <t xml:space="preserve">板桥路与竹沟路交叉口东南角    </t>
  </si>
  <si>
    <t>ZMDK-2020-31</t>
  </si>
  <si>
    <t xml:space="preserve">       板桥路与竹沟路交叉口东南角</t>
  </si>
  <si>
    <t xml:space="preserve">       大于或等于1.8并且小于或等于3</t>
  </si>
  <si>
    <t xml:space="preserve">       驻自然资出让告字[2021]12号</t>
  </si>
  <si>
    <t xml:space="preserve">  河南锦硕置业有限公司      </t>
  </si>
  <si>
    <t xml:space="preserve">       河南旭强实业</t>
  </si>
  <si>
    <t xml:space="preserve">薄山路与交通路交叉口西南侧    </t>
  </si>
  <si>
    <t>ZMDY-2018-34号</t>
  </si>
  <si>
    <t xml:space="preserve">       薄山路与交通路交叉口西南侧</t>
  </si>
  <si>
    <t xml:space="preserve">       大于或等于1.8并且小于或等于2.8</t>
  </si>
  <si>
    <t xml:space="preserve">       驻自然资出让告字[2021]6号</t>
  </si>
  <si>
    <t xml:space="preserve">  汝南置腾置业有限公司      </t>
  </si>
  <si>
    <t xml:space="preserve">驿城大道与团结路交叉口西南角    </t>
  </si>
  <si>
    <t>ZMDY-2020-22号</t>
  </si>
  <si>
    <t xml:space="preserve">       驿城大道与团结路交叉口西南角</t>
  </si>
  <si>
    <t xml:space="preserve">       驻自然资出让告字[2020]119号</t>
  </si>
  <si>
    <t xml:space="preserve">  驻马店市恒浩置业有限公司      </t>
  </si>
  <si>
    <t xml:space="preserve">       驻马店市恒浩置业</t>
  </si>
  <si>
    <t xml:space="preserve">团结路与薄山路交叉口东南侧    </t>
  </si>
  <si>
    <t>ZMDY-2020-21号</t>
  </si>
  <si>
    <t xml:space="preserve">       团结路与薄山路交叉口东南侧</t>
  </si>
  <si>
    <t xml:space="preserve">板桥路与清沙路交叉口西南角    </t>
  </si>
  <si>
    <t>ZMDK-2019-39</t>
  </si>
  <si>
    <t xml:space="preserve">       板桥路与清沙路交叉口西南角</t>
  </si>
  <si>
    <t xml:space="preserve">       等于3.3</t>
  </si>
  <si>
    <t xml:space="preserve">       等于20.47</t>
  </si>
  <si>
    <t xml:space="preserve">       驻自然资出让告字[2020]115号</t>
  </si>
  <si>
    <t xml:space="preserve">  驻马店市富地房地产开发有限公司      </t>
  </si>
  <si>
    <t xml:space="preserve">天中山大道与雪松大道交叉口西北角    </t>
  </si>
  <si>
    <t>ZMDK-2019-32号</t>
  </si>
  <si>
    <t xml:space="preserve">       天中山大道与雪松大道交叉口西北角</t>
  </si>
  <si>
    <t xml:space="preserve">       等于5.015</t>
  </si>
  <si>
    <t xml:space="preserve">       等于30.39</t>
  </si>
  <si>
    <t xml:space="preserve">       驻自然资出让告字[2020]110号</t>
  </si>
  <si>
    <t xml:space="preserve">  河南众人置业有限公司      </t>
  </si>
  <si>
    <t xml:space="preserve">团结路与盘古山路交叉口东南侧    </t>
  </si>
  <si>
    <t>ZMDY-2020-19号</t>
  </si>
  <si>
    <t xml:space="preserve">       团结路与盘古山路交叉口东南侧</t>
  </si>
  <si>
    <t xml:space="preserve">       驻自然资出让告字[2020]109号</t>
  </si>
  <si>
    <t xml:space="preserve">中华大道与向阳街交叉口东北侧    </t>
  </si>
  <si>
    <t>ZMDY-2019-01号</t>
  </si>
  <si>
    <t xml:space="preserve">       中华大道与向阳街交叉口东北侧</t>
  </si>
  <si>
    <t xml:space="preserve">       大于或等于2.6并且小于或等于3.5</t>
  </si>
  <si>
    <t xml:space="preserve">       小于或等于45</t>
  </si>
  <si>
    <t xml:space="preserve">  驻马店市东森置业有限公司      </t>
  </si>
  <si>
    <t xml:space="preserve">兴业大道与淮河大道交叉口西南侧    </t>
  </si>
  <si>
    <t>ZMDY-2020-34号</t>
  </si>
  <si>
    <t xml:space="preserve">       兴业大道与淮河大道交叉口西南侧</t>
  </si>
  <si>
    <t xml:space="preserve">       驻自然资出让告字[2020]105号</t>
  </si>
  <si>
    <t xml:space="preserve">  河南鹏冀置业有限公司      </t>
  </si>
  <si>
    <t xml:space="preserve">       鹏翼置业</t>
  </si>
  <si>
    <t xml:space="preserve">       70年、40年</t>
  </si>
  <si>
    <t xml:space="preserve">金雀路与真阳路交叉口西南角    </t>
  </si>
  <si>
    <t>ZMDSF-2020-03</t>
  </si>
  <si>
    <t xml:space="preserve">       金雀路与真阳路交叉口西南角</t>
  </si>
  <si>
    <t xml:space="preserve">       大于或等于1.6并且小于或等于1.8</t>
  </si>
  <si>
    <t xml:space="preserve">       城镇住宅用地</t>
  </si>
  <si>
    <t xml:space="preserve">       小于或等于24</t>
  </si>
  <si>
    <t xml:space="preserve">       驻自然资出让告字[2020]102号</t>
  </si>
  <si>
    <t xml:space="preserve">  驻马店天荣置业有限公司      </t>
  </si>
  <si>
    <t xml:space="preserve">       驻马店天荣置业有限公司</t>
  </si>
  <si>
    <t xml:space="preserve">金顶山路与开源大道交叉口东北角    </t>
  </si>
  <si>
    <t>ZMDSF-2020-01</t>
  </si>
  <si>
    <t xml:space="preserve">       金顶山路与开源大道交叉口东北角</t>
  </si>
  <si>
    <t xml:space="preserve">       大于或等于1.8并且小于或等于3.2</t>
  </si>
  <si>
    <t xml:space="preserve">       驻自然资出让告字[2020]101号</t>
  </si>
  <si>
    <t xml:space="preserve">  河南泓之浩置业有限公司      </t>
  </si>
  <si>
    <t xml:space="preserve">       泓之浩置业</t>
  </si>
  <si>
    <t xml:space="preserve">农业路和东祥路交叉口东北侧    </t>
  </si>
  <si>
    <t>ZMDY-2020-12号</t>
  </si>
  <si>
    <t xml:space="preserve">       农业路和东祥路交叉口东北侧</t>
  </si>
  <si>
    <t xml:space="preserve">       大于或等于1并且小于或等于1.5</t>
  </si>
  <si>
    <t xml:space="preserve">       驻自然资土告字[2020]Y01号</t>
  </si>
  <si>
    <t xml:space="preserve">  郑州中骏置业有限公司      </t>
  </si>
  <si>
    <t xml:space="preserve">       中骏集团控股</t>
  </si>
  <si>
    <t xml:space="preserve">东祥路与农业路交叉口西南侧    </t>
  </si>
  <si>
    <t>ZMDY-2020-9号</t>
  </si>
  <si>
    <t xml:space="preserve">       东祥路与农业路交叉口西南侧</t>
  </si>
  <si>
    <t xml:space="preserve">东祥路与农业路交叉口西北侧    </t>
  </si>
  <si>
    <t>ZMDY-2020-10号</t>
  </si>
  <si>
    <t xml:space="preserve">       东祥路与农业路交叉口西北侧</t>
  </si>
  <si>
    <t>ZMDY-2020-14号</t>
  </si>
  <si>
    <t xml:space="preserve">农业路和东祥路交叉口东南角    </t>
  </si>
  <si>
    <t>ZMDY-2020-11号</t>
  </si>
  <si>
    <t xml:space="preserve">       农业路和东祥路交叉口东南角</t>
  </si>
  <si>
    <t xml:space="preserve">雪松大道与前进大道交叉口西南侧    </t>
  </si>
  <si>
    <t>ZMDY-2020-8号</t>
  </si>
  <si>
    <t xml:space="preserve">       雪松大道与前进大道交叉口西南侧</t>
  </si>
  <si>
    <t xml:space="preserve">乐山大道与古吕路交叉口东南侧    </t>
  </si>
  <si>
    <t>ZMDK-2020-02号</t>
  </si>
  <si>
    <t xml:space="preserve">       乐山大道与古吕路交叉口东南侧</t>
  </si>
  <si>
    <t xml:space="preserve">       大于或等于2.6并且小于或等于3</t>
  </si>
  <si>
    <t xml:space="preserve">       驻自然资土告字[2020]K01号</t>
  </si>
  <si>
    <t xml:space="preserve">  驻马店锦汇华章实业有限公司      </t>
  </si>
  <si>
    <t xml:space="preserve">       驻马店锦汇华章实业有限公司</t>
  </si>
  <si>
    <t xml:space="preserve">文娱二路与金骏街交叉口东北角    </t>
  </si>
  <si>
    <t>ZMDK-2019-36号</t>
  </si>
  <si>
    <t xml:space="preserve">       文娱二路与金骏街交叉口东北角</t>
  </si>
  <si>
    <t xml:space="preserve">       等于5.89</t>
  </si>
  <si>
    <t xml:space="preserve">       等于53</t>
  </si>
  <si>
    <t xml:space="preserve">       小于或等于100</t>
  </si>
  <si>
    <t xml:space="preserve">       驻自然资土告字[2020]39号</t>
  </si>
  <si>
    <t xml:space="preserve">  驻马店市凤凰置业有限公司      </t>
  </si>
  <si>
    <t xml:space="preserve">开源大道与丰华路交叉口西南侧    </t>
  </si>
  <si>
    <t>ZMDY-2018-15号</t>
  </si>
  <si>
    <t xml:space="preserve">       开源大道与丰华路交叉口西南侧</t>
  </si>
  <si>
    <t xml:space="preserve">       驻自然资土告字[2020]34号</t>
  </si>
  <si>
    <t xml:space="preserve">  驻马店建恒置业有限公司      </t>
  </si>
  <si>
    <t xml:space="preserve">       同信地产,建业地产</t>
  </si>
  <si>
    <t xml:space="preserve">ZMDK-2019-40号    </t>
  </si>
  <si>
    <t>ZMDK-2019-40号</t>
  </si>
  <si>
    <t xml:space="preserve">       ZMDK-2019-40号</t>
  </si>
  <si>
    <t xml:space="preserve">       等于24.72</t>
  </si>
  <si>
    <t xml:space="preserve">       驻自然资土告字[2020]33号</t>
  </si>
  <si>
    <t xml:space="preserve">淮河大道与盘龙山路交叉口东南角    </t>
  </si>
  <si>
    <t>ZMDK-2020-1号</t>
  </si>
  <si>
    <t xml:space="preserve">       淮河大道与盘龙山路交叉口东南角</t>
  </si>
  <si>
    <t xml:space="preserve">  河南鹏云置业有限公司      </t>
  </si>
  <si>
    <t xml:space="preserve">       河南鹏云置业有限公司</t>
  </si>
  <si>
    <t xml:space="preserve">前进大道与东开路交叉口西北角    </t>
  </si>
  <si>
    <t>ZMDY-2018-31</t>
  </si>
  <si>
    <t xml:space="preserve">       前进大道与东开路交叉口西北角</t>
  </si>
  <si>
    <t xml:space="preserve">       大于或等于2并且小于或等于2.8</t>
  </si>
  <si>
    <t xml:space="preserve">       驻国土告字[2020]31号</t>
  </si>
  <si>
    <t xml:space="preserve">  同信地产集团有限公司      </t>
  </si>
  <si>
    <t xml:space="preserve">       同信地产</t>
  </si>
  <si>
    <t xml:space="preserve">洪河大道与金山支路交叉口西南角    </t>
  </si>
  <si>
    <t>ZMDK-2019-04号</t>
  </si>
  <si>
    <t xml:space="preserve">       洪河大道与金山支路交叉口西南角</t>
  </si>
  <si>
    <t xml:space="preserve">       驻国土告字[2020]29号</t>
  </si>
  <si>
    <t xml:space="preserve">  河南腾邦置业有限公司      </t>
  </si>
  <si>
    <t xml:space="preserve">       河南腾邦置业有限公司</t>
  </si>
  <si>
    <t xml:space="preserve">驿城大道与建设大道交叉口西北侧    </t>
  </si>
  <si>
    <t>ZMDY-2019-30号</t>
  </si>
  <si>
    <t xml:space="preserve">       驿城大道与建设大道交叉口西北侧</t>
  </si>
  <si>
    <t xml:space="preserve">       等于40</t>
  </si>
  <si>
    <t xml:space="preserve">       驻国土告字[2020]30号</t>
  </si>
  <si>
    <t xml:space="preserve">春柳路与文明大道交叉口西北侧    </t>
  </si>
  <si>
    <t>ZMDY-2019-28号</t>
  </si>
  <si>
    <t xml:space="preserve">       春柳路与文明大道交叉口西北侧</t>
  </si>
  <si>
    <t>ZMDY-2019-29号</t>
  </si>
  <si>
    <t>ZMDY-2019-27号</t>
  </si>
  <si>
    <t xml:space="preserve">       小于或等于20</t>
  </si>
  <si>
    <t>一般</t>
  </si>
  <si>
    <t>较好</t>
  </si>
  <si>
    <t>未包含在土地购买价格中</t>
  </si>
  <si>
    <t>全部缴纳</t>
  </si>
  <si>
    <t>已包含在土地取得成本中</t>
  </si>
  <si>
    <t>成本法</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</si>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</sst>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255" fillId="0" borderId="0" xfId="0" applyNumberFormat="1" applyFont="1" applyAlignment="1">
      <alignment horizontal="left"/>
    </xf>
    <xf numFmtId="0" fontId="111" fillId="0" borderId="0" xfId="0" applyNumberFormat="1" applyFont="1" applyAlignment="1">
      <alignment horizontal="left"/>
    </xf>
    <xf numFmtId="14" fontId="111" fillId="0" borderId="0" xfId="0" applyNumberFormat="1" applyFont="1" applyAlignment="1">
      <alignment horizontal="left"/>
    </xf>
    <xf numFmtId="0" fontId="255" fillId="5" borderId="0" xfId="0" applyNumberFormat="1" applyFont="1" applyFill="1" applyAlignment="1">
      <alignment horizontal="left"/>
    </xf>
    <xf numFmtId="14" fontId="111" fillId="5" borderId="0" xfId="0" applyNumberFormat="1" applyFont="1" applyFill="1" applyAlignment="1">
      <alignment horizontal="left"/>
    </xf>
    <xf numFmtId="0" fontId="111" fillId="5" borderId="0" xfId="0" applyNumberFormat="1" applyFont="1" applyFill="1" applyAlignment="1">
      <alignment horizontal="left"/>
    </xf>
    <xf numFmtId="0" fontId="255" fillId="12" borderId="0" xfId="0" applyNumberFormat="1" applyFont="1" applyFill="1" applyAlignment="1">
      <alignment horizontal="left"/>
    </xf>
    <xf numFmtId="14" fontId="111" fillId="12" borderId="0" xfId="0" applyNumberFormat="1" applyFont="1" applyFill="1" applyAlignment="1">
      <alignment horizontal="left"/>
    </xf>
    <xf numFmtId="0" fontId="111" fillId="12" borderId="0" xfId="0" applyNumberFormat="1" applyFont="1" applyFill="1" applyAlignment="1">
      <alignment horizontal="left"/>
    </xf>
    <xf numFmtId="0" fontId="256" fillId="5" borderId="0" xfId="0" applyNumberFormat="1" applyFont="1" applyFill="1" applyAlignment="1">
      <alignment horizontal="left"/>
    </xf>
    <xf numFmtId="14" fontId="257" fillId="5" borderId="0" xfId="0" applyNumberFormat="1" applyFont="1" applyFill="1" applyAlignment="1">
      <alignment horizontal="left"/>
    </xf>
    <xf numFmtId="0" fontId="257" fillId="5" borderId="0" xfId="0" applyNumberFormat="1" applyFont="1" applyFill="1" applyAlignment="1">
      <alignment horizontal="left"/>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43</xdr:row>
      <xdr:rowOff>46698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33334"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295275</xdr:colOff>
      <xdr:row>52</xdr:row>
      <xdr:rowOff>19050</xdr:rowOff>
    </xdr:from>
    <xdr:to>
      <xdr:col>34</xdr:col>
      <xdr:colOff>189741</xdr:colOff>
      <xdr:row>82</xdr:row>
      <xdr:rowOff>113717</xdr:rowOff>
    </xdr:to>
    <xdr:pic>
      <xdr:nvPicPr>
        <xdr:cNvPr id="2" name="图片 1"/>
        <xdr:cNvPicPr>
          <a:picLocks noChangeAspect="1"/>
        </xdr:cNvPicPr>
      </xdr:nvPicPr>
      <xdr:blipFill>
        <a:blip xmlns:r="http://schemas.openxmlformats.org/officeDocument/2006/relationships" r:embed="rId1"/>
        <a:stretch>
          <a:fillRect/>
        </a:stretch>
      </xdr:blipFill>
      <xdr:spPr>
        <a:xfrm>
          <a:off x="5200650" y="7943850"/>
          <a:ext cx="6076191" cy="4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估价对象为房地产，为所有。根据《国有土地使用证》[]，估价对象（分摊）出让国有建设用地使用权面积为0平方米，建筑面积为38556.25平方米。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估价对象为房地产,属开发建设的，该项目尚在开发建设中。根据《国有土地使用证》[]，估价对象（分摊）出让国有建设用地使用权面积为0平方米，规划建筑面积为38556.25平方米。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2022年1月18日</v>
      </c>
    </row>
    <row r="13" spans="1:2" s="1337" customFormat="1">
      <c r="A13" s="1335" t="s">
        <v>1135</v>
      </c>
      <c r="B13" s="1336" t="str">
        <f>'预评函-1'!A18</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本次评估采用的主估价方法为成本法和比较法。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str">
        <f ca="1">'预评函-2'!D13</f>
        <v>——</v>
      </c>
    </row>
    <row r="31" spans="1:2" s="1337" customFormat="1">
      <c r="A31" s="1335" t="s">
        <v>1182</v>
      </c>
      <c r="B31" s="1336" t="e">
        <f ca="1">'预评函-2'!D15</f>
        <v>#VALUE!</v>
      </c>
    </row>
    <row r="32" spans="1:2" s="1337" customFormat="1">
      <c r="A32" s="1335" t="s">
        <v>1149</v>
      </c>
      <c r="B32" s="1336" t="e">
        <f ca="1">'预评函-2'!D14</f>
        <v>#VALUE!</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t="str">
        <f ca="1">'预评函-2'!D19</f>
        <v>——</v>
      </c>
    </row>
    <row r="39" spans="1:2" s="1337" customFormat="1">
      <c r="A39" s="1335" t="s">
        <v>1151</v>
      </c>
      <c r="B39" s="1336" t="str">
        <f ca="1">'预评函-2'!D21</f>
        <v>——</v>
      </c>
    </row>
    <row r="40" spans="1:2" s="1337" customFormat="1">
      <c r="A40" s="1335" t="s">
        <v>1152</v>
      </c>
      <c r="B40" s="1336" t="e">
        <f ca="1">'预评函-2'!D20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38556.25</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709" t="s">
        <v>832</v>
      </c>
      <c r="C54" s="1706" t="s">
        <v>1189</v>
      </c>
    </row>
    <row r="55" spans="1:4">
      <c r="A55" s="3262"/>
      <c r="B55" s="1709" t="s">
        <v>833</v>
      </c>
      <c r="C55" s="1706" t="s">
        <v>1190</v>
      </c>
    </row>
    <row r="56" spans="1:4">
      <c r="A56" s="3262"/>
      <c r="B56" s="1709" t="s">
        <v>834</v>
      </c>
      <c r="C56" s="1706" t="s">
        <v>1194</v>
      </c>
    </row>
    <row r="57" spans="1:4">
      <c r="A57" s="326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7" sqref="G47"/>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63" t="str">
        <f>IF(B10="北京市","北京市",C10)&amp;F10&amp;IF(结果表!G1="在建","出让国有建设用地使用权及在建建筑物",IF(结果表!G1="土地","出让国有建设用地使用权",))&amp;B9&amp;"预评估"</f>
        <v>房地产抵押价值预评估</v>
      </c>
      <c r="C1" s="3264"/>
      <c r="D1" s="3264"/>
      <c r="E1" s="3264"/>
      <c r="F1" s="3264"/>
      <c r="G1" s="3264"/>
      <c r="H1" s="3264"/>
      <c r="I1" s="3265"/>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44579</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66"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67"/>
      <c r="E9" s="2588" t="s">
        <v>1193</v>
      </c>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v>68672</v>
      </c>
      <c r="E13" s="965"/>
      <c r="F13" s="965"/>
      <c r="G13" s="965"/>
      <c r="H13" s="965"/>
      <c r="I13" s="965"/>
      <c r="J13" s="2635"/>
      <c r="K13" s="2812"/>
      <c r="L13" s="2809"/>
      <c r="M13" s="2809"/>
      <c r="N13" s="2635"/>
      <c r="O13" s="2646"/>
      <c r="P13" s="2635"/>
      <c r="Q13" s="2635"/>
      <c r="R13" s="2635"/>
    </row>
    <row r="14" spans="1:28">
      <c r="A14" s="1213"/>
      <c r="B14" s="2601"/>
      <c r="C14" s="2602" t="s">
        <v>2878</v>
      </c>
      <c r="D14" s="2603">
        <v>70</v>
      </c>
      <c r="E14" s="2603"/>
      <c r="F14" s="2603"/>
      <c r="G14" s="2603"/>
      <c r="H14" s="2603"/>
      <c r="I14" s="2603"/>
      <c r="J14" s="2635"/>
      <c r="K14" s="2813"/>
      <c r="L14" s="2809"/>
      <c r="M14" s="2809"/>
      <c r="N14" s="2635"/>
      <c r="O14" s="2646"/>
      <c r="P14" s="2635"/>
      <c r="Q14" s="2635"/>
      <c r="R14" s="2635"/>
    </row>
    <row r="15" spans="1:28">
      <c r="A15" s="326"/>
      <c r="B15" s="2604"/>
      <c r="C15" s="2605" t="s">
        <v>2879</v>
      </c>
      <c r="D15" s="2606">
        <f>IF(B12="出让",IF(D13="","",ROUNDDOWN(MIN((D13-$D$3)/365,D14),2)),D14)</f>
        <v>66</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273"/>
      <c r="C16" s="3274"/>
      <c r="D16" s="3275"/>
      <c r="E16" s="2609" t="s">
        <v>2881</v>
      </c>
      <c r="F16" s="3276"/>
      <c r="G16" s="3277"/>
      <c r="H16" s="3277"/>
      <c r="I16" s="3278"/>
      <c r="J16" s="2635"/>
      <c r="K16" s="2814"/>
      <c r="L16" s="2647"/>
      <c r="M16" s="2647"/>
      <c r="N16" s="2705"/>
      <c r="O16" s="2647"/>
      <c r="P16" s="2705"/>
      <c r="Q16" s="2635"/>
      <c r="R16" s="2635"/>
    </row>
    <row r="17" spans="1:28">
      <c r="A17" s="319" t="s">
        <v>2882</v>
      </c>
      <c r="B17" s="308" t="s">
        <v>2883</v>
      </c>
      <c r="C17" s="11">
        <f>'数据-汇总表'!E3</f>
        <v>38556.25</v>
      </c>
      <c r="D17" s="2515" t="s">
        <v>2884</v>
      </c>
      <c r="E17" s="3279" t="s">
        <v>2885</v>
      </c>
      <c r="F17" s="3280"/>
      <c r="G17" s="3280"/>
      <c r="H17" s="3280"/>
      <c r="I17" s="3281"/>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0</v>
      </c>
      <c r="D18" s="1224" t="s">
        <v>2888</v>
      </c>
      <c r="E18" s="3282" t="s">
        <v>2889</v>
      </c>
      <c r="F18" s="3283"/>
      <c r="G18" s="3283"/>
      <c r="H18" s="3283"/>
      <c r="I18" s="3284"/>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69" t="s">
        <v>2893</v>
      </c>
      <c r="C20" s="3270"/>
      <c r="D20" s="3271" t="s">
        <v>2894</v>
      </c>
      <c r="E20" s="3272"/>
      <c r="F20" s="2844" t="s">
        <v>1682</v>
      </c>
      <c r="G20" s="2861"/>
      <c r="H20" s="2861"/>
      <c r="I20" s="2861"/>
      <c r="J20" s="2635"/>
      <c r="K20" s="3268"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6"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6"/>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6"/>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7"/>
      <c r="B30" s="308" t="s">
        <v>2905</v>
      </c>
      <c r="C30" s="3288"/>
      <c r="D30" s="3289"/>
      <c r="E30" s="2861"/>
      <c r="F30" s="2861"/>
      <c r="G30" s="2861"/>
      <c r="H30" s="2861"/>
      <c r="I30" s="2861"/>
      <c r="J30" s="2635"/>
      <c r="K30" s="2812"/>
      <c r="L30" s="2809"/>
      <c r="M30" s="2809"/>
      <c r="N30" s="2635"/>
      <c r="O30" s="2646"/>
      <c r="P30" s="2635"/>
      <c r="Q30" s="2635"/>
      <c r="R30" s="2635"/>
      <c r="S30" s="2635"/>
      <c r="T30" s="2635"/>
      <c r="U30" s="2635"/>
      <c r="V30" s="2635"/>
    </row>
    <row r="31" spans="1:28">
      <c r="A31" s="3290"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91"/>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91"/>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285" t="s">
        <v>2915</v>
      </c>
      <c r="T34" s="2624" t="str">
        <f>NUMBERSTRING(7-K34,1)&amp;"通"</f>
        <v>七通</v>
      </c>
      <c r="U34" s="2635"/>
      <c r="V34" s="2635"/>
    </row>
    <row r="35" spans="1:30">
      <c r="A35" s="2625"/>
      <c r="B35" s="3292" t="s">
        <v>2916</v>
      </c>
      <c r="C35" s="3292"/>
      <c r="D35" s="3292"/>
      <c r="E35" s="3292"/>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5"/>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38556.25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38556.25</v>
      </c>
      <c r="H5" s="16">
        <f t="shared" ref="H5:AT5" si="0">SUM(H13:H656)</f>
        <v>38556.25</v>
      </c>
      <c r="I5" s="16">
        <f t="shared" si="0"/>
        <v>38556.25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38556.25</v>
      </c>
      <c r="BA5" s="18">
        <f t="shared" si="1"/>
        <v>38556.25</v>
      </c>
      <c r="BB5" s="18">
        <f t="shared" si="1"/>
        <v>38556.25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3135</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3136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3137</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住宅</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平层住宅</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3134</v>
      </c>
      <c r="E13" s="16">
        <f>IF($C$3="是",ROUND($A$3*G13/$B$3,2),ROUND($A$3*(G13-AT13)/$B$3,2))</f>
        <v>0</v>
      </c>
      <c r="F13" s="32"/>
      <c r="G13" s="33">
        <f>H13+AC13+AT13</f>
        <v>38556.25</v>
      </c>
      <c r="H13" s="20">
        <f>SUMIF(I$12:AB$12,"总值",I13:AB13)</f>
        <v>38556.25</v>
      </c>
      <c r="I13" s="1781">
        <f>19652.85+18903.4</f>
        <v>38556.25</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38556.25</v>
      </c>
      <c r="BA13" s="16">
        <f>SUM(BB13:BK13)</f>
        <v>38556.25</v>
      </c>
      <c r="BB13" s="16">
        <f>IF($D13="是",I13-J13,0)</f>
        <v>38556.25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28.5">
      <c r="A3" s="3293"/>
      <c r="B3" s="3293"/>
      <c r="C3" s="3293"/>
      <c r="D3" s="3294"/>
      <c r="E3" s="329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1" sqref="L51"/>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4" t="s">
        <v>1757</v>
      </c>
      <c r="B2" s="3304"/>
      <c r="C2" s="3304"/>
      <c r="D2" s="904" t="s">
        <v>1733</v>
      </c>
      <c r="E2" s="1794" t="s">
        <v>1734</v>
      </c>
      <c r="F2" s="2856"/>
      <c r="G2" s="2847"/>
      <c r="H2" s="2848"/>
      <c r="I2" s="2518" t="s">
        <v>1758</v>
      </c>
      <c r="J2" s="2856"/>
      <c r="K2" s="2856"/>
      <c r="L2" s="2856"/>
      <c r="M2" s="2856"/>
      <c r="N2" s="2858"/>
      <c r="O2" s="2856"/>
      <c r="P2" s="2856"/>
    </row>
    <row r="3" spans="1:16" ht="15.75" thickBot="1">
      <c r="A3" s="3305" t="s">
        <v>1731</v>
      </c>
      <c r="B3" s="3305"/>
      <c r="C3" s="3305"/>
      <c r="D3" s="46">
        <f>'数据-基础表'!AY6</f>
        <v>0</v>
      </c>
      <c r="E3" s="46">
        <f>'数据-基础表'!AZ5</f>
        <v>38556.25</v>
      </c>
      <c r="F3" s="2856"/>
      <c r="G3" s="1279"/>
      <c r="H3" s="1157" t="s">
        <v>1732</v>
      </c>
      <c r="I3" s="964" t="e">
        <f>ROUND('数据-基础表'!B3/'数据-基础表'!A3,2)</f>
        <v>#DIV/0!</v>
      </c>
      <c r="J3" s="2856"/>
      <c r="K3" s="2856"/>
      <c r="L3" s="2856"/>
      <c r="M3" s="2856"/>
      <c r="N3" s="2858"/>
      <c r="O3" s="2856"/>
      <c r="P3" s="2856"/>
    </row>
    <row r="4" spans="1:16" ht="15">
      <c r="A4" s="3306"/>
      <c r="B4" s="3307"/>
      <c r="C4" s="3308"/>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309" t="s">
        <v>1736</v>
      </c>
      <c r="C5" s="3309"/>
      <c r="D5" s="48">
        <f>ROUND($D$3*E5/$E$3,2)</f>
        <v>0</v>
      </c>
      <c r="E5" s="49">
        <f>SUMIF('数据-基础表'!$11:$11,"住宅",'数据-基础表'!$5:$5)</f>
        <v>38556.25</v>
      </c>
      <c r="F5" s="2856"/>
      <c r="G5" s="1279"/>
      <c r="H5" s="1157" t="s">
        <v>1732</v>
      </c>
      <c r="I5" s="964" t="e">
        <f>ROUND(E31/D31,2)</f>
        <v>#DIV/0!</v>
      </c>
      <c r="J5" s="2856"/>
      <c r="K5" s="2856"/>
      <c r="L5" s="2856"/>
      <c r="M5" s="2856"/>
      <c r="N5" s="2856"/>
      <c r="O5" s="2856"/>
      <c r="P5" s="2856"/>
    </row>
    <row r="6" spans="1:16" ht="15" thickBot="1">
      <c r="A6" s="1799"/>
      <c r="B6" s="3309" t="s">
        <v>1737</v>
      </c>
      <c r="C6" s="3309"/>
      <c r="D6" s="48">
        <f>ROUND($D$3*E6/$E$3,2)</f>
        <v>0</v>
      </c>
      <c r="E6" s="49">
        <f>E3-E5</f>
        <v>0</v>
      </c>
      <c r="F6" s="2856"/>
      <c r="G6" s="2850" t="s">
        <v>1738</v>
      </c>
      <c r="H6" s="1280" t="s">
        <v>1739</v>
      </c>
      <c r="I6" s="2851" t="e">
        <f>ROUND(F31/D31,2)</f>
        <v>#DIV/0!</v>
      </c>
      <c r="J6" s="2856"/>
      <c r="K6" s="2856"/>
      <c r="L6" s="2856"/>
      <c r="M6" s="2856"/>
      <c r="N6" s="2856"/>
      <c r="O6" s="2856"/>
      <c r="P6" s="2856"/>
    </row>
    <row r="7" spans="1:16" ht="15.75" thickBot="1">
      <c r="A7" s="3301"/>
      <c r="B7" s="3302"/>
      <c r="C7" s="3303"/>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38556.25</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38556.25</v>
      </c>
      <c r="F16" s="2856"/>
      <c r="G16" s="2857"/>
      <c r="H16" s="1803" t="s">
        <v>1761</v>
      </c>
      <c r="I16" s="1804"/>
      <c r="J16" s="1273"/>
      <c r="K16" s="3298" t="s">
        <v>1761</v>
      </c>
      <c r="L16" s="3299"/>
      <c r="M16" s="3299"/>
      <c r="N16" s="3299"/>
      <c r="O16" s="3299"/>
      <c r="P16" s="3300"/>
    </row>
    <row r="17" spans="1:19" ht="15">
      <c r="A17" s="1805" t="s">
        <v>1762</v>
      </c>
      <c r="B17" s="1806" t="s">
        <v>1763</v>
      </c>
      <c r="C17" s="1807" t="s">
        <v>1764</v>
      </c>
      <c r="D17" s="1808" t="s">
        <v>1752</v>
      </c>
      <c r="E17" s="1809" t="s">
        <v>1753</v>
      </c>
      <c r="F17" s="1810"/>
      <c r="G17" s="1811"/>
      <c r="H17" s="1812" t="s">
        <v>1765</v>
      </c>
      <c r="I17" s="1813" t="s">
        <v>1750</v>
      </c>
      <c r="J17" s="1273"/>
      <c r="K17" s="3295" t="s">
        <v>1766</v>
      </c>
      <c r="L17" s="3296"/>
      <c r="M17" s="3297"/>
      <c r="N17" s="3295" t="s">
        <v>1767</v>
      </c>
      <c r="O17" s="3296"/>
      <c r="P17" s="3297"/>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3138</v>
      </c>
      <c r="D19" s="48">
        <f>ROUND($D$3*E19/$E$3,2)</f>
        <v>0</v>
      </c>
      <c r="E19" s="56">
        <f t="shared" ref="E19:E26" si="1">SUM(F19:G19)</f>
        <v>38556.25</v>
      </c>
      <c r="F19" s="2996">
        <f>'数据-基础表'!I5</f>
        <v>38556.25</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38556.25</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38556.25</v>
      </c>
      <c r="F27" s="1274">
        <f>IF(SUM(F19:F26)=E8,SUM(F19:F26),"地上面积有误")</f>
        <v>38556.25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38556.25</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38556.25</v>
      </c>
      <c r="F31" s="686">
        <f>F27+F30</f>
        <v>38556.25</v>
      </c>
      <c r="G31" s="687">
        <f>G27+G30</f>
        <v>0</v>
      </c>
      <c r="H31" s="2856"/>
      <c r="I31" s="2856"/>
      <c r="J31" s="2856"/>
      <c r="K31" s="2856"/>
      <c r="L31" s="2856"/>
      <c r="M31" s="2856"/>
      <c r="N31" s="2856"/>
      <c r="O31" s="2856"/>
      <c r="P31" s="2856"/>
    </row>
    <row r="32" spans="1:19">
      <c r="A32" s="1798"/>
      <c r="B32" s="1798" t="s">
        <v>1785</v>
      </c>
      <c r="C32" s="1798"/>
      <c r="D32" s="1798"/>
      <c r="E32" s="1184">
        <f>SUMIF(C19:C26,"*住宅*",E19:E26)</f>
        <v>38556.25</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44579</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3140</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住宅</v>
      </c>
      <c r="B6" s="1869" t="str">
        <f>IF(A6=0,"","经营性")</f>
        <v>经营性</v>
      </c>
      <c r="C6" s="1870" t="s">
        <v>3136</v>
      </c>
      <c r="D6" s="967">
        <f>SUMIF(项目基本情况!D$12:I$12,C6,项目基本情况!D$14:I$14)</f>
        <v>70</v>
      </c>
      <c r="E6" s="966">
        <f>IF(B6="","",SUMIF(项目基本情况!D$12:I$12,C6,项目基本情况!D$13:I$13))</f>
        <v>68672</v>
      </c>
      <c r="F6" s="68">
        <f>SUMIF(项目基本情况!D$12:I$12,C6,项目基本情况!D$15:I$15)</f>
        <v>66</v>
      </c>
      <c r="G6" s="69">
        <f>IF(ISERROR(ROUND(POWER(1+H6,D6-F6)*(POWER(1+H6,F6)-1)/(POWER(1+H6,D6)-1),3)),0,ROUND(POWER(1+H6,D6-F6)*(POWER(1+H6,F6)-1)/(POWER(1+H6,D6)-1),3))</f>
        <v>0.98799999999999999</v>
      </c>
      <c r="H6" s="741">
        <v>0.04</v>
      </c>
      <c r="I6" s="741">
        <v>4.4999999999999998E-2</v>
      </c>
      <c r="J6" s="70">
        <v>8.5000000000000006E-2</v>
      </c>
      <c r="K6" s="1161">
        <f>SUMIF('数据-汇总表'!C$19:C$33,A6,'数据-汇总表'!E$19:E$33)</f>
        <v>38556.25</v>
      </c>
      <c r="L6" s="742">
        <v>2000</v>
      </c>
      <c r="M6" s="71">
        <f t="shared" ref="M6:M14" si="0">ROUND(K6*L6/10000,0)</f>
        <v>7711</v>
      </c>
      <c r="N6" s="740">
        <v>0.98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c r="V6" s="75"/>
      <c r="W6" s="75"/>
      <c r="X6" s="1171"/>
      <c r="Y6" s="76"/>
      <c r="Z6" s="77"/>
      <c r="AA6" s="70"/>
      <c r="AB6" s="70"/>
      <c r="AC6" s="1171"/>
      <c r="AD6" s="78"/>
      <c r="AE6" s="1172">
        <f ca="1">IF(AN6="",0,SUMIF(INDIRECT("'"&amp;AN6&amp;"'"&amp;"!E:E"),$AE$5,INDIRECT("'"&amp;AN6&amp;"'"&amp;"!F:F")))</f>
        <v>0</v>
      </c>
      <c r="AF6" s="1502"/>
      <c r="AG6" s="143">
        <f>IF(AF6="",0,AE6-AF6)</f>
        <v>0</v>
      </c>
      <c r="AH6" s="79"/>
      <c r="AI6" s="81"/>
      <c r="AJ6" s="82"/>
      <c r="AK6" s="83"/>
      <c r="AL6" s="84"/>
      <c r="AM6" s="85"/>
      <c r="AN6" s="1871"/>
      <c r="AO6" s="55" t="e">
        <f ca="1">SUMIF(INDIRECT("'"&amp;AN6&amp;"'"&amp;"!A:A"),"总价",INDIRECT("'"&amp;AN6&amp;"'"&amp;"!B:B"))</f>
        <v>#REF!</v>
      </c>
      <c r="AP6" s="1872">
        <f>IF(C6="住宅",K6*L6,0)</f>
        <v>77112500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0.98799999999999999</v>
      </c>
      <c r="H16" s="95">
        <f>ROUND(SUMPRODUCT(H6:H13,K6:K13)/SUMPRODUCT((H6:H13&gt;0)*(K6:K13)),3)</f>
        <v>0.04</v>
      </c>
      <c r="I16" s="96"/>
      <c r="J16" s="96"/>
      <c r="K16" s="97">
        <f>SUM(K6:K15)</f>
        <v>38556.25</v>
      </c>
      <c r="L16" s="98">
        <f>ROUND(M16*10000/SUM(K6:K14),0)</f>
        <v>2000</v>
      </c>
      <c r="M16" s="98">
        <f>SUM(M6:M14)</f>
        <v>7711</v>
      </c>
      <c r="N16" s="99">
        <f>ROUND(SUMPRODUCT(M6:M14,N6:N14)/M16,3)</f>
        <v>0.98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3</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3</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3</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3</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160</v>
      </c>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ROUND(K16*B27/10000,0)</f>
        <v>617</v>
      </c>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3139</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10" t="s">
        <v>2973</v>
      </c>
      <c r="B1" s="3311"/>
      <c r="C1" s="3311"/>
      <c r="D1" s="3311"/>
      <c r="E1" s="3311"/>
      <c r="F1" s="3311"/>
      <c r="G1" s="331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38556.25</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44579</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t="e">
        <f ca="1">SUM(D14:D23)</f>
        <v>#REF!</v>
      </c>
      <c r="C5" s="2708" t="e">
        <f ca="1">ROUND(B5*10000/$B$1,0)</f>
        <v>#REF!</v>
      </c>
      <c r="D5" s="2708" t="e">
        <f ca="1">ROUND(B5*10000/$B$2,0)</f>
        <v>#REF!</v>
      </c>
      <c r="E5" s="2885"/>
      <c r="F5" s="2886"/>
      <c r="G5" s="2886"/>
      <c r="H5" s="2887"/>
      <c r="I5" s="2887"/>
      <c r="J5" s="2887"/>
      <c r="K5" s="2887"/>
    </row>
    <row r="6" spans="1:11" ht="16.5">
      <c r="A6" s="2708" t="s">
        <v>1262</v>
      </c>
      <c r="B6" s="2708">
        <f ca="1">SUM(G14:G23)</f>
        <v>0</v>
      </c>
      <c r="C6" s="2708" t="e">
        <f ca="1">ROUND(B6*10000/$B$1,0)</f>
        <v>#DIV/0!</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0</v>
      </c>
      <c r="C8" s="2708" t="e">
        <f ca="1">ROUND(B8*10000/$B$1,0)</f>
        <v>#DIV/0!</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38556.25</v>
      </c>
      <c r="C14" s="2714">
        <f>结果表!C118</f>
        <v>0</v>
      </c>
      <c r="D14" s="2714" t="e">
        <f ca="1">结果表!H118</f>
        <v>#REF!</v>
      </c>
      <c r="E14" s="2714" t="e">
        <f ca="1">ROUND(D14*10000/B14,0)</f>
        <v>#REF!</v>
      </c>
      <c r="F14" s="2714" t="e">
        <f ca="1">ROUND(D14*10000/C14,0)</f>
        <v>#REF!</v>
      </c>
      <c r="G14" s="2714" t="str">
        <f ca="1">结果表!D122</f>
        <v>——</v>
      </c>
      <c r="H14" s="2714" t="str">
        <f>结果表!D124</f>
        <v>——</v>
      </c>
      <c r="I14" s="2714" t="str">
        <f ca="1">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82" t="str">
        <f>项目基本情况!S2</f>
        <v>房地产</v>
      </c>
      <c r="B2" s="3383"/>
      <c r="C2" s="3383"/>
      <c r="D2" s="3383"/>
      <c r="E2" s="3383"/>
      <c r="F2" s="3383"/>
      <c r="G2" s="3383"/>
      <c r="H2" s="3383"/>
      <c r="I2" s="3384"/>
    </row>
    <row r="3" spans="1:12" ht="12.75">
      <c r="A3" s="3386" t="s">
        <v>1890</v>
      </c>
      <c r="B3" s="3387"/>
      <c r="C3" s="3387"/>
      <c r="D3" s="3387"/>
      <c r="E3" s="3387"/>
      <c r="F3" s="3387"/>
      <c r="G3" s="3387"/>
      <c r="H3" s="3387"/>
      <c r="I3" s="3387"/>
    </row>
    <row r="4" spans="1:12" ht="14.25">
      <c r="A4" s="1910" t="s">
        <v>1891</v>
      </c>
      <c r="B4" s="1911" t="s">
        <v>1892</v>
      </c>
      <c r="C4" s="1912" t="s">
        <v>3502</v>
      </c>
      <c r="D4" s="1912" t="s">
        <v>3503</v>
      </c>
      <c r="E4" s="3391" t="s">
        <v>1893</v>
      </c>
      <c r="F4" s="3392"/>
      <c r="G4" s="3392"/>
      <c r="H4" s="3392"/>
      <c r="I4" s="339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327" t="s">
        <v>1894</v>
      </c>
      <c r="B5" s="3385">
        <v>25</v>
      </c>
      <c r="C5" s="3388"/>
      <c r="D5" s="3376"/>
      <c r="E5" s="136" t="s">
        <v>1895</v>
      </c>
      <c r="F5" s="1913"/>
      <c r="G5" s="1913"/>
      <c r="H5" s="1913"/>
      <c r="I5" s="1527"/>
    </row>
    <row r="6" spans="1:12" ht="12.75">
      <c r="A6" s="3327"/>
      <c r="B6" s="3385"/>
      <c r="C6" s="3390"/>
      <c r="D6" s="3376"/>
      <c r="E6" s="136" t="s">
        <v>1896</v>
      </c>
      <c r="F6" s="1913"/>
      <c r="G6" s="1913"/>
      <c r="H6" s="1913"/>
      <c r="I6" s="1527"/>
    </row>
    <row r="7" spans="1:12" ht="12.75">
      <c r="A7" s="3327"/>
      <c r="B7" s="3385"/>
      <c r="C7" s="3389"/>
      <c r="D7" s="3376"/>
      <c r="E7" s="136" t="s">
        <v>1897</v>
      </c>
      <c r="F7" s="1913"/>
      <c r="G7" s="1913"/>
      <c r="H7" s="1913"/>
      <c r="I7" s="1527"/>
    </row>
    <row r="8" spans="1:12" ht="12.75">
      <c r="A8" s="3327" t="s">
        <v>1898</v>
      </c>
      <c r="B8" s="3385">
        <v>15</v>
      </c>
      <c r="C8" s="3388"/>
      <c r="D8" s="3376"/>
      <c r="E8" s="136" t="s">
        <v>1899</v>
      </c>
      <c r="F8" s="1913"/>
      <c r="G8" s="1913"/>
      <c r="H8" s="1913"/>
      <c r="I8" s="1527"/>
    </row>
    <row r="9" spans="1:12" ht="12.75">
      <c r="A9" s="3327"/>
      <c r="B9" s="3385"/>
      <c r="C9" s="3389"/>
      <c r="D9" s="3376"/>
      <c r="E9" s="136" t="s">
        <v>1900</v>
      </c>
      <c r="F9" s="1913"/>
      <c r="G9" s="1913"/>
      <c r="H9" s="1913"/>
      <c r="I9" s="1527"/>
    </row>
    <row r="10" spans="1:12" ht="12.75">
      <c r="A10" s="3327" t="s">
        <v>1901</v>
      </c>
      <c r="B10" s="3385">
        <v>15</v>
      </c>
      <c r="C10" s="3388"/>
      <c r="D10" s="3376"/>
      <c r="E10" s="136" t="s">
        <v>1902</v>
      </c>
      <c r="F10" s="1913"/>
      <c r="G10" s="1913"/>
      <c r="H10" s="1913"/>
      <c r="I10" s="1527"/>
    </row>
    <row r="11" spans="1:12" ht="12.75">
      <c r="A11" s="3327"/>
      <c r="B11" s="3385"/>
      <c r="C11" s="3389"/>
      <c r="D11" s="3376"/>
      <c r="E11" s="136" t="s">
        <v>1903</v>
      </c>
      <c r="F11" s="1913"/>
      <c r="G11" s="1913"/>
      <c r="H11" s="1913"/>
      <c r="I11" s="1527"/>
    </row>
    <row r="12" spans="1:12" ht="12.75">
      <c r="A12" s="3327" t="s">
        <v>1904</v>
      </c>
      <c r="B12" s="3385">
        <v>15</v>
      </c>
      <c r="C12" s="3388"/>
      <c r="D12" s="3376"/>
      <c r="E12" s="136" t="s">
        <v>1905</v>
      </c>
      <c r="F12" s="1913"/>
      <c r="G12" s="1913"/>
      <c r="H12" s="1913"/>
      <c r="I12" s="1527"/>
    </row>
    <row r="13" spans="1:12" ht="12.75">
      <c r="A13" s="3327"/>
      <c r="B13" s="3385"/>
      <c r="C13" s="3389"/>
      <c r="D13" s="3376"/>
      <c r="E13" s="136" t="s">
        <v>1906</v>
      </c>
      <c r="F13" s="1913"/>
      <c r="G13" s="1913"/>
      <c r="H13" s="1913"/>
      <c r="I13" s="1527"/>
    </row>
    <row r="14" spans="1:12" ht="12.75">
      <c r="A14" s="3327" t="s">
        <v>1907</v>
      </c>
      <c r="B14" s="3385">
        <v>30</v>
      </c>
      <c r="C14" s="3388">
        <v>5</v>
      </c>
      <c r="D14" s="3376">
        <v>5</v>
      </c>
      <c r="E14" s="136" t="s">
        <v>1908</v>
      </c>
      <c r="F14" s="1913"/>
      <c r="G14" s="1913"/>
      <c r="H14" s="1913"/>
      <c r="I14" s="1527"/>
    </row>
    <row r="15" spans="1:12" ht="12.75">
      <c r="A15" s="3327"/>
      <c r="B15" s="3385"/>
      <c r="C15" s="3390"/>
      <c r="D15" s="3376"/>
      <c r="E15" s="136" t="s">
        <v>1909</v>
      </c>
      <c r="F15" s="1913"/>
      <c r="G15" s="1913"/>
      <c r="H15" s="1913"/>
      <c r="I15" s="1527"/>
    </row>
    <row r="16" spans="1:12" ht="12.75">
      <c r="A16" s="3327"/>
      <c r="B16" s="3385"/>
      <c r="C16" s="3389"/>
      <c r="D16" s="3376"/>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7" t="s">
        <v>2814</v>
      </c>
      <c r="F18" s="3408"/>
      <c r="G18" s="3408"/>
      <c r="H18" s="3408"/>
      <c r="I18" s="3408"/>
      <c r="K18" s="308" t="s">
        <v>1915</v>
      </c>
      <c r="L18" s="308">
        <f>IF(C1="",'数据-汇总表'!E3,SUMIF(项目类型,C1,'数据-汇总表'!E17:E26)+SUMIF(项目类型,C1,'数据-汇总表'!I17:I26))</f>
        <v>38556.25</v>
      </c>
      <c r="M18" s="308">
        <f>IF(C1="",'数据-汇总表'!E3,SUMIF(项目类型,C1,'数据-汇总表'!E17:E26))</f>
        <v>38556.25</v>
      </c>
    </row>
    <row r="19" spans="1:36" ht="15">
      <c r="A19" s="1917" t="s">
        <v>1916</v>
      </c>
      <c r="B19" s="1918" t="s">
        <v>1917</v>
      </c>
      <c r="C19" s="139">
        <f ca="1">SUMIF(INDIRECT("'"&amp;C4&amp;"'"&amp;"!A:A"),结果表!B19,INDIRECT("'"&amp;C4&amp;"'"&amp;"!B:B"))</f>
        <v>23046</v>
      </c>
      <c r="D19" s="140">
        <f ca="1">SUMIF(INDIRECT("'"&amp;D4&amp;"'"&amp;"!A:A"),结果表!B19,INDIRECT("'"&amp;D4&amp;"'"&amp;"!B:B"))</f>
        <v>21464</v>
      </c>
      <c r="E19" s="1917" t="s">
        <v>1918</v>
      </c>
      <c r="F19" s="1918" t="s">
        <v>1917</v>
      </c>
      <c r="G19" s="141">
        <f ca="1">ROUND(C19*$C$18+D19*$D$18,0)</f>
        <v>22255</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5977</v>
      </c>
      <c r="D20" s="143">
        <f ca="1">SUMIF(INDIRECT("'"&amp;D4&amp;"'"&amp;"!A:A"),结果表!B20,INDIRECT("'"&amp;D4&amp;"'"&amp;"!B:B"))</f>
        <v>5567</v>
      </c>
      <c r="E20" s="1920"/>
      <c r="F20" s="1157" t="s">
        <v>1921</v>
      </c>
      <c r="G20" s="144">
        <f ca="1">ROUND(C20*$C$18+D20*$D$18,0)</f>
        <v>5772</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7.3704808050689463E-2</v>
      </c>
      <c r="E22" s="134"/>
      <c r="F22" s="134"/>
      <c r="G22" s="134"/>
      <c r="H22" s="134"/>
      <c r="I22" s="134"/>
    </row>
    <row r="23" spans="1:36" ht="13.5" thickBot="1">
      <c r="A23" s="1903"/>
      <c r="B23" s="1903"/>
      <c r="C23" s="1903"/>
      <c r="D23" s="1903"/>
      <c r="E23" s="134"/>
      <c r="F23" s="134"/>
      <c r="G23" s="134"/>
      <c r="H23" s="134"/>
      <c r="I23" s="134"/>
    </row>
    <row r="24" spans="1:36" ht="14.25">
      <c r="A24" s="3400" t="s">
        <v>1925</v>
      </c>
      <c r="B24" s="1918" t="s">
        <v>1917</v>
      </c>
      <c r="C24" s="141">
        <f>IF(B30=0,0,D30)</f>
        <v>0</v>
      </c>
      <c r="D24" s="1925"/>
      <c r="E24" s="134"/>
      <c r="F24" s="134"/>
      <c r="G24" s="134"/>
      <c r="H24" s="134"/>
      <c r="I24" s="134"/>
    </row>
    <row r="25" spans="1:36" ht="14.25">
      <c r="A25" s="340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5772</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77" t="s">
        <v>1938</v>
      </c>
      <c r="B36" s="1943" t="s">
        <v>1939</v>
      </c>
      <c r="C36" s="150"/>
      <c r="D36" s="1944"/>
      <c r="E36" s="1945"/>
      <c r="F36" s="1946"/>
      <c r="G36" s="134"/>
      <c r="H36" s="134"/>
      <c r="I36" s="134"/>
    </row>
    <row r="37" spans="1:15" ht="15.75" thickBot="1">
      <c r="A37" s="3378"/>
      <c r="B37" s="1830" t="s">
        <v>1940</v>
      </c>
      <c r="C37" s="152"/>
      <c r="D37" s="1273"/>
      <c r="E37" s="1273"/>
      <c r="F37" s="1946"/>
      <c r="G37" s="134"/>
      <c r="H37" s="134"/>
      <c r="I37" s="134"/>
    </row>
    <row r="38" spans="1:15" ht="15.75" thickBot="1">
      <c r="A38" s="337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7" t="s">
        <v>1952</v>
      </c>
      <c r="B45" s="3398"/>
      <c r="C45" s="3399"/>
      <c r="D45" s="160" t="e">
        <f ca="1">ROUND(H101*F45,0)</f>
        <v>#REF!</v>
      </c>
      <c r="E45" s="161" t="s">
        <v>1953</v>
      </c>
      <c r="F45" s="162">
        <v>1</v>
      </c>
      <c r="G45" s="163" t="s">
        <v>1954</v>
      </c>
      <c r="H45" s="134"/>
      <c r="I45" s="134"/>
      <c r="J45" s="3314" t="s">
        <v>1955</v>
      </c>
      <c r="K45" s="3314"/>
      <c r="L45" s="3314"/>
      <c r="M45" s="3314"/>
      <c r="N45" s="3314"/>
      <c r="O45" s="3314"/>
    </row>
    <row r="46" spans="1:15" ht="14.25" customHeight="1">
      <c r="A46" s="3394" t="s">
        <v>1956</v>
      </c>
      <c r="B46" s="3395"/>
      <c r="C46" s="3395"/>
      <c r="D46" s="3395"/>
      <c r="E46" s="3395"/>
      <c r="F46" s="3395"/>
      <c r="G46" s="3396"/>
      <c r="H46" s="1962"/>
      <c r="I46" s="164"/>
      <c r="J46" s="2719">
        <v>1</v>
      </c>
      <c r="K46" s="3315" t="s">
        <v>1957</v>
      </c>
      <c r="L46" s="3315"/>
      <c r="M46" s="3316"/>
      <c r="N46" s="3316"/>
      <c r="O46" s="3316"/>
    </row>
    <row r="47" spans="1:15" ht="12" customHeight="1">
      <c r="A47" s="165" t="s">
        <v>1958</v>
      </c>
      <c r="B47" s="166"/>
      <c r="C47" s="167"/>
      <c r="D47" s="1219" t="s">
        <v>1959</v>
      </c>
      <c r="E47" s="308" t="s">
        <v>1960</v>
      </c>
      <c r="F47" s="168" t="s">
        <v>1961</v>
      </c>
      <c r="G47" s="2742" t="s">
        <v>1962</v>
      </c>
      <c r="H47" s="2743"/>
      <c r="I47" s="164"/>
      <c r="J47" s="2719">
        <v>2</v>
      </c>
      <c r="K47" s="3315" t="s">
        <v>1963</v>
      </c>
      <c r="L47" s="3315"/>
      <c r="M47" s="3317">
        <f>'数据-取费表'!B2</f>
        <v>44579</v>
      </c>
      <c r="N47" s="3317"/>
      <c r="O47" s="3317"/>
    </row>
    <row r="48" spans="1:15" ht="25.5">
      <c r="A48" s="3380" t="s">
        <v>1964</v>
      </c>
      <c r="B48" s="3381"/>
      <c r="C48" s="3381"/>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15" t="s">
        <v>1966</v>
      </c>
      <c r="L48" s="3315"/>
      <c r="M48" s="3318" t="e">
        <f ca="1">H101</f>
        <v>#REF!</v>
      </c>
      <c r="N48" s="3318"/>
      <c r="O48" s="3318"/>
    </row>
    <row r="49" spans="1:35" ht="25.5" customHeight="1">
      <c r="A49" s="2526" t="s">
        <v>1967</v>
      </c>
      <c r="B49" s="3363" t="s">
        <v>1968</v>
      </c>
      <c r="C49" s="3363"/>
      <c r="D49" s="1745">
        <v>0</v>
      </c>
      <c r="E49" s="330" t="s">
        <v>1969</v>
      </c>
      <c r="F49" s="2620" t="s">
        <v>34</v>
      </c>
      <c r="G49" s="3346"/>
      <c r="H49" s="2498" t="s">
        <v>2817</v>
      </c>
      <c r="I49" s="2499"/>
      <c r="J49" s="2719">
        <v>4</v>
      </c>
      <c r="K49" s="3315" t="str">
        <f>IF(项目基本情况!E8="房地产抵押价值","房地产抵押价值","抵押担保权已注销时的房地产抵押价值")</f>
        <v>房地产抵押价值</v>
      </c>
      <c r="L49" s="3315"/>
      <c r="M49" s="3318" t="str">
        <f ca="1">IF(项目基本情况!E8="房地产抵押价值",H107,H109)</f>
        <v>——</v>
      </c>
      <c r="N49" s="3318"/>
      <c r="O49" s="3318"/>
    </row>
    <row r="50" spans="1:35" ht="25.5" customHeight="1">
      <c r="A50" s="2747"/>
      <c r="B50" s="3363" t="s">
        <v>1970</v>
      </c>
      <c r="C50" s="3363"/>
      <c r="D50" s="2748"/>
      <c r="E50" s="338"/>
      <c r="F50" s="2620"/>
      <c r="G50" s="3347"/>
      <c r="H50" s="2500" t="s">
        <v>2818</v>
      </c>
      <c r="I50" s="2499"/>
      <c r="J50" s="3314" t="s">
        <v>1971</v>
      </c>
      <c r="K50" s="3314"/>
      <c r="L50" s="3314"/>
      <c r="M50" s="3314"/>
      <c r="N50" s="3314"/>
      <c r="O50" s="3314"/>
    </row>
    <row r="51" spans="1:35" ht="20.45" customHeight="1">
      <c r="A51" s="2749"/>
      <c r="B51" s="3363" t="s">
        <v>1972</v>
      </c>
      <c r="C51" s="3363"/>
      <c r="D51" s="1219"/>
      <c r="E51" s="333"/>
      <c r="F51" s="2620"/>
      <c r="G51" s="3348"/>
      <c r="H51" s="2500" t="s">
        <v>2819</v>
      </c>
      <c r="I51" s="2499"/>
      <c r="J51" s="2720" t="s">
        <v>1973</v>
      </c>
      <c r="K51" s="3315" t="s">
        <v>1974</v>
      </c>
      <c r="L51" s="3315"/>
      <c r="M51" s="2720" t="s">
        <v>1975</v>
      </c>
      <c r="N51" s="2720" t="s">
        <v>1976</v>
      </c>
      <c r="O51" s="2720" t="s">
        <v>1977</v>
      </c>
    </row>
    <row r="52" spans="1:35" ht="24" customHeight="1">
      <c r="A52" s="2528" t="s">
        <v>1978</v>
      </c>
      <c r="B52" s="3363" t="s">
        <v>1979</v>
      </c>
      <c r="C52" s="3363"/>
      <c r="D52" s="1219" t="e">
        <f ca="1">ROUND(D45*'数据-取费表'!B41/(1+'数据-取费表'!C42),0)</f>
        <v>#REF!</v>
      </c>
      <c r="E52" s="2527" t="s">
        <v>1980</v>
      </c>
      <c r="F52" s="2750">
        <f>'数据-取费表'!B41</f>
        <v>5.6000000000000001E-2</v>
      </c>
      <c r="G52" s="2751"/>
      <c r="H52" s="2740"/>
      <c r="I52" s="1963"/>
      <c r="J52" s="2719">
        <v>1</v>
      </c>
      <c r="K52" s="3340" t="s">
        <v>1981</v>
      </c>
      <c r="L52" s="3340"/>
      <c r="M52" s="2721" t="b">
        <f>D48</f>
        <v>0</v>
      </c>
      <c r="N52" s="2719" t="str">
        <f>E48</f>
        <v>销售额×税（费）率</v>
      </c>
      <c r="O52" s="2722">
        <f>F48</f>
        <v>5.6000000000000001E-2</v>
      </c>
    </row>
    <row r="53" spans="1:35" ht="12" customHeight="1">
      <c r="A53" s="2528" t="s">
        <v>1982</v>
      </c>
      <c r="B53" s="3364" t="s">
        <v>2978</v>
      </c>
      <c r="C53" s="3365"/>
      <c r="D53" s="1219" t="e">
        <f ca="1">ROUND(D45*'数据-取费表'!B41/(1+'数据-取费表'!C42),0)</f>
        <v>#REF!</v>
      </c>
      <c r="E53" s="2527" t="s">
        <v>1980</v>
      </c>
      <c r="F53" s="2750">
        <f>'数据-取费表'!B41</f>
        <v>5.6000000000000001E-2</v>
      </c>
      <c r="G53" s="2751"/>
      <c r="H53" s="2740"/>
      <c r="I53" s="1963"/>
      <c r="J53" s="2719">
        <v>2</v>
      </c>
      <c r="K53" s="3340" t="s">
        <v>1983</v>
      </c>
      <c r="L53" s="3340"/>
      <c r="M53" s="2721" t="e">
        <f t="shared" ref="M53:O54" ca="1" si="0">D55</f>
        <v>#REF!</v>
      </c>
      <c r="N53" s="2719" t="str">
        <f t="shared" si="0"/>
        <v>销售额×税（费）率</v>
      </c>
      <c r="O53" s="2722" t="str">
        <f t="shared" si="0"/>
        <v>免征</v>
      </c>
    </row>
    <row r="54" spans="1:35" ht="12" customHeight="1">
      <c r="A54" s="2528" t="s">
        <v>1984</v>
      </c>
      <c r="B54" s="3364" t="s">
        <v>2979</v>
      </c>
      <c r="C54" s="3365"/>
      <c r="D54" s="1219" t="e">
        <f ca="1">C68</f>
        <v>#REF!</v>
      </c>
      <c r="E54" s="333" t="s">
        <v>1985</v>
      </c>
      <c r="F54" s="2750">
        <f>'数据-取费表'!B41</f>
        <v>5.6000000000000001E-2</v>
      </c>
      <c r="G54" s="2751"/>
      <c r="H54" s="2752"/>
      <c r="I54" s="1963"/>
      <c r="J54" s="2719">
        <v>3</v>
      </c>
      <c r="K54" s="3340" t="s">
        <v>1986</v>
      </c>
      <c r="L54" s="3340"/>
      <c r="M54" s="2721" t="e">
        <f t="shared" ca="1" si="0"/>
        <v>#REF!</v>
      </c>
      <c r="N54" s="2719" t="str">
        <f t="shared" si="0"/>
        <v>增值额×税（费）率</v>
      </c>
      <c r="O54" s="2723" t="str">
        <f t="shared" si="0"/>
        <v>免征</v>
      </c>
    </row>
    <row r="55" spans="1:35" ht="24" customHeight="1">
      <c r="A55" s="3403" t="s">
        <v>1987</v>
      </c>
      <c r="B55" s="3381"/>
      <c r="C55" s="3381"/>
      <c r="D55" s="2517" t="e">
        <f ca="1">IF(H55="个人住宅",0,ROUND(D45*I55,0))</f>
        <v>#REF!</v>
      </c>
      <c r="E55" s="2527" t="s">
        <v>1988</v>
      </c>
      <c r="F55" s="2750" t="str">
        <f>IF(H55="正常",I55,"免征")</f>
        <v>免征</v>
      </c>
      <c r="G55" s="2751"/>
      <c r="H55" s="2746"/>
      <c r="I55" s="170">
        <f>'数据-取费表'!B49</f>
        <v>5.0000000000000001E-4</v>
      </c>
      <c r="J55" s="2719">
        <f>IF(H59="非个人房产","",4)</f>
        <v>4</v>
      </c>
      <c r="K55" s="3340" t="str">
        <f>IF(H59="非个人房产","——","个人所得税")</f>
        <v>个人所得税</v>
      </c>
      <c r="L55" s="3340"/>
      <c r="M55" s="2724" t="e">
        <f ca="1">D59</f>
        <v>#REF!</v>
      </c>
      <c r="N55" s="2198" t="str">
        <f>E59</f>
        <v>差额计税</v>
      </c>
      <c r="O55" s="2725">
        <f>F59</f>
        <v>0.01</v>
      </c>
    </row>
    <row r="56" spans="1:35" ht="24.75">
      <c r="A56" s="3403" t="s">
        <v>1989</v>
      </c>
      <c r="B56" s="3381"/>
      <c r="C56" s="3381"/>
      <c r="D56" s="2517" t="e">
        <f ca="1">IF(H56="个人住宅",D57,D58)</f>
        <v>#REF!</v>
      </c>
      <c r="E56" s="2527" t="s">
        <v>1990</v>
      </c>
      <c r="F56" s="2750" t="str">
        <f>IF(H56="正常",F58,"免征")</f>
        <v>免征</v>
      </c>
      <c r="G56" s="2753" t="s">
        <v>1991</v>
      </c>
      <c r="H56" s="2754"/>
      <c r="I56" s="1964"/>
      <c r="J56" s="2719" t="str">
        <f>IF(项目基本情况!K6="上海银行",IF(J55="",4,J55+1),"")</f>
        <v/>
      </c>
      <c r="K56" s="3321" t="str">
        <f>IF(项目基本情况!K6="上海银行","其他处置费用","")</f>
        <v/>
      </c>
      <c r="L56" s="3322"/>
      <c r="M56" s="2721" t="str">
        <f>IF(项目基本情况!K6="上海银行",M69,"")</f>
        <v/>
      </c>
      <c r="N56" s="3321" t="str">
        <f>IF(项目基本情况!K6="上海银行","包含处置中涉及的律师、诉讼、拍卖、评估等费用","")</f>
        <v/>
      </c>
      <c r="O56" s="3324"/>
    </row>
    <row r="57" spans="1:35" ht="12.75">
      <c r="A57" s="2528" t="s">
        <v>1967</v>
      </c>
      <c r="B57" s="3364" t="s">
        <v>1992</v>
      </c>
      <c r="C57" s="3365"/>
      <c r="D57" s="1745">
        <v>0</v>
      </c>
      <c r="E57" s="330" t="s">
        <v>1969</v>
      </c>
      <c r="F57" s="308"/>
      <c r="G57" s="2751"/>
      <c r="H57" s="2755"/>
      <c r="I57" s="1964"/>
      <c r="J57" s="3340">
        <f>IF(AND(J55="",J56=""),4,IF(项目基本情况!K6="上海银行",结果表!J56+1,结果表!J55+1))</f>
        <v>5</v>
      </c>
      <c r="K57" s="3340" t="s">
        <v>1993</v>
      </c>
      <c r="L57" s="2726" t="s">
        <v>1994</v>
      </c>
      <c r="M57" s="2727"/>
      <c r="N57" s="2728">
        <f ca="1">SUMIF(M52:M56,"&lt;9e307")</f>
        <v>0</v>
      </c>
      <c r="O57" s="2729"/>
      <c r="P57" s="2889" t="e">
        <f ca="1">N57/M49</f>
        <v>#VALUE!</v>
      </c>
    </row>
    <row r="58" spans="1:35" ht="24.75">
      <c r="A58" s="2528" t="s">
        <v>1978</v>
      </c>
      <c r="B58" s="3364" t="s">
        <v>1995</v>
      </c>
      <c r="C58" s="3363"/>
      <c r="D58" s="2517" t="e">
        <f ca="1">IF(H58="转让取得",C81,C97)</f>
        <v>#REF!</v>
      </c>
      <c r="E58" s="2527" t="s">
        <v>1990</v>
      </c>
      <c r="F58" s="308" t="s">
        <v>34</v>
      </c>
      <c r="G58" s="2751"/>
      <c r="H58" s="2754"/>
      <c r="I58" s="1964"/>
      <c r="J58" s="3340"/>
      <c r="K58" s="3340"/>
      <c r="L58" s="2726" t="s">
        <v>1996</v>
      </c>
      <c r="M58" s="2730"/>
      <c r="N58" s="2731" t="str">
        <f ca="1">NUMBERSTRING(INT(N57*10000),2)&amp;"元整"</f>
        <v>零元整</v>
      </c>
      <c r="O58" s="2732"/>
    </row>
    <row r="59" spans="1:35" ht="24.75" thickBot="1">
      <c r="A59" s="3344" t="s">
        <v>1997</v>
      </c>
      <c r="B59" s="3345"/>
      <c r="C59" s="3345"/>
      <c r="D59" s="2756" t="e">
        <f ca="1">IF(H59="非个人房产","——",IF(H59="个人住宅（满五唯一有凭证）",0,IF(H59="个人其他（无凭证）",ROUND(D45*F59,0),ROUND(C67*F59,0))))</f>
        <v>#REF!</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42">
        <f>J57+1</f>
        <v>6</v>
      </c>
      <c r="K59" s="3340" t="s">
        <v>1998</v>
      </c>
      <c r="L59" s="2719" t="s">
        <v>1994</v>
      </c>
      <c r="M59" s="2733"/>
      <c r="N59" s="2734" t="e">
        <f ca="1">M49-N57</f>
        <v>#VALUE!</v>
      </c>
      <c r="O59" s="2735"/>
    </row>
    <row r="60" spans="1:35" ht="12" customHeight="1">
      <c r="A60" s="1965"/>
      <c r="B60" s="1903"/>
      <c r="C60" s="1903"/>
      <c r="D60" s="1903"/>
      <c r="E60" s="1733"/>
      <c r="F60" s="1964"/>
      <c r="G60" s="1964"/>
      <c r="H60" s="1966"/>
      <c r="I60" s="134"/>
      <c r="J60" s="3343"/>
      <c r="K60" s="3340"/>
      <c r="L60" s="2726" t="s">
        <v>1996</v>
      </c>
      <c r="M60" s="2730"/>
      <c r="N60" s="2731" t="e">
        <f ca="1">NUMBERSTRING(INT(N59*10000),2)&amp;"元整"</f>
        <v>#VALUE!</v>
      </c>
      <c r="O60" s="2732"/>
    </row>
    <row r="61" spans="1:35" ht="13.5" thickBot="1">
      <c r="A61" s="3402" t="s">
        <v>1999</v>
      </c>
      <c r="B61" s="3402"/>
      <c r="C61" s="3402"/>
      <c r="D61" s="3402"/>
      <c r="E61" s="3402"/>
      <c r="F61" s="1964"/>
      <c r="G61" s="1964"/>
      <c r="H61" s="1966"/>
      <c r="I61" s="134"/>
      <c r="J61" s="2719">
        <f>J59+1</f>
        <v>7</v>
      </c>
      <c r="K61" s="3340" t="s">
        <v>2000</v>
      </c>
      <c r="L61" s="3340"/>
      <c r="M61" s="2736"/>
      <c r="N61" s="2737" t="e">
        <f ca="1">ROUND(N59*10000/'数据-汇总表'!E3,0)</f>
        <v>#VALUE!</v>
      </c>
      <c r="O61" s="2738"/>
    </row>
    <row r="62" spans="1:35" ht="12.75">
      <c r="A62" s="3359" t="s">
        <v>2001</v>
      </c>
      <c r="B62" s="3360"/>
      <c r="C62" s="2179"/>
      <c r="D62" s="2179" t="s">
        <v>2002</v>
      </c>
      <c r="E62" s="171" t="s">
        <v>2003</v>
      </c>
      <c r="F62" s="1964"/>
      <c r="G62" s="1964"/>
      <c r="H62" s="1966"/>
      <c r="I62" s="134"/>
    </row>
    <row r="63" spans="1:35" ht="12.75">
      <c r="A63" s="178" t="s">
        <v>775</v>
      </c>
      <c r="B63" s="172" t="s">
        <v>2004</v>
      </c>
      <c r="C63" s="2760" t="e">
        <f ca="1">ROUND((C64+C65)/(1+'数据-取费表'!C42),0)</f>
        <v>#REF!</v>
      </c>
      <c r="D63" s="172"/>
      <c r="E63" s="173"/>
      <c r="F63" s="1964"/>
      <c r="G63" s="1964"/>
      <c r="H63" s="1966"/>
      <c r="I63" s="134"/>
      <c r="J63" s="3323" t="s">
        <v>2005</v>
      </c>
      <c r="K63" s="1472" t="s">
        <v>2006</v>
      </c>
      <c r="L63" s="1472" t="e">
        <f ca="1">IF(M49&gt;10000,M49*0.5%,IF(AND(M49&gt;1000,M49&lt;=10000),M49*1%,IF(AND(M49&gt;100,M49&lt;=1000),M49*3%,IF(AND(M49&gt;10,M49&lt;=100),M49*5%,M49*8%))))</f>
        <v>#VALUE!</v>
      </c>
      <c r="M63" s="308" t="e">
        <f ca="1">ROUND(L63,1)</f>
        <v>#VALUE!</v>
      </c>
      <c r="N63" s="2739"/>
      <c r="Z63" s="1908"/>
      <c r="AI63" s="1909"/>
    </row>
    <row r="64" spans="1:35" ht="14.25" customHeight="1">
      <c r="A64" s="174" t="s">
        <v>770</v>
      </c>
      <c r="B64" s="175" t="s">
        <v>2007</v>
      </c>
      <c r="C64" s="2761" t="e">
        <f ca="1">D45</f>
        <v>#REF!</v>
      </c>
      <c r="D64" s="175" t="s">
        <v>32</v>
      </c>
      <c r="E64" s="177"/>
      <c r="F64" s="1964"/>
      <c r="G64" s="1964"/>
      <c r="H64" s="1966"/>
      <c r="I64" s="134"/>
      <c r="J64" s="3323"/>
      <c r="K64" s="1472" t="s">
        <v>2008</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40" t="s">
        <v>2009</v>
      </c>
      <c r="Z64" s="1908"/>
      <c r="AI64" s="1909"/>
    </row>
    <row r="65" spans="1:35" ht="14.25" customHeight="1">
      <c r="A65" s="174" t="s">
        <v>771</v>
      </c>
      <c r="B65" s="175" t="s">
        <v>2010</v>
      </c>
      <c r="C65" s="2762"/>
      <c r="D65" s="175"/>
      <c r="E65" s="177"/>
      <c r="F65" s="1964"/>
      <c r="G65" s="1964"/>
      <c r="H65" s="1966"/>
      <c r="I65" s="134"/>
      <c r="J65" s="3323"/>
      <c r="K65" s="1472" t="s">
        <v>2011</v>
      </c>
      <c r="L65" s="1472" t="e">
        <f ca="1">IF(M49&gt;1000,M49*0.1%,IF(AND(M49&gt;500,M49&lt;=1000),M49*0.5%,IF(AND(M49&gt;50,M49&lt;=500),M49*1%,IF(AND(M49&gt;1,M49&lt;=50),M49*1.5%))))</f>
        <v>#VALUE!</v>
      </c>
      <c r="M65" s="308" t="e">
        <f t="shared" ca="1" si="1"/>
        <v>#VALUE!</v>
      </c>
      <c r="N65" s="2740" t="s">
        <v>2009</v>
      </c>
      <c r="Z65" s="1908"/>
      <c r="AI65" s="1909"/>
    </row>
    <row r="66" spans="1:35" ht="14.25" customHeight="1">
      <c r="A66" s="178" t="s">
        <v>772</v>
      </c>
      <c r="B66" s="179" t="s">
        <v>2012</v>
      </c>
      <c r="C66" s="2763"/>
      <c r="D66" s="179" t="s">
        <v>32</v>
      </c>
      <c r="E66" s="1479" t="s">
        <v>1277</v>
      </c>
      <c r="F66" s="1964"/>
      <c r="G66" s="1964"/>
      <c r="H66" s="1966"/>
      <c r="I66" s="134"/>
      <c r="J66" s="3323"/>
      <c r="K66" s="1472" t="s">
        <v>2013</v>
      </c>
      <c r="L66" s="1472" t="e">
        <f ca="1">M49*0.5%</f>
        <v>#VALUE!</v>
      </c>
      <c r="M66" s="308" t="e">
        <f ca="1">IF(L66&gt;0.5,0.5,ROUND(L66,0))</f>
        <v>#VALUE!</v>
      </c>
      <c r="N66" s="2740" t="s">
        <v>2014</v>
      </c>
      <c r="Z66" s="1908"/>
      <c r="AI66" s="1909"/>
    </row>
    <row r="67" spans="1:35" ht="14.25" customHeight="1">
      <c r="A67" s="178" t="s">
        <v>773</v>
      </c>
      <c r="B67" s="179" t="s">
        <v>2015</v>
      </c>
      <c r="C67" s="2764" t="e">
        <f ca="1">C63-C66</f>
        <v>#REF!</v>
      </c>
      <c r="D67" s="175" t="s">
        <v>32</v>
      </c>
      <c r="E67" s="177"/>
      <c r="F67" s="1964"/>
      <c r="G67" s="1964"/>
      <c r="H67" s="1966"/>
      <c r="I67" s="134"/>
      <c r="J67" s="3323"/>
      <c r="K67" s="1472" t="s">
        <v>2016</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9"/>
      <c r="Z67" s="1908"/>
      <c r="AI67" s="1909"/>
    </row>
    <row r="68" spans="1:35" ht="14.25" customHeight="1" thickBot="1">
      <c r="A68" s="181" t="s">
        <v>774</v>
      </c>
      <c r="B68" s="182" t="s">
        <v>2017</v>
      </c>
      <c r="C68" s="2765" t="e">
        <f ca="1">IF(C67&lt;=0,0,ROUND(C67*D68,0))</f>
        <v>#REF!</v>
      </c>
      <c r="D68" s="2766">
        <f>'数据-取费表'!B41</f>
        <v>5.6000000000000001E-2</v>
      </c>
      <c r="E68" s="184"/>
      <c r="F68" s="1964"/>
      <c r="G68" s="1964"/>
      <c r="H68" s="1966"/>
      <c r="I68" s="134"/>
      <c r="J68" s="3323"/>
      <c r="K68" s="1472" t="s">
        <v>2018</v>
      </c>
      <c r="L68" s="1472" t="e">
        <f ca="1">IF(M49&gt;10000,M49*0.5%,IF(AND(M49&gt;5000,M49&lt;=10000),M49*1%,IF(AND(M49&gt;1000,M49&lt;=5000),M49*2%,IF(AND(M49&gt;200,M49&lt;=1000),M49*3%,M49*5%))))</f>
        <v>#VALUE!</v>
      </c>
      <c r="M68" s="308" t="e">
        <f ca="1">ROUND(L68,1)</f>
        <v>#VALUE!</v>
      </c>
      <c r="N68" s="2739"/>
      <c r="Z68" s="1908"/>
      <c r="AI68" s="1909"/>
    </row>
    <row r="69" spans="1:35" s="1928" customFormat="1" ht="16.5" customHeight="1">
      <c r="A69" s="1967"/>
      <c r="B69" s="1968"/>
      <c r="C69" s="1969"/>
      <c r="D69" s="1970"/>
      <c r="E69" s="1971"/>
      <c r="F69" s="1733"/>
      <c r="G69" s="1733"/>
      <c r="H69" s="1732"/>
      <c r="I69" s="1903"/>
      <c r="J69" s="3323"/>
      <c r="K69" s="1472" t="s">
        <v>2019</v>
      </c>
      <c r="L69" s="1472"/>
      <c r="M69" s="308" t="e">
        <f ca="1">ROUND(SUM(M63:M68),0)</f>
        <v>#VALUE!</v>
      </c>
      <c r="N69" s="2741" t="e">
        <f ca="1">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7" t="s">
        <v>2020</v>
      </c>
      <c r="B70" s="3368"/>
      <c r="C70" s="3368"/>
      <c r="D70" s="3368"/>
      <c r="E70" s="3368"/>
      <c r="F70" s="3368"/>
      <c r="G70" s="3368"/>
      <c r="H70" s="336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9" t="s">
        <v>2001</v>
      </c>
      <c r="B71" s="3360"/>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t="e">
        <f ca="1">ROUND(D45/(1+'数据-取费表'!C42),0)</f>
        <v>#REF!</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64" t="s">
        <v>2028</v>
      </c>
      <c r="F76" s="3363"/>
      <c r="G76" s="3363"/>
      <c r="H76" s="336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t="e">
        <f ca="1">ROUND(D45*D78/(1+'数据-取费表'!C42),0)</f>
        <v>#REF!</v>
      </c>
      <c r="D78" s="2773">
        <f>'数据-取费表'!B43</f>
        <v>6.000000000000001E-3</v>
      </c>
      <c r="E78" s="3356" t="s">
        <v>2032</v>
      </c>
      <c r="F78" s="3357"/>
      <c r="G78" s="3357"/>
      <c r="H78" s="335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t="e">
        <f ca="1">ROUND(IF(C79&lt;=0,0,IF(C80&gt;=200%,C79*60%-C73*35%,IF(C80&gt;=100%,C79*50%-C73*15%,IF(C80&gt;=50%,C79*40%-C73*5%,IF(C80&lt;50%,C79*30%,0))))),0)</f>
        <v>#REF!</v>
      </c>
      <c r="D81" s="277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7" t="s">
        <v>2036</v>
      </c>
      <c r="B83" s="3368"/>
      <c r="C83" s="3368"/>
      <c r="D83" s="3368"/>
      <c r="E83" s="3368"/>
      <c r="F83" s="3368"/>
      <c r="G83" s="3368"/>
      <c r="H83" s="336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9" t="s">
        <v>2001</v>
      </c>
      <c r="B84" s="3360"/>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t="e">
        <f ca="1">IF(H88="仅含出让金",C87+C90+C91+C92+C93+C94,C87+C91+C92+C93+C94)</f>
        <v>#REF!</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25" t="s">
        <v>2812</v>
      </c>
      <c r="H90" s="3326"/>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56" t="s">
        <v>2045</v>
      </c>
      <c r="F91" s="3357"/>
      <c r="G91" s="335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56" t="s">
        <v>2048</v>
      </c>
      <c r="F92" s="3357"/>
      <c r="G92" s="3357"/>
      <c r="H92" s="3358"/>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t="e">
        <f ca="1">ROUND(D45*D93/(1+'数据-取费表'!C42),0)</f>
        <v>#REF!</v>
      </c>
      <c r="D93" s="2773">
        <f>'数据-取费表'!B43</f>
        <v>6.000000000000001E-3</v>
      </c>
      <c r="E93" s="3356" t="s">
        <v>2032</v>
      </c>
      <c r="F93" s="3357"/>
      <c r="G93" s="3357"/>
      <c r="H93" s="335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404" t="s">
        <v>2052</v>
      </c>
      <c r="F94" s="3405"/>
      <c r="G94" s="3405"/>
      <c r="H94" s="340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t="e">
        <f ca="1">ROUND(IF(C95&lt;=0,0,IF(C96&gt;=200%,C95*60%-C86*35%,IF(C96&gt;=100%,C95*50%-C86*15%,IF(C96&gt;=50%,C95*40%-C86*5%,IF(C96&lt;50%,C95*30%,0))))),0)</f>
        <v>#REF!</v>
      </c>
      <c r="D97" s="277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6" t="s">
        <v>2054</v>
      </c>
      <c r="B100" s="3307"/>
      <c r="C100" s="3307"/>
      <c r="D100" s="3341"/>
      <c r="E100" s="3307" t="s">
        <v>2055</v>
      </c>
      <c r="F100" s="3307"/>
      <c r="G100" s="3307"/>
      <c r="H100" s="3341"/>
      <c r="I100" s="134"/>
    </row>
    <row r="101" spans="1:35" ht="18.75" customHeight="1">
      <c r="A101" s="3349" t="s">
        <v>2056</v>
      </c>
      <c r="B101" s="3350"/>
      <c r="C101" s="2781" t="str">
        <f>C4</f>
        <v>成本法</v>
      </c>
      <c r="D101" s="2782" t="str">
        <f>D4</f>
        <v>比较法-住宅</v>
      </c>
      <c r="E101" s="3319" t="s">
        <v>2057</v>
      </c>
      <c r="F101" s="3320"/>
      <c r="G101" s="1983" t="s">
        <v>2058</v>
      </c>
      <c r="H101" s="2791" t="e">
        <f ca="1">H118</f>
        <v>#REF!</v>
      </c>
      <c r="I101" s="134"/>
    </row>
    <row r="102" spans="1:35" ht="18.75" customHeight="1">
      <c r="A102" s="3351" t="s">
        <v>2059</v>
      </c>
      <c r="B102" s="2780" t="s">
        <v>2058</v>
      </c>
      <c r="C102" s="2781">
        <f ca="1">C19</f>
        <v>23046</v>
      </c>
      <c r="D102" s="2782">
        <f ca="1">D19</f>
        <v>21464</v>
      </c>
      <c r="E102" s="3319"/>
      <c r="F102" s="3320"/>
      <c r="G102" s="1983" t="s">
        <v>2060</v>
      </c>
      <c r="H102" s="2751" t="e">
        <f ca="1">I118</f>
        <v>#REF!</v>
      </c>
      <c r="I102" s="134"/>
    </row>
    <row r="103" spans="1:35" ht="42.75" customHeight="1">
      <c r="A103" s="3351"/>
      <c r="B103" s="2780" t="s">
        <v>2060</v>
      </c>
      <c r="C103" s="2783">
        <f ca="1">C20</f>
        <v>5977</v>
      </c>
      <c r="D103" s="2784">
        <f ca="1">D20</f>
        <v>5567</v>
      </c>
      <c r="E103" s="3312" t="s">
        <v>2061</v>
      </c>
      <c r="F103" s="3313"/>
      <c r="G103" s="1984" t="s">
        <v>2062</v>
      </c>
      <c r="H103" s="2791">
        <f>IF(D36="正常操作",H104+H105+H106,H105+H106)</f>
        <v>0</v>
      </c>
      <c r="I103" s="134"/>
    </row>
    <row r="104" spans="1:35" ht="18.75" customHeight="1">
      <c r="A104" s="3351" t="s">
        <v>2063</v>
      </c>
      <c r="B104" s="2785" t="s">
        <v>2058</v>
      </c>
      <c r="C104" s="2786" t="e">
        <f ca="1">H118</f>
        <v>#REF!</v>
      </c>
      <c r="D104" s="2787"/>
      <c r="E104" s="1830" t="s">
        <v>2064</v>
      </c>
      <c r="F104" s="1821"/>
      <c r="G104" s="1984" t="s">
        <v>2062</v>
      </c>
      <c r="H104" s="2792">
        <f>IF(D36="同一抵押权人同一抵押物续贷",C36&amp;"（续贷，未扣减，详见特别提示）",C36)</f>
        <v>0</v>
      </c>
      <c r="I104" s="134"/>
    </row>
    <row r="105" spans="1:35" ht="18.75" customHeight="1" thickBot="1">
      <c r="A105" s="3361"/>
      <c r="B105" s="2788" t="s">
        <v>2060</v>
      </c>
      <c r="C105" s="2789" t="e">
        <f ca="1">I118</f>
        <v>#REF!</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2" t="str">
        <f>IF(项目基本情况!E8="已注销","——","3.房地产抵押价值")</f>
        <v>3.房地产抵押价值</v>
      </c>
      <c r="F107" s="3320"/>
      <c r="G107" s="1983" t="s">
        <v>2058</v>
      </c>
      <c r="H107" s="2791" t="str">
        <f ca="1">IF(E107="——","——",H101-H103)</f>
        <v>——</v>
      </c>
      <c r="I107" s="134"/>
    </row>
    <row r="108" spans="1:35" ht="18.75" customHeight="1">
      <c r="A108" s="134"/>
      <c r="B108" s="134"/>
      <c r="C108" s="134"/>
      <c r="D108" s="134"/>
      <c r="E108" s="3352"/>
      <c r="F108" s="3320"/>
      <c r="G108" s="1983" t="s">
        <v>2060</v>
      </c>
      <c r="H108" s="2751" t="e">
        <f ca="1">ROUND(H107*10000/'数据-汇总表'!E3,0)</f>
        <v>#VALUE!</v>
      </c>
      <c r="I108" s="134"/>
    </row>
    <row r="109" spans="1:35" ht="18.75" customHeight="1">
      <c r="A109" s="134"/>
      <c r="B109" s="134"/>
      <c r="C109" s="134"/>
      <c r="D109" s="134"/>
      <c r="E109" s="3352" t="str">
        <f>IF(项目基本情况!E8="已注销及未注销","4.抵押担保权已注销时的房地产抵押价值",IF(项目基本情况!E8="已注销","3.抵押担保权已注销时的房地产抵押价值","——"))</f>
        <v>——</v>
      </c>
      <c r="F109" s="3320"/>
      <c r="G109" s="1983" t="s">
        <v>2058</v>
      </c>
      <c r="H109" s="2794" t="str">
        <f>IF(E109="——","——",H101-H105-H106)</f>
        <v>——</v>
      </c>
      <c r="I109" s="134"/>
    </row>
    <row r="110" spans="1:35" ht="18.75" customHeight="1">
      <c r="A110" s="134"/>
      <c r="B110" s="134"/>
      <c r="C110" s="134"/>
      <c r="D110" s="134"/>
      <c r="E110" s="3352"/>
      <c r="F110" s="3320"/>
      <c r="G110" s="1983" t="s">
        <v>2060</v>
      </c>
      <c r="H110" s="2751" t="str">
        <f>IF(H109="——","——",ROUND(H109*10000/'数据-汇总表'!E3,0))</f>
        <v>——</v>
      </c>
      <c r="I110" s="134"/>
    </row>
    <row r="111" spans="1:35" ht="18.75" customHeight="1">
      <c r="A111" s="134"/>
      <c r="B111" s="134"/>
      <c r="C111" s="134"/>
      <c r="D111" s="134"/>
      <c r="E111" s="3353" t="str">
        <f>IF(项目基本情况!E9="抵押净值",IF(OR(项目基本情况!E8="已注销",项目基本情况!E8="房地产抵押价值"),"4.抵押净值","5.抵押净值"),"——")</f>
        <v>4.抵押净值</v>
      </c>
      <c r="F111" s="3339"/>
      <c r="G111" s="1983" t="s">
        <v>2058</v>
      </c>
      <c r="H111" s="2791" t="str">
        <f ca="1">IF(E111="——","——",N59)</f>
        <v>——</v>
      </c>
      <c r="I111" s="134"/>
    </row>
    <row r="112" spans="1:35" ht="18.75" customHeight="1" thickBot="1">
      <c r="A112" s="134"/>
      <c r="B112" s="134"/>
      <c r="C112" s="134"/>
      <c r="D112" s="134"/>
      <c r="E112" s="3354"/>
      <c r="F112" s="3355"/>
      <c r="G112" s="1986" t="s">
        <v>2060</v>
      </c>
      <c r="H112" s="2795" t="str">
        <f ca="1">IF(E111="——","——",N61)</f>
        <v>——</v>
      </c>
      <c r="I112" s="134"/>
    </row>
    <row r="113" spans="1:27" ht="18.75" customHeight="1">
      <c r="A113" s="134"/>
      <c r="B113" s="134"/>
      <c r="C113" s="134"/>
      <c r="D113" s="134"/>
      <c r="E113" s="3362" t="s">
        <v>2066</v>
      </c>
      <c r="F113" s="3362"/>
      <c r="G113" s="3362"/>
      <c r="H113" s="3362"/>
      <c r="I113" s="134"/>
    </row>
    <row r="114" spans="1:27" ht="3.75" customHeight="1">
      <c r="A114" s="1903"/>
      <c r="B114" s="1903"/>
      <c r="C114" s="1903"/>
      <c r="D114" s="1903"/>
      <c r="E114" s="1965"/>
      <c r="F114" s="1965"/>
      <c r="G114" s="1965"/>
      <c r="H114" s="1965"/>
      <c r="I114" s="1903"/>
    </row>
    <row r="115" spans="1:27" ht="18.75" customHeight="1">
      <c r="A115" s="3373" t="s">
        <v>2068</v>
      </c>
      <c r="B115" s="3374"/>
      <c r="C115" s="3374"/>
      <c r="D115" s="3374"/>
      <c r="E115" s="3374"/>
      <c r="F115" s="3374"/>
      <c r="G115" s="3374"/>
      <c r="H115" s="3374"/>
      <c r="I115" s="3375"/>
    </row>
    <row r="116" spans="1:27" ht="27" customHeight="1">
      <c r="A116" s="3327" t="s">
        <v>2069</v>
      </c>
      <c r="B116" s="3331" t="s">
        <v>2070</v>
      </c>
      <c r="C116" s="3331" t="s">
        <v>2071</v>
      </c>
      <c r="D116" s="3337" t="s">
        <v>2072</v>
      </c>
      <c r="E116" s="3338"/>
      <c r="F116" s="3369" t="s">
        <v>2073</v>
      </c>
      <c r="G116" s="3369"/>
      <c r="H116" s="3327" t="s">
        <v>2074</v>
      </c>
      <c r="I116" s="3327"/>
    </row>
    <row r="117" spans="1:27" ht="18.75" customHeight="1">
      <c r="A117" s="3327"/>
      <c r="B117" s="3332"/>
      <c r="C117" s="3332"/>
      <c r="D117" s="2522" t="s">
        <v>2075</v>
      </c>
      <c r="E117" s="2522" t="s">
        <v>2076</v>
      </c>
      <c r="F117" s="2522" t="s">
        <v>2075</v>
      </c>
      <c r="G117" s="2522" t="s">
        <v>2077</v>
      </c>
      <c r="H117" s="2522" t="s">
        <v>2075</v>
      </c>
      <c r="I117" s="2522" t="s">
        <v>2077</v>
      </c>
    </row>
    <row r="118" spans="1:27" ht="24.75" customHeight="1">
      <c r="A118" s="2796" t="str">
        <f>项目基本情况!S2</f>
        <v>房地产</v>
      </c>
      <c r="B118" s="2522">
        <f>M18</f>
        <v>38556.25</v>
      </c>
      <c r="C118" s="2522">
        <f>M19</f>
        <v>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27" t="s">
        <v>2078</v>
      </c>
      <c r="B119" s="3327"/>
      <c r="C119" s="3327"/>
      <c r="D119" s="3333" t="e">
        <f ca="1">NUMBERSTRING(INT(D118*10000),2)&amp;"元整"</f>
        <v>#REF!</v>
      </c>
      <c r="E119" s="3334"/>
      <c r="F119" s="3333" t="e">
        <f ca="1">NUMBERSTRING(INT(F118*10000),2)&amp;"元整"</f>
        <v>#REF!</v>
      </c>
      <c r="G119" s="3334"/>
      <c r="H119" s="3333" t="e">
        <f ca="1">NUMBERSTRING(INT(H118*10000),2)&amp;"元整"</f>
        <v>#REF!</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0" t="s">
        <v>2078</v>
      </c>
      <c r="B121" s="3371"/>
      <c r="C121" s="3372"/>
      <c r="D121" s="3333" t="str">
        <f>IF(D120=0,"零元整",NUMBERSTRING(INT(D120*10000),2)&amp;"元整")</f>
        <v>零元整</v>
      </c>
      <c r="E121" s="3335"/>
      <c r="F121" s="3335"/>
      <c r="G121" s="3335"/>
      <c r="H121" s="3335"/>
      <c r="I121" s="3334"/>
      <c r="AA121" s="734"/>
    </row>
    <row r="122" spans="1:27" ht="18.75" customHeight="1">
      <c r="A122" s="3339" t="str">
        <f>IF(项目基本情况!B9="房地产市场价值","",MID(E107,3,LEN(E107)-2))</f>
        <v>房地产抵押价值</v>
      </c>
      <c r="B122" s="3339"/>
      <c r="C122" s="3339"/>
      <c r="D122" s="3328" t="str">
        <f ca="1">H107</f>
        <v>——</v>
      </c>
      <c r="E122" s="3329"/>
      <c r="F122" s="3329"/>
      <c r="G122" s="3329"/>
      <c r="H122" s="3329"/>
      <c r="I122" s="3330"/>
      <c r="AA122" s="734"/>
    </row>
    <row r="123" spans="1:27" ht="18.75" customHeight="1">
      <c r="A123" s="3327" t="s">
        <v>2078</v>
      </c>
      <c r="B123" s="3327"/>
      <c r="C123" s="3327"/>
      <c r="D123" s="3333" t="e">
        <f ca="1">NUMBERSTRING(INT(D122*10000),2)&amp;"元整"</f>
        <v>#VALUE!</v>
      </c>
      <c r="E123" s="3335"/>
      <c r="F123" s="3335"/>
      <c r="G123" s="3335"/>
      <c r="H123" s="3335"/>
      <c r="I123" s="3334"/>
      <c r="AA123" s="734"/>
    </row>
    <row r="124" spans="1:27" ht="18.75" customHeight="1">
      <c r="A124" s="3339" t="str">
        <f>IF(项目基本情况!B9="房地产市场价值","",MID(E109,3,LEN(E109)-2))</f>
        <v/>
      </c>
      <c r="B124" s="3339"/>
      <c r="C124" s="3339"/>
      <c r="D124" s="3328" t="str">
        <f>H109</f>
        <v>——</v>
      </c>
      <c r="E124" s="3329"/>
      <c r="F124" s="3329"/>
      <c r="G124" s="3329"/>
      <c r="H124" s="3329"/>
      <c r="I124" s="3330"/>
      <c r="AA124" s="734"/>
    </row>
    <row r="125" spans="1:27" ht="18.75" customHeight="1">
      <c r="A125" s="3327" t="s">
        <v>2078</v>
      </c>
      <c r="B125" s="3327"/>
      <c r="C125" s="3327"/>
      <c r="D125" s="3333" t="e">
        <f>NUMBERSTRING(INT(D124*10000),2)&amp;"元整"</f>
        <v>#VALUE!</v>
      </c>
      <c r="E125" s="3335"/>
      <c r="F125" s="3335"/>
      <c r="G125" s="3335"/>
      <c r="H125" s="3335"/>
      <c r="I125" s="3334"/>
      <c r="AA125" s="734"/>
    </row>
    <row r="126" spans="1:27" ht="18.75" customHeight="1">
      <c r="A126" s="3339" t="str">
        <f>IF(项目基本情况!B9="房地产市场价值","",MID(E111,3,LEN(E111)-2))</f>
        <v>抵押净值</v>
      </c>
      <c r="B126" s="3339"/>
      <c r="C126" s="3339"/>
      <c r="D126" s="3328" t="str">
        <f ca="1">H111</f>
        <v>——</v>
      </c>
      <c r="E126" s="3329"/>
      <c r="F126" s="3329"/>
      <c r="G126" s="3329"/>
      <c r="H126" s="3329"/>
      <c r="I126" s="3330"/>
      <c r="AA126" s="734"/>
    </row>
    <row r="127" spans="1:27" ht="18.75" customHeight="1">
      <c r="A127" s="3327" t="s">
        <v>2078</v>
      </c>
      <c r="B127" s="3327"/>
      <c r="C127" s="3327"/>
      <c r="D127" s="3333" t="e">
        <f ca="1">NUMBERSTRING(INT(D126*10000),2)&amp;"元整"</f>
        <v>#VALUE!</v>
      </c>
      <c r="E127" s="3335"/>
      <c r="F127" s="3335"/>
      <c r="G127" s="3335"/>
      <c r="H127" s="3335"/>
      <c r="I127" s="3334"/>
      <c r="AA127" s="734"/>
    </row>
    <row r="128" spans="1:27" ht="21.75" customHeight="1">
      <c r="A128" s="3336" t="s">
        <v>2079</v>
      </c>
      <c r="B128" s="3336"/>
      <c r="C128" s="3336"/>
      <c r="D128" s="3336"/>
      <c r="E128" s="3336"/>
      <c r="F128" s="3336"/>
      <c r="G128" s="3336"/>
      <c r="H128" s="3336"/>
      <c r="I128" s="3336"/>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3136</v>
      </c>
      <c r="C1" s="204"/>
      <c r="D1" s="204"/>
      <c r="E1" s="204"/>
      <c r="F1" s="204"/>
      <c r="G1" s="1260">
        <f>MATCH(B1,'数据-取费表'!A6:A16,0)+5</f>
        <v>6</v>
      </c>
    </row>
    <row r="2" spans="1:9" s="206" customFormat="1" ht="18" customHeight="1">
      <c r="A2" s="207" t="s">
        <v>2088</v>
      </c>
      <c r="B2" s="208">
        <f ca="1">IF(D2="——",C52,C52-E2)</f>
        <v>23046</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5977</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7674</v>
      </c>
      <c r="D5" s="217" t="s">
        <v>2095</v>
      </c>
      <c r="E5" s="218" t="s">
        <v>2096</v>
      </c>
      <c r="F5" s="218" t="s">
        <v>2097</v>
      </c>
      <c r="G5" s="219"/>
    </row>
    <row r="6" spans="1:9" s="220" customFormat="1" ht="13.5" customHeight="1">
      <c r="A6" s="886" t="s">
        <v>2098</v>
      </c>
      <c r="B6" s="221" t="s">
        <v>2099</v>
      </c>
      <c r="C6" s="222">
        <f>'土地比较法-住宅、综合'!B2</f>
        <v>6848</v>
      </c>
      <c r="D6" s="223"/>
      <c r="E6" s="224"/>
      <c r="F6" s="224"/>
      <c r="G6" s="225"/>
    </row>
    <row r="7" spans="1:9" s="220" customFormat="1" ht="13.5" customHeight="1">
      <c r="A7" s="886" t="s">
        <v>2100</v>
      </c>
      <c r="B7" s="221" t="s">
        <v>2101</v>
      </c>
      <c r="C7" s="226">
        <f>ROUND(C6*F7,0)</f>
        <v>209</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617</v>
      </c>
      <c r="D8" s="228"/>
      <c r="E8" s="226"/>
      <c r="F8" s="227"/>
      <c r="G8" s="2012" t="s">
        <v>3499</v>
      </c>
    </row>
    <row r="9" spans="1:9" s="220" customFormat="1" ht="13.5" customHeight="1">
      <c r="A9" s="887" t="s">
        <v>800</v>
      </c>
      <c r="B9" s="230" t="s">
        <v>2104</v>
      </c>
      <c r="C9" s="231">
        <f ca="1">ROUND(D9*E9/10000,0)</f>
        <v>617</v>
      </c>
      <c r="D9" s="954">
        <f ca="1">IF(B1="",'数据-汇总表'!E5,IF(INDIRECT("'数据-取费表'!c"&amp;$G$1)="住宅",INDIRECT("'数据-取费表'!k"&amp;$G$1),0))</f>
        <v>38556.25</v>
      </c>
      <c r="E9" s="231">
        <f>'数据-取费表'!B27</f>
        <v>160</v>
      </c>
      <c r="F9" s="227"/>
      <c r="G9" s="2013" t="s">
        <v>3500</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38556.25</v>
      </c>
      <c r="E19" s="217">
        <f>'数据-取费表'!B31</f>
        <v>200</v>
      </c>
      <c r="F19" s="237"/>
      <c r="G19" s="2012" t="s">
        <v>3501</v>
      </c>
    </row>
    <row r="20" spans="1:7" s="220" customFormat="1" ht="13.5" customHeight="1">
      <c r="A20" s="261" t="s">
        <v>2119</v>
      </c>
      <c r="B20" s="216" t="s">
        <v>2120</v>
      </c>
      <c r="C20" s="238">
        <f ca="1">ROUND((C5+C19)*F20,0)</f>
        <v>153</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1056</v>
      </c>
      <c r="D22" s="241">
        <f ca="1">C26</f>
        <v>1.2999999999999999E-3</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1046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10</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1174</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1174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10903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9215</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7711</v>
      </c>
      <c r="D34" s="223"/>
      <c r="E34" s="226"/>
      <c r="F34" s="263">
        <f ca="1">IF('数据-取费表'!B24=0,1,IF(B1="",'数据-取费表'!N16,INDIRECT("'数据-取费表'!n"&amp;$G$1)))</f>
        <v>1</v>
      </c>
      <c r="G34" s="225" t="s">
        <v>2152</v>
      </c>
    </row>
    <row r="35" spans="1:7" ht="13.5" customHeight="1">
      <c r="A35" s="888" t="s">
        <v>796</v>
      </c>
      <c r="B35" s="221" t="s">
        <v>2153</v>
      </c>
      <c r="C35" s="226">
        <f ca="1">ROUND(C34*F35,0)</f>
        <v>231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386</v>
      </c>
      <c r="D36" s="226"/>
      <c r="E36" s="226"/>
      <c r="F36" s="265">
        <f>'数据-取费表'!B34</f>
        <v>0.05</v>
      </c>
      <c r="G36" s="266" t="s">
        <v>2156</v>
      </c>
    </row>
    <row r="37" spans="1:7" s="264" customFormat="1" ht="13.5" customHeight="1">
      <c r="A37" s="888" t="s">
        <v>798</v>
      </c>
      <c r="B37" s="221" t="s">
        <v>2157</v>
      </c>
      <c r="C37" s="255">
        <f ca="1">ROUND(E37*D37*F34/10000,0)</f>
        <v>771</v>
      </c>
      <c r="D37" s="223">
        <f ca="1">D19</f>
        <v>38556.25</v>
      </c>
      <c r="E37" s="255">
        <f>'数据-取费表'!B35</f>
        <v>200</v>
      </c>
      <c r="F37" s="265"/>
      <c r="G37" s="267" t="s">
        <v>2158</v>
      </c>
    </row>
    <row r="38" spans="1:7" ht="13.5" customHeight="1">
      <c r="A38" s="888" t="s">
        <v>799</v>
      </c>
      <c r="B38" s="221" t="s">
        <v>2159</v>
      </c>
      <c r="C38" s="226">
        <f ca="1">ROUND(C34*F38,0)</f>
        <v>116</v>
      </c>
      <c r="D38" s="226"/>
      <c r="E38" s="226"/>
      <c r="F38" s="265">
        <f>'数据-取费表'!B36</f>
        <v>1.4999999999999999E-2</v>
      </c>
      <c r="G38" s="225" t="s">
        <v>2154</v>
      </c>
    </row>
    <row r="39" spans="1:7" s="220" customFormat="1" ht="13.5" customHeight="1">
      <c r="A39" s="261" t="s">
        <v>2160</v>
      </c>
      <c r="B39" s="216" t="s">
        <v>2161</v>
      </c>
      <c r="C39" s="238">
        <f ca="1">ROUND(C33*F20,0)</f>
        <v>184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620</v>
      </c>
      <c r="D41" s="241">
        <f ca="1">C44</f>
        <v>1.2999999999999999E-3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608</v>
      </c>
      <c r="D42" s="244"/>
      <c r="E42" s="244"/>
      <c r="F42" s="245"/>
      <c r="G42" s="3409" t="s">
        <v>2170</v>
      </c>
    </row>
    <row r="43" spans="1:7" ht="13.5" customHeight="1">
      <c r="A43" s="888" t="s">
        <v>792</v>
      </c>
      <c r="B43" s="221" t="s">
        <v>2171</v>
      </c>
      <c r="C43" s="244">
        <f ca="1">ROUND(IF('数据-取费表'!B22&lt;=1,C39*F22*'数据-取费表'!B21/2,C39*(POWER((1+F22),'数据-取费表'!B21/2)-1)),0)</f>
        <v>12</v>
      </c>
      <c r="D43" s="244"/>
      <c r="E43" s="244"/>
      <c r="F43" s="245"/>
      <c r="G43" s="3410"/>
    </row>
    <row r="44" spans="1:7" ht="13.5" customHeight="1">
      <c r="A44" s="888" t="s">
        <v>793</v>
      </c>
      <c r="B44" s="221" t="s">
        <v>2172</v>
      </c>
      <c r="C44" s="244">
        <f ca="1">ROUND(IF('数据-取费表'!B22&lt;=1,C40*F22*'数据-取费表'!B21/2,C40*(POWER((1+F22),'数据-取费表'!B21/2)-1)),4)</f>
        <v>1.2999999999999999E-3</v>
      </c>
      <c r="D44" s="244"/>
      <c r="E44" s="244"/>
      <c r="F44" s="245"/>
      <c r="G44" s="3411"/>
    </row>
    <row r="45" spans="1:7" s="220" customFormat="1" ht="13.5" customHeight="1">
      <c r="A45" s="261" t="s">
        <v>2173</v>
      </c>
      <c r="B45" s="250" t="s">
        <v>2139</v>
      </c>
      <c r="C45" s="251">
        <f ca="1">C46</f>
        <v>1410</v>
      </c>
      <c r="D45" s="241">
        <f ca="1">C47</f>
        <v>3.0000000000000001E-3</v>
      </c>
      <c r="E45" s="242" t="s">
        <v>2165</v>
      </c>
      <c r="F45" s="2507">
        <f ca="1">F27</f>
        <v>0.15</v>
      </c>
      <c r="G45" s="253" t="s">
        <v>2174</v>
      </c>
    </row>
    <row r="46" spans="1:7" s="220" customFormat="1" ht="13.5" customHeight="1">
      <c r="A46" s="888" t="s">
        <v>791</v>
      </c>
      <c r="B46" s="254" t="s">
        <v>2175</v>
      </c>
      <c r="C46" s="255">
        <f ca="1">ROUND((C33+C39)*F27,0)</f>
        <v>1410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12391</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12143</v>
      </c>
      <c r="D51" s="238"/>
      <c r="E51" s="238"/>
      <c r="F51" s="270"/>
      <c r="G51" s="240" t="s">
        <v>2186</v>
      </c>
    </row>
    <row r="52" spans="1:7" s="214" customFormat="1" ht="16.5" thickBot="1">
      <c r="A52" s="271" t="s">
        <v>2187</v>
      </c>
      <c r="B52" s="272"/>
      <c r="C52" s="273">
        <f ca="1">C31+C51</f>
        <v>23046</v>
      </c>
      <c r="D52" s="272"/>
      <c r="E52" s="272"/>
      <c r="F52" s="272"/>
      <c r="G52" s="274"/>
    </row>
    <row r="55" spans="1:7" ht="15">
      <c r="B55" s="276" t="s">
        <v>2188</v>
      </c>
      <c r="C55" s="277"/>
    </row>
    <row r="56" spans="1:7">
      <c r="B56" s="279" t="s">
        <v>1418</v>
      </c>
      <c r="C56" s="281">
        <f ca="1">1-C57</f>
        <v>0.47299999999999998</v>
      </c>
    </row>
    <row r="57" spans="1:7">
      <c r="B57" s="279" t="s">
        <v>1419</v>
      </c>
      <c r="C57" s="280">
        <f ca="1">ROUND(C51/C52,3)</f>
        <v>0.52700000000000002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0" t="str">
        <f>项目基本情况!B1</f>
        <v>房地产抵押价值预评估</v>
      </c>
      <c r="C37" s="3220"/>
      <c r="D37" s="3220"/>
      <c r="E37" s="3220"/>
      <c r="F37" s="3220"/>
      <c r="G37" s="3220"/>
      <c r="H37" s="3220"/>
      <c r="I37" s="322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14115</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3661</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6169000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6169000</v>
      </c>
      <c r="D8" s="228"/>
      <c r="E8" s="226"/>
      <c r="F8" s="227"/>
      <c r="G8" s="2012"/>
    </row>
    <row r="9" spans="1:8" s="220" customFormat="1" ht="13.5" customHeight="1">
      <c r="A9" s="887" t="s">
        <v>800</v>
      </c>
      <c r="B9" s="230" t="s">
        <v>2104</v>
      </c>
      <c r="C9" s="231">
        <f ca="1">ROUND(D9*E9,0)</f>
        <v>6169000</v>
      </c>
      <c r="D9" s="954">
        <f ca="1">IF(B1="",'数据-汇总表'!E5,IF(INDIRECT("'数据-取费表'!c"&amp;$G$1)="住宅",INDIRECT("'数据-取费表'!k"&amp;$G$1),0))</f>
        <v>38556.25</v>
      </c>
      <c r="E9" s="231">
        <f>'数据-取费表'!B27</f>
        <v>160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7711250</v>
      </c>
      <c r="D19" s="958">
        <f ca="1">D9+D10</f>
        <v>38556.25</v>
      </c>
      <c r="E19" s="217">
        <f>'数据-取费表'!B31</f>
        <v>200</v>
      </c>
      <c r="F19" s="237"/>
      <c r="G19" s="2012"/>
    </row>
    <row r="20" spans="1:7" s="220" customFormat="1" ht="13.5" customHeight="1">
      <c r="A20" s="261" t="s">
        <v>2200</v>
      </c>
      <c r="B20" s="216" t="s">
        <v>2201</v>
      </c>
      <c r="C20" s="238">
        <f ca="1">ROUND((C5+C19)*F20,0)</f>
        <v>277605</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1909619</v>
      </c>
      <c r="D22" s="241">
        <f ca="1">C26</f>
        <v>1.2999999999999999E-3</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840582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1050728</v>
      </c>
      <c r="D24" s="244"/>
      <c r="E24" s="244"/>
      <c r="F24" s="245"/>
      <c r="G24" s="246" t="s">
        <v>2212</v>
      </c>
    </row>
    <row r="25" spans="1:7" s="220" customFormat="1" ht="24">
      <c r="A25" s="888" t="s">
        <v>2102</v>
      </c>
      <c r="B25" s="221" t="s">
        <v>2213</v>
      </c>
      <c r="C25" s="1262">
        <f ca="1">ROUND(IF('数据-取费表'!B22&lt;=1,C20*F22*'数据-取费表'!B22/2,C20*(POWER((1+F22),'数据-取费表'!B22/2)-1)),0)</f>
        <v>18309</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2123678</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2123678</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19721544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92149438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77112500</v>
      </c>
      <c r="D34" s="223"/>
      <c r="E34" s="226"/>
      <c r="F34" s="263"/>
      <c r="G34" s="225"/>
    </row>
    <row r="35" spans="1:7" ht="13.5" customHeight="1">
      <c r="A35" s="888" t="s">
        <v>796</v>
      </c>
      <c r="B35" s="221" t="s">
        <v>2153</v>
      </c>
      <c r="C35" s="226">
        <f ca="1">ROUND(C34*F35,0)</f>
        <v>2313375</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3855625</v>
      </c>
      <c r="D36" s="226"/>
      <c r="E36" s="226"/>
      <c r="F36" s="265">
        <f>'数据-取费表'!B34</f>
        <v>0.05</v>
      </c>
      <c r="G36" s="266" t="s">
        <v>2156</v>
      </c>
    </row>
    <row r="37" spans="1:7" s="264" customFormat="1" ht="13.5" customHeight="1">
      <c r="A37" s="888" t="s">
        <v>798</v>
      </c>
      <c r="B37" s="221" t="s">
        <v>2157</v>
      </c>
      <c r="C37" s="255">
        <f ca="1">ROUND(E37*D37,0)</f>
        <v>7711250</v>
      </c>
      <c r="D37" s="223">
        <f ca="1">D19</f>
        <v>38556.25</v>
      </c>
      <c r="E37" s="255">
        <f>'数据-取费表'!B35</f>
        <v>200</v>
      </c>
      <c r="F37" s="265"/>
      <c r="G37" s="267"/>
    </row>
    <row r="38" spans="1:7" ht="13.5" customHeight="1">
      <c r="A38" s="888" t="s">
        <v>799</v>
      </c>
      <c r="B38" s="221" t="s">
        <v>2159</v>
      </c>
      <c r="C38" s="226">
        <f ca="1">ROUND(C34*F38,0)</f>
        <v>1156688</v>
      </c>
      <c r="D38" s="226"/>
      <c r="E38" s="226"/>
      <c r="F38" s="265">
        <f>'数据-取费表'!B36</f>
        <v>1.4999999999999999E-2</v>
      </c>
      <c r="G38" s="225" t="s">
        <v>2154</v>
      </c>
    </row>
    <row r="39" spans="1:7" s="220" customFormat="1" ht="13.5" customHeight="1">
      <c r="A39" s="261" t="s">
        <v>2160</v>
      </c>
      <c r="B39" s="216" t="s">
        <v>2161</v>
      </c>
      <c r="C39" s="238">
        <f ca="1">ROUND(C33*F20,0)</f>
        <v>1842989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6199226</v>
      </c>
      <c r="D41" s="241">
        <f ca="1">C44</f>
        <v>1.2999999999999999E-3</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6077673</v>
      </c>
      <c r="D42" s="244"/>
      <c r="E42" s="244"/>
      <c r="F42" s="245"/>
      <c r="G42" s="3409" t="s">
        <v>2217</v>
      </c>
    </row>
    <row r="43" spans="1:7" ht="13.5" customHeight="1">
      <c r="A43" s="888" t="s">
        <v>792</v>
      </c>
      <c r="B43" s="221" t="s">
        <v>2171</v>
      </c>
      <c r="C43" s="244">
        <f ca="1">ROUND(IF('数据-取费表'!B22&lt;=1,C39*F22*'数据-取费表'!B20/2,C39*(POWER((1+F22),'数据-取费表'!B20/2)-1)),0)</f>
        <v>121553</v>
      </c>
      <c r="D43" s="244"/>
      <c r="E43" s="244"/>
      <c r="F43" s="245"/>
      <c r="G43" s="3410"/>
    </row>
    <row r="44" spans="1:7" ht="13.5" customHeight="1">
      <c r="A44" s="888" t="s">
        <v>793</v>
      </c>
      <c r="B44" s="221" t="s">
        <v>2172</v>
      </c>
      <c r="C44" s="244">
        <f ca="1">ROUND(IF('数据-取费表'!B22&lt;=1,C40*F22*'数据-取费表'!B20/2,C40*(POWER((1+F22),'数据-取费表'!B20/2)-1)),4)</f>
        <v>1.2999999999999999E-3</v>
      </c>
      <c r="D44" s="244"/>
      <c r="E44" s="244"/>
      <c r="F44" s="245"/>
      <c r="G44" s="3411"/>
    </row>
    <row r="45" spans="1:7" s="220" customFormat="1" ht="13.5" customHeight="1">
      <c r="A45" s="261" t="s">
        <v>2173</v>
      </c>
      <c r="B45" s="250" t="s">
        <v>2139</v>
      </c>
      <c r="C45" s="251">
        <f ca="1">C46</f>
        <v>14098864</v>
      </c>
      <c r="D45" s="241">
        <f ca="1">C47</f>
        <v>3.0000000000000001E-3</v>
      </c>
      <c r="E45" s="242" t="s">
        <v>2165</v>
      </c>
      <c r="F45" s="2507">
        <f ca="1">F27</f>
        <v>0.15</v>
      </c>
      <c r="G45" s="253" t="s">
        <v>2174</v>
      </c>
    </row>
    <row r="46" spans="1:7" s="220" customFormat="1" ht="13.5" customHeight="1">
      <c r="A46" s="888" t="s">
        <v>791</v>
      </c>
      <c r="B46" s="254" t="s">
        <v>2175</v>
      </c>
      <c r="C46" s="255">
        <f ca="1">ROUND((C33+C39)*F27,0)</f>
        <v>14098864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123905591</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121427479</v>
      </c>
      <c r="D51" s="238"/>
      <c r="E51" s="238"/>
      <c r="F51" s="270"/>
      <c r="G51" s="240" t="s">
        <v>2186</v>
      </c>
    </row>
    <row r="52" spans="1:7" s="214" customFormat="1" ht="16.5" thickBot="1">
      <c r="A52" s="271" t="s">
        <v>2187</v>
      </c>
      <c r="B52" s="272"/>
      <c r="C52" s="273">
        <f ca="1">C31+C51</f>
        <v>141149023</v>
      </c>
      <c r="D52" s="272"/>
      <c r="E52" s="272"/>
      <c r="F52" s="272"/>
      <c r="G52" s="274"/>
    </row>
    <row r="55" spans="1:7" ht="15">
      <c r="B55" s="276" t="s">
        <v>2188</v>
      </c>
      <c r="C55" s="277"/>
    </row>
    <row r="56" spans="1:7">
      <c r="B56" s="279" t="s">
        <v>1418</v>
      </c>
      <c r="C56" s="281">
        <f ca="1">1-C57</f>
        <v>0.14000000000000001</v>
      </c>
    </row>
    <row r="57" spans="1:7">
      <c r="B57" s="279" t="s">
        <v>1419</v>
      </c>
      <c r="C57" s="280">
        <f ca="1">ROUND(C51/C52,3)</f>
        <v>0.86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38556.25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38556.25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617</v>
      </c>
      <c r="D19" s="955">
        <f ca="1">IF(C1="",'数据-汇总表'!E5,IF(INDIRECT("'数据-取费表'!c"&amp;$K$1)="住宅",INDIRECT("'数据-取费表'!k"&amp;$K$1),0))</f>
        <v>38556.25</v>
      </c>
      <c r="E19" s="24">
        <f>'数据-取费表'!B27</f>
        <v>160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414" t="s">
        <v>1308</v>
      </c>
      <c r="C6" s="1206">
        <f ca="1">ROUND(F6*F8*F7*(1-F9)/10000,0)</f>
        <v>0</v>
      </c>
      <c r="D6" s="160" t="s">
        <v>2791</v>
      </c>
      <c r="E6" s="308" t="s">
        <v>1310</v>
      </c>
      <c r="F6" s="309">
        <f ca="1">INDIRECT("'数据-取费表'!u"&amp;$G$1)</f>
        <v>0</v>
      </c>
      <c r="G6" s="1538"/>
      <c r="H6" s="1201" t="s">
        <v>1003</v>
      </c>
      <c r="I6" s="3414" t="s">
        <v>1308</v>
      </c>
      <c r="J6" s="307">
        <f ca="1">ROUND(M6*M8*M7*(1-M9)/10000,0)</f>
        <v>0</v>
      </c>
      <c r="K6" s="160" t="s">
        <v>2790</v>
      </c>
      <c r="L6" s="308" t="s">
        <v>1310</v>
      </c>
      <c r="M6" s="309">
        <f ca="1">INDIRECT("'数据-取费表'!z"&amp;$G$1)</f>
        <v>0</v>
      </c>
    </row>
    <row r="7" spans="1:37" ht="18" customHeight="1">
      <c r="A7" s="1205"/>
      <c r="B7" s="3415"/>
      <c r="C7" s="1207"/>
      <c r="D7" s="313"/>
      <c r="E7" s="1208" t="s">
        <v>1311</v>
      </c>
      <c r="F7" s="309">
        <f ca="1">IF(INDIRECT("'数据-取费表'!ah"&amp;$G$1)="",INDIRECT("'数据-取费表'!k"&amp;$G$1),INDIRECT("'数据-取费表'!ah"&amp;$G$1))</f>
        <v>0</v>
      </c>
      <c r="G7" s="1538"/>
      <c r="H7" s="310"/>
      <c r="I7" s="3415"/>
      <c r="J7" s="312"/>
      <c r="K7" s="313"/>
      <c r="L7" s="308" t="s">
        <v>1311</v>
      </c>
      <c r="M7" s="309">
        <f ca="1">F7</f>
        <v>0</v>
      </c>
    </row>
    <row r="8" spans="1:37" ht="18" customHeight="1">
      <c r="A8" s="310"/>
      <c r="B8" s="3415"/>
      <c r="C8" s="312"/>
      <c r="D8" s="313"/>
      <c r="E8" s="308" t="s">
        <v>1312</v>
      </c>
      <c r="F8" s="309">
        <f ca="1">INDIRECT("'数据-取费表'!ai"&amp;$G$1)</f>
        <v>0</v>
      </c>
      <c r="G8" s="1538"/>
      <c r="H8" s="310"/>
      <c r="I8" s="3415"/>
      <c r="J8" s="312"/>
      <c r="K8" s="313"/>
      <c r="L8" s="308" t="s">
        <v>1312</v>
      </c>
      <c r="M8" s="309">
        <f ca="1">INDIRECT("'数据-取费表'!ai"&amp;$G$1)</f>
        <v>0</v>
      </c>
    </row>
    <row r="9" spans="1:37" ht="18" customHeight="1">
      <c r="A9" s="310"/>
      <c r="B9" s="3416"/>
      <c r="C9" s="312"/>
      <c r="D9" s="313"/>
      <c r="E9" s="308" t="s">
        <v>1313</v>
      </c>
      <c r="F9" s="318">
        <f ca="1">INDIRECT("'数据-取费表'!w"&amp;$G$1)</f>
        <v>0</v>
      </c>
      <c r="G9" s="1538"/>
      <c r="H9" s="310"/>
      <c r="I9" s="341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2799</v>
      </c>
      <c r="E10" s="319" t="s">
        <v>1315</v>
      </c>
      <c r="F10" s="1248"/>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ROUND(C13*F37,1)</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12" t="s">
        <v>1453</v>
      </c>
      <c r="L53" s="3413"/>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4" t="s">
        <v>1308</v>
      </c>
      <c r="C6" s="1206">
        <f ca="1">ROUND(F6*F8*F7*(1-F9),0)</f>
        <v>0</v>
      </c>
      <c r="D6" s="160" t="s">
        <v>2788</v>
      </c>
      <c r="E6" s="308" t="s">
        <v>1310</v>
      </c>
      <c r="F6" s="309">
        <f ca="1">INDIRECT("'数据-取费表'!u"&amp;$G$1)</f>
        <v>0</v>
      </c>
      <c r="G6" s="1538"/>
      <c r="H6" s="1201" t="s">
        <v>1003</v>
      </c>
      <c r="I6" s="3414" t="s">
        <v>1308</v>
      </c>
      <c r="J6" s="307">
        <f ca="1">ROUND(M6*M8*M7*(1-M9),0)</f>
        <v>0</v>
      </c>
      <c r="K6" s="1530" t="s">
        <v>2789</v>
      </c>
      <c r="L6" s="308" t="s">
        <v>1310</v>
      </c>
      <c r="M6" s="309">
        <f ca="1">INDIRECT("'数据-取费表'!z"&amp;$G$1)</f>
        <v>0</v>
      </c>
    </row>
    <row r="7" spans="1:37" ht="18" customHeight="1">
      <c r="A7" s="1205"/>
      <c r="B7" s="3415"/>
      <c r="C7" s="1207"/>
      <c r="D7" s="313"/>
      <c r="E7" s="1208" t="s">
        <v>1311</v>
      </c>
      <c r="F7" s="309">
        <f ca="1">IF(INDIRECT("'数据-取费表'!ah"&amp;$G$1)="",INDIRECT("'数据-取费表'!k"&amp;$G$1),INDIRECT("'数据-取费表'!ah"&amp;$G$1))</f>
        <v>0</v>
      </c>
      <c r="G7" s="1538"/>
      <c r="H7" s="310"/>
      <c r="I7" s="3415"/>
      <c r="J7" s="312"/>
      <c r="K7" s="313"/>
      <c r="L7" s="308" t="s">
        <v>1311</v>
      </c>
      <c r="M7" s="309">
        <f ca="1">F7</f>
        <v>0</v>
      </c>
    </row>
    <row r="8" spans="1:37" ht="18" customHeight="1">
      <c r="A8" s="310"/>
      <c r="B8" s="3415"/>
      <c r="C8" s="312"/>
      <c r="D8" s="313"/>
      <c r="E8" s="308" t="s">
        <v>1312</v>
      </c>
      <c r="F8" s="309">
        <f ca="1">INDIRECT("'数据-取费表'!ai"&amp;$G$1)</f>
        <v>0</v>
      </c>
      <c r="G8" s="1538"/>
      <c r="H8" s="310"/>
      <c r="I8" s="3415"/>
      <c r="J8" s="312"/>
      <c r="K8" s="313"/>
      <c r="L8" s="308" t="s">
        <v>1312</v>
      </c>
      <c r="M8" s="309">
        <f ca="1">INDIRECT("'数据-取费表'!ai"&amp;$G$1)</f>
        <v>0</v>
      </c>
    </row>
    <row r="9" spans="1:37" ht="18" customHeight="1">
      <c r="A9" s="310"/>
      <c r="B9" s="3416"/>
      <c r="C9" s="312"/>
      <c r="D9" s="313"/>
      <c r="E9" s="308" t="s">
        <v>1313</v>
      </c>
      <c r="F9" s="318">
        <f ca="1">INDIRECT("'数据-取费表'!w"&amp;$G$1)</f>
        <v>0</v>
      </c>
      <c r="G9" s="1538"/>
      <c r="H9" s="310"/>
      <c r="I9" s="341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12" t="s">
        <v>1453</v>
      </c>
      <c r="L53" s="3413"/>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17" t="s">
        <v>3008</v>
      </c>
      <c r="K2" s="3418"/>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19" t="s">
        <v>3018</v>
      </c>
      <c r="K3" s="3420"/>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19" t="s">
        <v>3020</v>
      </c>
      <c r="K4" s="3420"/>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21" t="s">
        <v>3024</v>
      </c>
      <c r="B6" s="3422"/>
      <c r="C6" s="3423"/>
      <c r="D6" s="3071"/>
      <c r="E6" s="3072"/>
      <c r="F6" s="3073"/>
      <c r="G6" s="3074"/>
      <c r="H6" s="3049"/>
      <c r="I6" s="3050"/>
      <c r="J6" s="3424">
        <v>1</v>
      </c>
      <c r="K6" s="3425"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24"/>
      <c r="K7" s="3426"/>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28" t="s">
        <v>3038</v>
      </c>
      <c r="C8" s="3429"/>
      <c r="D8" s="3090" t="s">
        <v>3039</v>
      </c>
      <c r="E8" s="3091" t="s">
        <v>3040</v>
      </c>
      <c r="F8" s="3092" t="s">
        <v>3041</v>
      </c>
      <c r="G8" s="3093"/>
      <c r="H8" s="3049"/>
      <c r="I8" s="3050"/>
      <c r="J8" s="3424"/>
      <c r="K8" s="3426"/>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28" t="s">
        <v>3044</v>
      </c>
      <c r="C9" s="3429"/>
      <c r="D9" s="3090">
        <f>ROUND(D6*E9,0)</f>
        <v>0</v>
      </c>
      <c r="E9" s="3094"/>
      <c r="F9" s="3095" t="s">
        <v>3045</v>
      </c>
      <c r="G9" s="3074"/>
      <c r="H9" s="3049"/>
      <c r="I9" s="3050"/>
      <c r="J9" s="3424"/>
      <c r="K9" s="3426"/>
      <c r="L9" s="3084" t="s">
        <v>3046</v>
      </c>
      <c r="M9" s="3085"/>
      <c r="N9" s="3061"/>
      <c r="O9" s="3086"/>
      <c r="P9" s="3086"/>
      <c r="Q9" s="3087">
        <v>365</v>
      </c>
      <c r="R9" s="3088">
        <f t="shared" si="0"/>
        <v>0</v>
      </c>
      <c r="S9" s="3042"/>
      <c r="T9" s="3042"/>
      <c r="U9" s="3042"/>
      <c r="V9" s="3050"/>
    </row>
    <row r="10" spans="1:22" s="3054" customFormat="1" ht="13.15" customHeight="1">
      <c r="A10" s="3089">
        <v>2</v>
      </c>
      <c r="B10" s="3428" t="s">
        <v>3047</v>
      </c>
      <c r="C10" s="3429"/>
      <c r="D10" s="3090">
        <f>ROUND(D6*E10,0)</f>
        <v>0</v>
      </c>
      <c r="E10" s="3094"/>
      <c r="F10" s="3095" t="s">
        <v>3048</v>
      </c>
      <c r="G10" s="3074"/>
      <c r="H10" s="3049"/>
      <c r="I10" s="3050"/>
      <c r="J10" s="3424"/>
      <c r="K10" s="3426"/>
      <c r="L10" s="3084" t="s">
        <v>3049</v>
      </c>
      <c r="M10" s="3085"/>
      <c r="N10" s="3061"/>
      <c r="O10" s="3086"/>
      <c r="P10" s="3086"/>
      <c r="Q10" s="3087">
        <v>365</v>
      </c>
      <c r="R10" s="3088">
        <f t="shared" si="0"/>
        <v>0</v>
      </c>
      <c r="S10" s="3042"/>
      <c r="T10" s="3042"/>
      <c r="U10" s="3042"/>
      <c r="V10" s="3050"/>
    </row>
    <row r="11" spans="1:22" s="3054" customFormat="1" ht="13.15" customHeight="1">
      <c r="A11" s="3089">
        <v>3</v>
      </c>
      <c r="B11" s="3428" t="s">
        <v>3050</v>
      </c>
      <c r="C11" s="3429"/>
      <c r="D11" s="3090">
        <f>D12+D14+D15+D16</f>
        <v>0</v>
      </c>
      <c r="E11" s="3096" t="e">
        <f>D11/D6</f>
        <v>#DIV/0!</v>
      </c>
      <c r="F11" s="3092"/>
      <c r="G11" s="3093"/>
      <c r="H11" s="3049"/>
      <c r="I11" s="3050"/>
      <c r="J11" s="3424"/>
      <c r="K11" s="3426"/>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30" t="s">
        <v>3053</v>
      </c>
      <c r="C12" s="3431"/>
      <c r="D12" s="3098">
        <f>ROUND(D13*1.2%*(1-30%),0)</f>
        <v>0</v>
      </c>
      <c r="E12" s="3099">
        <v>1.2E-2</v>
      </c>
      <c r="F12" s="3092" t="s">
        <v>3054</v>
      </c>
      <c r="G12" s="3093"/>
      <c r="H12" s="3049"/>
      <c r="I12" s="3050"/>
      <c r="J12" s="3424"/>
      <c r="K12" s="3426"/>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24"/>
      <c r="K13" s="3426"/>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30" t="s">
        <v>3059</v>
      </c>
      <c r="C14" s="3431"/>
      <c r="D14" s="3098">
        <f>ROUND(E14*B5/10000,0)</f>
        <v>0</v>
      </c>
      <c r="E14" s="3087"/>
      <c r="F14" s="3092" t="s">
        <v>3060</v>
      </c>
      <c r="G14" s="3093"/>
      <c r="H14" s="3049"/>
      <c r="I14" s="3050"/>
      <c r="J14" s="3424"/>
      <c r="K14" s="3427"/>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30" t="s">
        <v>3063</v>
      </c>
      <c r="C15" s="3431"/>
      <c r="D15" s="3098">
        <f>ROUND(D6*E15,0)</f>
        <v>0</v>
      </c>
      <c r="E15" s="3099">
        <v>5.5E-2</v>
      </c>
      <c r="F15" s="3092" t="s">
        <v>3064</v>
      </c>
      <c r="G15" s="3074"/>
      <c r="H15" s="3049"/>
      <c r="I15" s="3050"/>
      <c r="J15" s="3424">
        <v>2</v>
      </c>
      <c r="K15" s="3425"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30" t="s">
        <v>3072</v>
      </c>
      <c r="C16" s="3431"/>
      <c r="D16" s="3109">
        <f>D6*E16</f>
        <v>0</v>
      </c>
      <c r="E16" s="3110"/>
      <c r="F16" s="3095" t="s">
        <v>3073</v>
      </c>
      <c r="G16" s="3074"/>
      <c r="H16" s="3049"/>
      <c r="I16" s="3050"/>
      <c r="J16" s="3424"/>
      <c r="K16" s="3426"/>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32" t="s">
        <v>3075</v>
      </c>
      <c r="C17" s="3433"/>
      <c r="D17" s="3112">
        <f>ROUND(D6*E17,0)</f>
        <v>0</v>
      </c>
      <c r="E17" s="3113"/>
      <c r="F17" s="3114" t="s">
        <v>3076</v>
      </c>
      <c r="G17" s="3074"/>
      <c r="H17" s="3049"/>
      <c r="I17" s="3050"/>
      <c r="J17" s="3424"/>
      <c r="K17" s="3426"/>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24"/>
      <c r="K18" s="3426"/>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24"/>
      <c r="K19" s="3427"/>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24">
        <v>3</v>
      </c>
      <c r="K20" s="3425"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24"/>
      <c r="K21" s="3426"/>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24"/>
      <c r="K22" s="3426"/>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24"/>
      <c r="K23" s="3426"/>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24"/>
      <c r="K24" s="3427"/>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34">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3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17" t="s">
        <v>3008</v>
      </c>
      <c r="K32" s="3418"/>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19" t="s">
        <v>3018</v>
      </c>
      <c r="K33" s="3420"/>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19" t="s">
        <v>3020</v>
      </c>
      <c r="K34" s="3420"/>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24">
        <v>1</v>
      </c>
      <c r="K36" s="3425"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24"/>
      <c r="K37" s="3426"/>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24"/>
      <c r="K38" s="3426"/>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24"/>
      <c r="K39" s="3426"/>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24"/>
      <c r="K40" s="3427"/>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4">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3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0</v>
      </c>
      <c r="C2" s="2028" t="s">
        <v>2280</v>
      </c>
      <c r="D2" s="2029" t="s">
        <v>2281</v>
      </c>
      <c r="E2" s="2803">
        <f>SUM(E6:E13)</f>
        <v>0</v>
      </c>
      <c r="F2" s="2906"/>
      <c r="G2" s="1644"/>
      <c r="H2" s="1644"/>
      <c r="I2" s="1644"/>
      <c r="J2" s="1644"/>
      <c r="K2" s="1644"/>
      <c r="L2" s="1644"/>
      <c r="M2" s="1644"/>
      <c r="N2" s="1644"/>
      <c r="O2" s="1644"/>
      <c r="P2" s="1644"/>
      <c r="Q2" s="1644"/>
      <c r="R2" s="1644"/>
      <c r="S2" s="1644"/>
    </row>
    <row r="3" spans="1:22" ht="15.75">
      <c r="A3" s="2026" t="s">
        <v>1300</v>
      </c>
      <c r="B3" s="2797" t="e">
        <f ca="1">ROUND(B2*10000/E2,0)</f>
        <v>#DIV/0!</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36" t="s">
        <v>2283</v>
      </c>
      <c r="C5" s="3437"/>
      <c r="D5" s="2907"/>
      <c r="E5" s="2030" t="s">
        <v>2284</v>
      </c>
      <c r="F5" s="2031" t="s">
        <v>2285</v>
      </c>
      <c r="G5" s="1644"/>
      <c r="H5" s="1644"/>
      <c r="I5" s="1644"/>
      <c r="J5" s="1644"/>
      <c r="K5" s="1644"/>
      <c r="L5" s="1644"/>
      <c r="M5" s="1644"/>
      <c r="N5" s="1644"/>
      <c r="O5" s="1644"/>
      <c r="P5" s="1644"/>
      <c r="Q5" s="1644"/>
      <c r="R5" s="1644"/>
      <c r="S5" s="1644"/>
    </row>
    <row r="6" spans="1:22">
      <c r="A6" s="2800">
        <f>'数据-取费表'!AN6</f>
        <v>0</v>
      </c>
      <c r="B6" s="2798" t="e">
        <f ca="1">IF(F6="是",'数据-取费表'!AO6,0)</f>
        <v>#REF!</v>
      </c>
      <c r="C6" s="2028" t="s">
        <v>2280</v>
      </c>
      <c r="D6" s="2908"/>
      <c r="E6" s="2802">
        <f>IF(OR(A6=0,F6="否"),0,'数据-取费表'!K6+'数据-取费表'!S6)</f>
        <v>0</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3" zoomScale="60" zoomScaleNormal="60" workbookViewId="0">
      <selection activeCell="K37" sqref="K3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t="s">
        <v>3136</v>
      </c>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21464</v>
      </c>
      <c r="C2" s="2037" t="s">
        <v>70</v>
      </c>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f>IF(C2="——",C49,ROUND(B2*10000/D3,0))</f>
        <v>5567</v>
      </c>
      <c r="C3" s="360" t="s">
        <v>2295</v>
      </c>
      <c r="D3" s="359">
        <f>IF(D1="",'数据-汇总表'!E3,SUMIF('数据-汇总表'!$C19:$C33,D1,'数据-汇总表'!$E19:$E33))</f>
        <v>38556.25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56" t="s">
        <v>2297</v>
      </c>
      <c r="D4" s="3457"/>
      <c r="E4" s="3458" t="s">
        <v>2298</v>
      </c>
      <c r="F4" s="3459"/>
      <c r="G4" s="3456" t="s">
        <v>2299</v>
      </c>
      <c r="H4" s="3457"/>
      <c r="I4" s="3456" t="s">
        <v>2300</v>
      </c>
      <c r="J4" s="3457"/>
      <c r="K4" s="2045" t="s">
        <v>2301</v>
      </c>
      <c r="L4" s="2914"/>
      <c r="M4" s="2915"/>
      <c r="N4" s="2915"/>
      <c r="O4" s="2915"/>
      <c r="P4" s="3460" t="s">
        <v>2302</v>
      </c>
      <c r="Q4" s="3461"/>
      <c r="R4" s="3443" t="s">
        <v>2298</v>
      </c>
      <c r="S4" s="3444"/>
      <c r="T4" s="3443" t="s">
        <v>2299</v>
      </c>
      <c r="U4" s="3444"/>
      <c r="V4" s="3468" t="s">
        <v>2300</v>
      </c>
      <c r="W4" s="3468"/>
      <c r="X4" s="1509"/>
      <c r="Y4" s="3443" t="s">
        <v>2302</v>
      </c>
      <c r="Z4" s="3444"/>
      <c r="AA4" s="3438" t="s">
        <v>2298</v>
      </c>
      <c r="AB4" s="3438" t="s">
        <v>2299</v>
      </c>
      <c r="AC4" s="3438" t="s">
        <v>2300</v>
      </c>
    </row>
    <row r="5" spans="1:29" ht="15">
      <c r="A5" s="364"/>
      <c r="B5" s="365"/>
      <c r="C5" s="3449" t="s">
        <v>2303</v>
      </c>
      <c r="D5" s="3450"/>
      <c r="E5" s="3447" t="s">
        <v>2304</v>
      </c>
      <c r="F5" s="3448"/>
      <c r="G5" s="3449" t="s">
        <v>2305</v>
      </c>
      <c r="H5" s="3450"/>
      <c r="I5" s="3449" t="s">
        <v>2306</v>
      </c>
      <c r="J5" s="3450"/>
      <c r="K5" s="2046"/>
      <c r="L5" s="2914"/>
      <c r="M5" s="2915"/>
      <c r="N5" s="2915"/>
      <c r="O5" s="2915"/>
      <c r="P5" s="3462"/>
      <c r="Q5" s="3463"/>
      <c r="R5" s="3445"/>
      <c r="S5" s="3446"/>
      <c r="T5" s="3445"/>
      <c r="U5" s="3446"/>
      <c r="V5" s="3468"/>
      <c r="W5" s="3468"/>
      <c r="X5" s="1509"/>
      <c r="Y5" s="3445"/>
      <c r="Z5" s="3446"/>
      <c r="AA5" s="3439"/>
      <c r="AB5" s="3439"/>
      <c r="AC5" s="3439"/>
    </row>
    <row r="6" spans="1:29" ht="15.75" thickBot="1">
      <c r="A6" s="366"/>
      <c r="B6" s="367"/>
      <c r="C6" s="3451" t="s">
        <v>2307</v>
      </c>
      <c r="D6" s="3452"/>
      <c r="E6" s="3453" t="s">
        <v>2307</v>
      </c>
      <c r="F6" s="3454"/>
      <c r="G6" s="3451" t="s">
        <v>2307</v>
      </c>
      <c r="H6" s="3452"/>
      <c r="I6" s="3451" t="s">
        <v>2307</v>
      </c>
      <c r="J6" s="3452"/>
      <c r="K6" s="2046" t="s">
        <v>2308</v>
      </c>
      <c r="L6" s="2914"/>
      <c r="M6" s="2915"/>
      <c r="N6" s="2915"/>
      <c r="O6" s="2915"/>
      <c r="P6" s="3464"/>
      <c r="Q6" s="3465"/>
      <c r="R6" s="3445"/>
      <c r="S6" s="3446"/>
      <c r="T6" s="3466"/>
      <c r="U6" s="3467"/>
      <c r="V6" s="3468"/>
      <c r="W6" s="3468"/>
      <c r="X6" s="1509"/>
      <c r="Y6" s="3466"/>
      <c r="Z6" s="3467"/>
      <c r="AA6" s="3440"/>
      <c r="AB6" s="3440"/>
      <c r="AC6" s="3440"/>
    </row>
    <row r="7" spans="1:29" s="113" customFormat="1" ht="15.75" thickBot="1">
      <c r="A7" s="368" t="s">
        <v>2309</v>
      </c>
      <c r="B7" s="369"/>
      <c r="C7" s="370">
        <f>'数据-取费表'!B2</f>
        <v>44579</v>
      </c>
      <c r="D7" s="371">
        <v>100</v>
      </c>
      <c r="E7" s="372">
        <v>44562</v>
      </c>
      <c r="F7" s="373">
        <f>SUMIF(58:58,YEAR(E7)&amp;"-"&amp;MONTH(E7),59:59)</f>
        <v>100</v>
      </c>
      <c r="G7" s="372">
        <v>44562</v>
      </c>
      <c r="H7" s="371">
        <f>SUMIF(58:58,YEAR(G7)&amp;"-"&amp;MONTH(G7),59:59)</f>
        <v>100</v>
      </c>
      <c r="I7" s="372">
        <v>44562</v>
      </c>
      <c r="J7" s="371">
        <f>SUMIF(58:58,YEAR(I7)&amp;"-"&amp;MONTH(I7),59:59)</f>
        <v>100</v>
      </c>
      <c r="K7" s="2047"/>
      <c r="L7" s="2916"/>
      <c r="M7" s="2917"/>
      <c r="N7" s="2917"/>
      <c r="O7" s="2917"/>
      <c r="P7" s="3441" t="s">
        <v>2310</v>
      </c>
      <c r="Q7" s="3469"/>
      <c r="R7" s="710" t="s">
        <v>23</v>
      </c>
      <c r="S7" s="711">
        <f t="shared" ref="S7:S15" si="0">F7</f>
        <v>100</v>
      </c>
      <c r="T7" s="710" t="s">
        <v>23</v>
      </c>
      <c r="U7" s="711">
        <f t="shared" ref="U7:U15" si="1">H7</f>
        <v>100</v>
      </c>
      <c r="V7" s="710" t="s">
        <v>23</v>
      </c>
      <c r="W7" s="711">
        <f t="shared" ref="W7:W15" si="2">J7</f>
        <v>100</v>
      </c>
      <c r="X7" s="712"/>
      <c r="Y7" s="3441" t="s">
        <v>2310</v>
      </c>
      <c r="Z7" s="3442"/>
      <c r="AA7" s="713">
        <f>D7/F7</f>
        <v>1</v>
      </c>
      <c r="AB7" s="713">
        <f>D7/H7</f>
        <v>1</v>
      </c>
      <c r="AC7" s="713">
        <f>D7/J7</f>
        <v>1</v>
      </c>
    </row>
    <row r="8" spans="1:29" s="113" customFormat="1" ht="15.75" thickBot="1">
      <c r="A8" s="368" t="s">
        <v>2311</v>
      </c>
      <c r="B8" s="369"/>
      <c r="C8" s="374" t="s">
        <v>2312</v>
      </c>
      <c r="D8" s="371">
        <v>100</v>
      </c>
      <c r="E8" s="2048" t="s">
        <v>3141</v>
      </c>
      <c r="F8" s="373">
        <f>SUMIF(61:61,E8,62:62)-SUMIF(61:61,C8,62:62)+100</f>
        <v>100</v>
      </c>
      <c r="G8" s="374" t="s">
        <v>3141</v>
      </c>
      <c r="H8" s="371">
        <f>SUMIF(61:61,G8,62:62)-SUMIF(61:61,C8,62:62)+100</f>
        <v>100</v>
      </c>
      <c r="I8" s="2048" t="s">
        <v>3141</v>
      </c>
      <c r="J8" s="371">
        <f>SUMIF(61:61,I8,62:62)-SUMIF(61:61,C8,62:62)+100</f>
        <v>100</v>
      </c>
      <c r="K8" s="2047"/>
      <c r="L8" s="2916"/>
      <c r="M8" s="2917"/>
      <c r="N8" s="2917"/>
      <c r="O8" s="2917"/>
      <c r="P8" s="3441" t="s">
        <v>2313</v>
      </c>
      <c r="Q8" s="3442"/>
      <c r="R8" s="710" t="s">
        <v>23</v>
      </c>
      <c r="S8" s="711">
        <f t="shared" si="0"/>
        <v>100</v>
      </c>
      <c r="T8" s="710" t="s">
        <v>23</v>
      </c>
      <c r="U8" s="711">
        <f t="shared" si="1"/>
        <v>100</v>
      </c>
      <c r="V8" s="710" t="s">
        <v>23</v>
      </c>
      <c r="W8" s="711">
        <f t="shared" si="2"/>
        <v>100</v>
      </c>
      <c r="X8" s="712"/>
      <c r="Y8" s="3441" t="s">
        <v>2313</v>
      </c>
      <c r="Z8" s="3442"/>
      <c r="AA8" s="713">
        <f t="shared" ref="AA8:AA19" si="3">D8/F8</f>
        <v>1</v>
      </c>
      <c r="AB8" s="713">
        <f t="shared" ref="AB8:AB19" si="4">D8/H8</f>
        <v>1</v>
      </c>
      <c r="AC8" s="713">
        <f t="shared" ref="AC8:AC19" si="5">D8/J8</f>
        <v>1</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5" t="s">
        <v>2316</v>
      </c>
      <c r="Q9" s="1497" t="str">
        <f t="shared" ref="Q9:Q15" si="6">B9</f>
        <v>用途</v>
      </c>
      <c r="R9" s="710" t="s">
        <v>17</v>
      </c>
      <c r="S9" s="711">
        <f t="shared" si="0"/>
        <v>100</v>
      </c>
      <c r="T9" s="710" t="s">
        <v>17</v>
      </c>
      <c r="U9" s="711">
        <f t="shared" si="1"/>
        <v>100</v>
      </c>
      <c r="V9" s="710" t="s">
        <v>17</v>
      </c>
      <c r="W9" s="711">
        <f t="shared" si="2"/>
        <v>100</v>
      </c>
      <c r="X9" s="712"/>
      <c r="Y9" s="338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20"/>
      <c r="M11" s="2915"/>
      <c r="N11" s="2915"/>
      <c r="O11" s="2915"/>
      <c r="P11" s="3455"/>
      <c r="Q11" s="1497" t="str">
        <f t="shared" si="6"/>
        <v>容积率</v>
      </c>
      <c r="R11" s="710" t="s">
        <v>21</v>
      </c>
      <c r="S11" s="711">
        <f t="shared" si="0"/>
        <v>100</v>
      </c>
      <c r="T11" s="710" t="s">
        <v>21</v>
      </c>
      <c r="U11" s="711">
        <f t="shared" si="1"/>
        <v>100</v>
      </c>
      <c r="V11" s="710" t="s">
        <v>21</v>
      </c>
      <c r="W11" s="711">
        <f t="shared" si="2"/>
        <v>100</v>
      </c>
      <c r="X11" s="712"/>
      <c r="Y11" s="3385"/>
      <c r="Z11" s="55" t="str">
        <f t="shared" si="7"/>
        <v>容积率</v>
      </c>
      <c r="AA11" s="713">
        <f t="shared" si="3"/>
        <v>1</v>
      </c>
      <c r="AB11" s="713">
        <f t="shared" si="4"/>
        <v>1</v>
      </c>
      <c r="AC11" s="713">
        <f t="shared" si="5"/>
        <v>1</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5"/>
      <c r="Q12" s="1497">
        <f t="shared" si="6"/>
        <v>111</v>
      </c>
      <c r="R12" s="710" t="s">
        <v>21</v>
      </c>
      <c r="S12" s="711">
        <f t="shared" si="0"/>
        <v>100</v>
      </c>
      <c r="T12" s="710" t="s">
        <v>21</v>
      </c>
      <c r="U12" s="711">
        <f t="shared" si="1"/>
        <v>100</v>
      </c>
      <c r="V12" s="710" t="s">
        <v>21</v>
      </c>
      <c r="W12" s="711">
        <f t="shared" si="2"/>
        <v>100</v>
      </c>
      <c r="X12" s="712"/>
      <c r="Y12" s="338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5"/>
      <c r="Q13" s="1497">
        <f t="shared" si="6"/>
        <v>111</v>
      </c>
      <c r="R13" s="710" t="s">
        <v>21</v>
      </c>
      <c r="S13" s="711">
        <f t="shared" si="0"/>
        <v>100</v>
      </c>
      <c r="T13" s="710" t="s">
        <v>21</v>
      </c>
      <c r="U13" s="711">
        <f t="shared" si="1"/>
        <v>100</v>
      </c>
      <c r="V13" s="710" t="s">
        <v>21</v>
      </c>
      <c r="W13" s="711">
        <f t="shared" si="2"/>
        <v>100</v>
      </c>
      <c r="X13" s="712"/>
      <c r="Y13" s="338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5"/>
      <c r="Q14" s="1497">
        <f t="shared" si="6"/>
        <v>111</v>
      </c>
      <c r="R14" s="710" t="s">
        <v>21</v>
      </c>
      <c r="S14" s="711">
        <f t="shared" si="0"/>
        <v>100</v>
      </c>
      <c r="T14" s="710" t="s">
        <v>21</v>
      </c>
      <c r="U14" s="711">
        <f t="shared" si="1"/>
        <v>100</v>
      </c>
      <c r="V14" s="710" t="s">
        <v>21</v>
      </c>
      <c r="W14" s="711">
        <f t="shared" si="2"/>
        <v>100</v>
      </c>
      <c r="X14" s="712"/>
      <c r="Y14" s="3385"/>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82" t="s">
        <v>2321</v>
      </c>
      <c r="Q15" s="1506" t="str">
        <f t="shared" si="6"/>
        <v>居住社区成熟度</v>
      </c>
      <c r="R15" s="714" t="s">
        <v>21</v>
      </c>
      <c r="S15" s="715">
        <f t="shared" si="0"/>
        <v>100</v>
      </c>
      <c r="T15" s="714" t="s">
        <v>21</v>
      </c>
      <c r="U15" s="715">
        <f t="shared" si="1"/>
        <v>100</v>
      </c>
      <c r="V15" s="714" t="s">
        <v>21</v>
      </c>
      <c r="W15" s="715">
        <f t="shared" si="2"/>
        <v>100</v>
      </c>
      <c r="X15" s="1509"/>
      <c r="Y15" s="3475"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83"/>
      <c r="Q16" s="1506"/>
      <c r="R16" s="714"/>
      <c r="S16" s="715"/>
      <c r="T16" s="714"/>
      <c r="U16" s="715"/>
      <c r="V16" s="714"/>
      <c r="W16" s="715"/>
      <c r="X16" s="1509"/>
      <c r="Y16" s="347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83"/>
      <c r="Q17" s="1506" t="str">
        <f>B17</f>
        <v>交通便捷度</v>
      </c>
      <c r="R17" s="714" t="s">
        <v>21</v>
      </c>
      <c r="S17" s="715">
        <f>F17</f>
        <v>100</v>
      </c>
      <c r="T17" s="714" t="s">
        <v>21</v>
      </c>
      <c r="U17" s="715">
        <f>H17</f>
        <v>100</v>
      </c>
      <c r="V17" s="714" t="s">
        <v>21</v>
      </c>
      <c r="W17" s="715">
        <f>J17</f>
        <v>100</v>
      </c>
      <c r="X17" s="1509"/>
      <c r="Y17" s="347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83"/>
      <c r="Q18" s="1506"/>
      <c r="R18" s="714"/>
      <c r="S18" s="715"/>
      <c r="T18" s="714"/>
      <c r="U18" s="715"/>
      <c r="V18" s="714"/>
      <c r="W18" s="715"/>
      <c r="X18" s="1509"/>
      <c r="Y18" s="3476"/>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83"/>
      <c r="Q19" s="1506" t="str">
        <f>B19</f>
        <v>公共配套设施</v>
      </c>
      <c r="R19" s="714" t="s">
        <v>21</v>
      </c>
      <c r="S19" s="715">
        <f>F19</f>
        <v>100</v>
      </c>
      <c r="T19" s="714" t="s">
        <v>21</v>
      </c>
      <c r="U19" s="715">
        <f>H19</f>
        <v>100</v>
      </c>
      <c r="V19" s="714" t="s">
        <v>21</v>
      </c>
      <c r="W19" s="715">
        <f>J19</f>
        <v>100</v>
      </c>
      <c r="X19" s="1509"/>
      <c r="Y19" s="347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83"/>
      <c r="Q20" s="1506"/>
      <c r="R20" s="714"/>
      <c r="S20" s="715"/>
      <c r="T20" s="714"/>
      <c r="U20" s="715"/>
      <c r="V20" s="714"/>
      <c r="W20" s="715"/>
      <c r="X20" s="1509"/>
      <c r="Y20" s="3476"/>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83"/>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83"/>
      <c r="Q22" s="1506"/>
      <c r="R22" s="714"/>
      <c r="S22" s="715"/>
      <c r="T22" s="714"/>
      <c r="U22" s="715"/>
      <c r="V22" s="714"/>
      <c r="W22" s="715"/>
      <c r="X22" s="1509"/>
      <c r="Y22" s="3476"/>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83"/>
      <c r="Q23" s="1506" t="str">
        <f>B23</f>
        <v>自然及人文环境</v>
      </c>
      <c r="R23" s="714" t="s">
        <v>21</v>
      </c>
      <c r="S23" s="715">
        <f>F23</f>
        <v>100</v>
      </c>
      <c r="T23" s="714" t="s">
        <v>21</v>
      </c>
      <c r="U23" s="715">
        <f>H23</f>
        <v>100</v>
      </c>
      <c r="V23" s="714" t="s">
        <v>21</v>
      </c>
      <c r="W23" s="715">
        <f>J23</f>
        <v>100</v>
      </c>
      <c r="X23" s="1509"/>
      <c r="Y23" s="347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83"/>
      <c r="Q24" s="1506"/>
      <c r="R24" s="714"/>
      <c r="S24" s="715"/>
      <c r="T24" s="714"/>
      <c r="U24" s="715"/>
      <c r="V24" s="714"/>
      <c r="W24" s="715"/>
      <c r="X24" s="1509"/>
      <c r="Y24" s="3476"/>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83"/>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6"/>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83"/>
      <c r="Q26" s="1506" t="str">
        <f t="shared" si="11"/>
        <v>朝向</v>
      </c>
      <c r="R26" s="714" t="s">
        <v>21</v>
      </c>
      <c r="S26" s="715">
        <f t="shared" si="12"/>
        <v>100</v>
      </c>
      <c r="T26" s="714" t="s">
        <v>21</v>
      </c>
      <c r="U26" s="715">
        <f t="shared" si="13"/>
        <v>100</v>
      </c>
      <c r="V26" s="714" t="s">
        <v>21</v>
      </c>
      <c r="W26" s="715">
        <f t="shared" si="14"/>
        <v>100</v>
      </c>
      <c r="X26" s="1509"/>
      <c r="Y26" s="347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83"/>
      <c r="Q27" s="1497">
        <f t="shared" si="11"/>
        <v>111</v>
      </c>
      <c r="R27" s="710" t="s">
        <v>21</v>
      </c>
      <c r="S27" s="711">
        <f t="shared" si="12"/>
        <v>100</v>
      </c>
      <c r="T27" s="710" t="s">
        <v>21</v>
      </c>
      <c r="U27" s="711">
        <f t="shared" si="13"/>
        <v>100</v>
      </c>
      <c r="V27" s="710" t="s">
        <v>21</v>
      </c>
      <c r="W27" s="711">
        <f t="shared" si="14"/>
        <v>100</v>
      </c>
      <c r="X27" s="712"/>
      <c r="Y27" s="347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83"/>
      <c r="Q28" s="1506">
        <f t="shared" si="11"/>
        <v>111</v>
      </c>
      <c r="R28" s="714" t="s">
        <v>21</v>
      </c>
      <c r="S28" s="715">
        <f t="shared" si="12"/>
        <v>100</v>
      </c>
      <c r="T28" s="714" t="s">
        <v>21</v>
      </c>
      <c r="U28" s="715">
        <f t="shared" si="13"/>
        <v>100</v>
      </c>
      <c r="V28" s="714" t="s">
        <v>21</v>
      </c>
      <c r="W28" s="715">
        <f t="shared" si="14"/>
        <v>100</v>
      </c>
      <c r="X28" s="1509"/>
      <c r="Y28" s="347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83"/>
      <c r="Q29" s="1506">
        <f t="shared" si="11"/>
        <v>111</v>
      </c>
      <c r="R29" s="714" t="s">
        <v>21</v>
      </c>
      <c r="S29" s="715">
        <f t="shared" si="12"/>
        <v>100</v>
      </c>
      <c r="T29" s="714" t="s">
        <v>21</v>
      </c>
      <c r="U29" s="715">
        <f t="shared" si="13"/>
        <v>100</v>
      </c>
      <c r="V29" s="714" t="s">
        <v>21</v>
      </c>
      <c r="W29" s="715">
        <f t="shared" si="14"/>
        <v>100</v>
      </c>
      <c r="X29" s="1509"/>
      <c r="Y29" s="347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83"/>
      <c r="Q30" s="1506">
        <f t="shared" si="11"/>
        <v>111</v>
      </c>
      <c r="R30" s="714" t="s">
        <v>21</v>
      </c>
      <c r="S30" s="715">
        <f t="shared" si="12"/>
        <v>100</v>
      </c>
      <c r="T30" s="714" t="s">
        <v>21</v>
      </c>
      <c r="U30" s="715">
        <f t="shared" si="13"/>
        <v>100</v>
      </c>
      <c r="V30" s="714" t="s">
        <v>21</v>
      </c>
      <c r="W30" s="715">
        <f t="shared" si="14"/>
        <v>100</v>
      </c>
      <c r="X30" s="1509"/>
      <c r="Y30" s="347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83"/>
      <c r="Q31" s="1506">
        <f t="shared" si="11"/>
        <v>111</v>
      </c>
      <c r="R31" s="714" t="s">
        <v>21</v>
      </c>
      <c r="S31" s="715">
        <f t="shared" si="12"/>
        <v>100</v>
      </c>
      <c r="T31" s="714" t="s">
        <v>21</v>
      </c>
      <c r="U31" s="715">
        <f t="shared" si="13"/>
        <v>100</v>
      </c>
      <c r="V31" s="714" t="s">
        <v>21</v>
      </c>
      <c r="W31" s="715">
        <f t="shared" si="14"/>
        <v>100</v>
      </c>
      <c r="X31" s="1509"/>
      <c r="Y31" s="3476"/>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7" t="s">
        <v>2326</v>
      </c>
      <c r="Q32" s="1506" t="str">
        <f t="shared" si="11"/>
        <v>建筑类型</v>
      </c>
      <c r="R32" s="714" t="s">
        <v>21</v>
      </c>
      <c r="S32" s="715">
        <f t="shared" si="12"/>
        <v>100</v>
      </c>
      <c r="T32" s="714" t="s">
        <v>21</v>
      </c>
      <c r="U32" s="715">
        <f t="shared" si="13"/>
        <v>100</v>
      </c>
      <c r="V32" s="714" t="s">
        <v>21</v>
      </c>
      <c r="W32" s="715">
        <f t="shared" si="14"/>
        <v>100</v>
      </c>
      <c r="X32" s="1509"/>
      <c r="Y32" s="3480"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f>LOOKUP(E33,103:103,104:104)-LOOKUP(C33,103:103,104:104)+100</f>
        <v>100</v>
      </c>
      <c r="G33" s="388"/>
      <c r="H33" s="132">
        <f>LOOKUP(G33,103:103,104:104)-LOOKUP(C33,103:103,104:104)+100</f>
        <v>100</v>
      </c>
      <c r="I33" s="389"/>
      <c r="J33" s="132">
        <f>LOOKUP(I33,103:103,104:104)-LOOKUP(C33,103:103,104:104)+100</f>
        <v>100</v>
      </c>
      <c r="K33" s="2050"/>
      <c r="L33" s="2920"/>
      <c r="M33" s="2922"/>
      <c r="N33" s="2922"/>
      <c r="O33" s="2922"/>
      <c r="P33" s="3478"/>
      <c r="Q33" s="716" t="str">
        <f t="shared" si="11"/>
        <v>项目建筑规模</v>
      </c>
      <c r="R33" s="717" t="s">
        <v>21</v>
      </c>
      <c r="S33" s="718">
        <f t="shared" si="12"/>
        <v>100</v>
      </c>
      <c r="T33" s="717" t="s">
        <v>21</v>
      </c>
      <c r="U33" s="718">
        <f t="shared" si="13"/>
        <v>100</v>
      </c>
      <c r="V33" s="717" t="s">
        <v>21</v>
      </c>
      <c r="W33" s="718">
        <f t="shared" si="14"/>
        <v>100</v>
      </c>
      <c r="X33" s="719"/>
      <c r="Y33" s="3480"/>
      <c r="Z33" s="720" t="str">
        <f t="shared" si="18"/>
        <v>项目建筑规模</v>
      </c>
      <c r="AA33" s="1507">
        <f t="shared" si="15"/>
        <v>1</v>
      </c>
      <c r="AB33" s="1507">
        <f t="shared" si="16"/>
        <v>1</v>
      </c>
      <c r="AC33" s="1507">
        <f t="shared" si="17"/>
        <v>1</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8"/>
      <c r="Q34" s="1506" t="str">
        <f t="shared" si="11"/>
        <v>建筑结构</v>
      </c>
      <c r="R34" s="714" t="s">
        <v>21</v>
      </c>
      <c r="S34" s="715">
        <f t="shared" si="12"/>
        <v>100</v>
      </c>
      <c r="T34" s="714" t="s">
        <v>21</v>
      </c>
      <c r="U34" s="715">
        <f t="shared" si="13"/>
        <v>100</v>
      </c>
      <c r="V34" s="714" t="s">
        <v>21</v>
      </c>
      <c r="W34" s="715">
        <f t="shared" si="14"/>
        <v>100</v>
      </c>
      <c r="X34" s="1509"/>
      <c r="Y34" s="3480"/>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8"/>
      <c r="Q35" s="1506" t="str">
        <f t="shared" si="11"/>
        <v>建筑品质</v>
      </c>
      <c r="R35" s="714" t="s">
        <v>21</v>
      </c>
      <c r="S35" s="715">
        <f t="shared" si="12"/>
        <v>100</v>
      </c>
      <c r="T35" s="714" t="s">
        <v>21</v>
      </c>
      <c r="U35" s="715">
        <f t="shared" si="13"/>
        <v>100</v>
      </c>
      <c r="V35" s="714" t="s">
        <v>21</v>
      </c>
      <c r="W35" s="715">
        <f t="shared" si="14"/>
        <v>100</v>
      </c>
      <c r="X35" s="1509"/>
      <c r="Y35" s="3480"/>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8"/>
      <c r="Q36" s="1506" t="str">
        <f t="shared" si="11"/>
        <v>公共部分装修</v>
      </c>
      <c r="R36" s="714" t="s">
        <v>21</v>
      </c>
      <c r="S36" s="715">
        <f t="shared" si="12"/>
        <v>100</v>
      </c>
      <c r="T36" s="714" t="s">
        <v>21</v>
      </c>
      <c r="U36" s="715">
        <f t="shared" si="13"/>
        <v>100</v>
      </c>
      <c r="V36" s="714" t="s">
        <v>21</v>
      </c>
      <c r="W36" s="715">
        <f t="shared" si="14"/>
        <v>100</v>
      </c>
      <c r="X36" s="1509"/>
      <c r="Y36" s="3480"/>
      <c r="Z36" s="1510" t="str">
        <f t="shared" si="18"/>
        <v>公共部分装修</v>
      </c>
      <c r="AA36" s="1507">
        <f t="shared" si="15"/>
        <v>1</v>
      </c>
      <c r="AB36" s="1507">
        <f t="shared" si="16"/>
        <v>1</v>
      </c>
      <c r="AC36" s="1507">
        <f t="shared" si="17"/>
        <v>1</v>
      </c>
    </row>
    <row r="37" spans="1:29" s="113" customFormat="1" ht="15">
      <c r="A37" s="432"/>
      <c r="B37" s="381" t="s">
        <v>2331</v>
      </c>
      <c r="C37" s="433">
        <v>1</v>
      </c>
      <c r="D37" s="132">
        <v>100</v>
      </c>
      <c r="E37" s="433">
        <v>1</v>
      </c>
      <c r="F37" s="384">
        <f>LOOKUP(E37,112:112,113:113)-LOOKUP(C37,112:112,113:113)+100</f>
        <v>100</v>
      </c>
      <c r="G37" s="435">
        <v>1</v>
      </c>
      <c r="H37" s="132">
        <f>LOOKUP(G37,112:112,113:113)-LOOKUP(C37,112:112,113:113)+100</f>
        <v>100</v>
      </c>
      <c r="I37" s="434">
        <v>1</v>
      </c>
      <c r="J37" s="132">
        <f>LOOKUP(I37,112:112,113:113)-LOOKUP(C37,112:112,113:113)+100</f>
        <v>100</v>
      </c>
      <c r="K37" s="385"/>
      <c r="L37" s="2916"/>
      <c r="M37" s="2917"/>
      <c r="N37" s="2917"/>
      <c r="O37" s="2917"/>
      <c r="P37" s="3478"/>
      <c r="Q37" s="1497" t="str">
        <f t="shared" si="11"/>
        <v>成新度</v>
      </c>
      <c r="R37" s="710" t="s">
        <v>21</v>
      </c>
      <c r="S37" s="711">
        <f t="shared" si="12"/>
        <v>100</v>
      </c>
      <c r="T37" s="710" t="s">
        <v>21</v>
      </c>
      <c r="U37" s="711">
        <f t="shared" si="13"/>
        <v>100</v>
      </c>
      <c r="V37" s="710" t="s">
        <v>21</v>
      </c>
      <c r="W37" s="711">
        <f t="shared" si="14"/>
        <v>100</v>
      </c>
      <c r="X37" s="712"/>
      <c r="Y37" s="3480"/>
      <c r="Z37" s="55" t="str">
        <f t="shared" si="18"/>
        <v>成新度</v>
      </c>
      <c r="AA37" s="713">
        <f t="shared" si="15"/>
        <v>1</v>
      </c>
      <c r="AB37" s="713">
        <f t="shared" si="16"/>
        <v>1</v>
      </c>
      <c r="AC37" s="713">
        <f t="shared" si="17"/>
        <v>1</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8" t="s">
        <v>2326</v>
      </c>
      <c r="Q38" s="1506" t="str">
        <f t="shared" si="11"/>
        <v>物业管理</v>
      </c>
      <c r="R38" s="714" t="s">
        <v>21</v>
      </c>
      <c r="S38" s="715">
        <f t="shared" si="12"/>
        <v>100</v>
      </c>
      <c r="T38" s="714" t="s">
        <v>21</v>
      </c>
      <c r="U38" s="715">
        <f t="shared" si="13"/>
        <v>100</v>
      </c>
      <c r="V38" s="714" t="s">
        <v>21</v>
      </c>
      <c r="W38" s="715">
        <f t="shared" si="14"/>
        <v>100</v>
      </c>
      <c r="X38" s="1509"/>
      <c r="Y38" s="3480"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8"/>
      <c r="Q39" s="1506" t="str">
        <f t="shared" si="11"/>
        <v>市政基础设施</v>
      </c>
      <c r="R39" s="714" t="s">
        <v>21</v>
      </c>
      <c r="S39" s="715">
        <f t="shared" si="12"/>
        <v>100</v>
      </c>
      <c r="T39" s="714" t="s">
        <v>21</v>
      </c>
      <c r="U39" s="715">
        <f t="shared" si="13"/>
        <v>100</v>
      </c>
      <c r="V39" s="714" t="s">
        <v>21</v>
      </c>
      <c r="W39" s="715">
        <f t="shared" si="14"/>
        <v>100</v>
      </c>
      <c r="X39" s="1509"/>
      <c r="Y39" s="3480"/>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8"/>
      <c r="Q40" s="1506" t="str">
        <f t="shared" si="11"/>
        <v>房型</v>
      </c>
      <c r="R40" s="714" t="s">
        <v>21</v>
      </c>
      <c r="S40" s="715">
        <f t="shared" si="12"/>
        <v>100</v>
      </c>
      <c r="T40" s="714" t="s">
        <v>21</v>
      </c>
      <c r="U40" s="715">
        <f t="shared" si="13"/>
        <v>100</v>
      </c>
      <c r="V40" s="714" t="s">
        <v>21</v>
      </c>
      <c r="W40" s="715">
        <f t="shared" si="14"/>
        <v>100</v>
      </c>
      <c r="X40" s="1509"/>
      <c r="Y40" s="3480"/>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8"/>
      <c r="Q41" s="716" t="str">
        <f t="shared" si="11"/>
        <v>单套/主力户型建筑面积</v>
      </c>
      <c r="R41" s="717" t="s">
        <v>21</v>
      </c>
      <c r="S41" s="718">
        <f t="shared" si="12"/>
        <v>100</v>
      </c>
      <c r="T41" s="717" t="s">
        <v>21</v>
      </c>
      <c r="U41" s="718">
        <f t="shared" si="13"/>
        <v>100</v>
      </c>
      <c r="V41" s="717" t="s">
        <v>21</v>
      </c>
      <c r="W41" s="718">
        <f t="shared" si="14"/>
        <v>100</v>
      </c>
      <c r="X41" s="719"/>
      <c r="Y41" s="3480"/>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8"/>
      <c r="Q42" s="1506" t="str">
        <f t="shared" si="11"/>
        <v>内部装修</v>
      </c>
      <c r="R42" s="714" t="s">
        <v>21</v>
      </c>
      <c r="S42" s="715">
        <f t="shared" si="12"/>
        <v>100</v>
      </c>
      <c r="T42" s="714" t="s">
        <v>21</v>
      </c>
      <c r="U42" s="715">
        <f t="shared" si="13"/>
        <v>100</v>
      </c>
      <c r="V42" s="714" t="s">
        <v>21</v>
      </c>
      <c r="W42" s="715">
        <f t="shared" si="14"/>
        <v>100</v>
      </c>
      <c r="X42" s="1509"/>
      <c r="Y42" s="3480"/>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8"/>
      <c r="Q43" s="1506" t="str">
        <f t="shared" si="11"/>
        <v>内部装修维护情况</v>
      </c>
      <c r="R43" s="714" t="s">
        <v>21</v>
      </c>
      <c r="S43" s="715">
        <f t="shared" si="12"/>
        <v>100</v>
      </c>
      <c r="T43" s="714" t="s">
        <v>21</v>
      </c>
      <c r="U43" s="715">
        <f t="shared" si="13"/>
        <v>100</v>
      </c>
      <c r="V43" s="714" t="s">
        <v>21</v>
      </c>
      <c r="W43" s="715">
        <f t="shared" si="14"/>
        <v>100</v>
      </c>
      <c r="X43" s="1509"/>
      <c r="Y43" s="348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8"/>
      <c r="Q44" s="1497">
        <f t="shared" si="11"/>
        <v>111</v>
      </c>
      <c r="R44" s="710" t="s">
        <v>21</v>
      </c>
      <c r="S44" s="711">
        <f t="shared" si="12"/>
        <v>100</v>
      </c>
      <c r="T44" s="710" t="s">
        <v>21</v>
      </c>
      <c r="U44" s="711">
        <f t="shared" si="13"/>
        <v>100</v>
      </c>
      <c r="V44" s="710" t="s">
        <v>21</v>
      </c>
      <c r="W44" s="711">
        <f t="shared" si="14"/>
        <v>100</v>
      </c>
      <c r="X44" s="712"/>
      <c r="Y44" s="348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8"/>
      <c r="Q45" s="1506">
        <f t="shared" si="11"/>
        <v>111</v>
      </c>
      <c r="R45" s="714" t="s">
        <v>21</v>
      </c>
      <c r="S45" s="715">
        <f t="shared" si="12"/>
        <v>100</v>
      </c>
      <c r="T45" s="714" t="s">
        <v>21</v>
      </c>
      <c r="U45" s="715">
        <f t="shared" si="13"/>
        <v>100</v>
      </c>
      <c r="V45" s="714" t="s">
        <v>21</v>
      </c>
      <c r="W45" s="715">
        <f t="shared" si="14"/>
        <v>100</v>
      </c>
      <c r="X45" s="1509"/>
      <c r="Y45" s="348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9"/>
      <c r="Q46" s="1506">
        <f t="shared" si="11"/>
        <v>111</v>
      </c>
      <c r="R46" s="714" t="s">
        <v>20</v>
      </c>
      <c r="S46" s="715">
        <f t="shared" si="12"/>
        <v>100</v>
      </c>
      <c r="T46" s="714" t="s">
        <v>20</v>
      </c>
      <c r="U46" s="715">
        <f t="shared" si="13"/>
        <v>100</v>
      </c>
      <c r="V46" s="714" t="s">
        <v>20</v>
      </c>
      <c r="W46" s="715">
        <f t="shared" si="14"/>
        <v>100</v>
      </c>
      <c r="X46" s="1509"/>
      <c r="Y46" s="3481"/>
      <c r="Z46" s="1510">
        <f t="shared" si="18"/>
        <v>111</v>
      </c>
      <c r="AA46" s="1507">
        <f t="shared" si="15"/>
        <v>1</v>
      </c>
      <c r="AB46" s="1507">
        <f t="shared" si="16"/>
        <v>1</v>
      </c>
      <c r="AC46" s="1507">
        <f t="shared" si="17"/>
        <v>1</v>
      </c>
    </row>
    <row r="47" spans="1:29" ht="15">
      <c r="A47" s="438" t="s">
        <v>2338</v>
      </c>
      <c r="B47" s="439"/>
      <c r="C47" s="1288" t="s">
        <v>19</v>
      </c>
      <c r="D47" s="1289"/>
      <c r="E47" s="1290">
        <v>5500</v>
      </c>
      <c r="F47" s="1291"/>
      <c r="G47" s="1292">
        <v>5600</v>
      </c>
      <c r="H47" s="1293"/>
      <c r="I47" s="1290">
        <v>5600</v>
      </c>
      <c r="J47" s="1293"/>
      <c r="K47" s="2070"/>
      <c r="L47" s="2923"/>
      <c r="M47" s="2924"/>
      <c r="N47" s="2915"/>
      <c r="O47" s="2924"/>
      <c r="P47" s="3473" t="str">
        <f>A47</f>
        <v>成交单价（元/平方米）</v>
      </c>
      <c r="Q47" s="3473"/>
      <c r="R47" s="3474">
        <f>E47</f>
        <v>5500</v>
      </c>
      <c r="S47" s="3474"/>
      <c r="T47" s="3474">
        <f>G47</f>
        <v>5600</v>
      </c>
      <c r="U47" s="3474"/>
      <c r="V47" s="3474">
        <f>I47</f>
        <v>5600</v>
      </c>
      <c r="W47" s="3474"/>
      <c r="X47" s="699"/>
      <c r="Y47" s="721"/>
      <c r="Z47" s="699"/>
      <c r="AA47" s="699"/>
      <c r="AB47" s="699"/>
      <c r="AC47" s="699"/>
    </row>
    <row r="48" spans="1:29" ht="15.75" thickBot="1">
      <c r="A48" s="445" t="s">
        <v>2339</v>
      </c>
      <c r="B48" s="446"/>
      <c r="C48" s="1294">
        <f>R49</f>
        <v>5567</v>
      </c>
      <c r="D48" s="2508" t="s">
        <v>2821</v>
      </c>
      <c r="E48" s="1295">
        <f>R48</f>
        <v>5500</v>
      </c>
      <c r="F48" s="2509"/>
      <c r="G48" s="1294">
        <f>T48</f>
        <v>5600</v>
      </c>
      <c r="H48" s="2509"/>
      <c r="I48" s="1295">
        <f>V48</f>
        <v>5600</v>
      </c>
      <c r="J48" s="2509"/>
      <c r="K48" s="2510">
        <f>F48+H48+J48</f>
        <v>0</v>
      </c>
      <c r="L48" s="2923"/>
      <c r="M48" s="2924"/>
      <c r="N48" s="2924"/>
      <c r="O48" s="2924"/>
      <c r="P48" s="3473" t="str">
        <f>A48</f>
        <v>比较价值（元/平方米）</v>
      </c>
      <c r="Q48" s="3473"/>
      <c r="R48" s="3474">
        <f>IF(F1="售价",ROUND(PRODUCT(R47,AA7:AA46),0),ROUND(PRODUCT(R47,AA7:AA46),1))</f>
        <v>5500</v>
      </c>
      <c r="S48" s="3474"/>
      <c r="T48" s="3474">
        <f>IF(F1="售价",ROUND(PRODUCT(T47,AB7:AB46),0),ROUND(PRODUCT(T47,AB7:AB46),1))</f>
        <v>5600</v>
      </c>
      <c r="U48" s="3474"/>
      <c r="V48" s="3474">
        <f>IF(F1="售价",ROUND(PRODUCT(V47,AC7:AC46),0),ROUND(PRODUCT(V47,AC7:AC46),1))</f>
        <v>5600</v>
      </c>
      <c r="W48" s="3474"/>
      <c r="X48" s="699"/>
      <c r="Y48" s="699"/>
      <c r="Z48" s="699"/>
      <c r="AA48" s="699"/>
      <c r="AB48" s="699"/>
      <c r="AC48" s="699"/>
    </row>
    <row r="49" spans="1:29" ht="15.75" thickBot="1">
      <c r="A49" s="449" t="s">
        <v>2340</v>
      </c>
      <c r="B49" s="450"/>
      <c r="C49" s="1296">
        <f>R49</f>
        <v>5567</v>
      </c>
      <c r="D49" s="1297"/>
      <c r="E49" s="1297"/>
      <c r="F49" s="1297"/>
      <c r="G49" s="1297"/>
      <c r="H49" s="1297"/>
      <c r="I49" s="1297"/>
      <c r="J49" s="1297"/>
      <c r="K49" s="2071"/>
      <c r="L49" s="2923"/>
      <c r="M49" s="2924"/>
      <c r="N49" s="2924"/>
      <c r="O49" s="2924"/>
      <c r="P49" s="3470" t="str">
        <f>A49</f>
        <v>估价对象XX用房的比较价值（楼面单价，元/平方米）</v>
      </c>
      <c r="Q49" s="3471"/>
      <c r="R49" s="3472">
        <f>IF(F1="售价",ROUND(IF(D48="简单平均",AVERAGE(R48:V48),R48*F48+T48*H48+V48*J48),0),ROUND(IF(D48="简单平均",AVERAGE(R48:V48),R48*F48+T48*H48+V48*J48),1))</f>
        <v>5567</v>
      </c>
      <c r="S49" s="3472"/>
      <c r="T49" s="3472"/>
      <c r="U49" s="3472"/>
      <c r="V49" s="3472"/>
      <c r="W49" s="347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29"/>
      <c r="L52" s="2925"/>
      <c r="M52" s="2924"/>
      <c r="N52" s="2924"/>
      <c r="O52" s="2924"/>
    </row>
    <row r="53" spans="1:29" ht="13.5" customHeight="1">
      <c r="A53" s="2924"/>
      <c r="B53" s="2924"/>
      <c r="C53" s="454" t="s">
        <v>2342</v>
      </c>
      <c r="D53" s="458"/>
      <c r="E53" s="456">
        <f>IF(E48&lt;G48,G48/E48-1,E48/G48-1)</f>
        <v>1.8181818181818077E-2</v>
      </c>
      <c r="F53" s="457" t="str">
        <f>IF(OR(E53&gt;=0.2,E53&lt;=-0.2),"超过20%","")</f>
        <v/>
      </c>
      <c r="G53" s="456">
        <f>IF(G48&lt;I48,I48/G48-1,G48/I48-1)</f>
        <v>0</v>
      </c>
      <c r="H53" s="457" t="str">
        <f>IF(OR(G53&gt;=0.2,G53&lt;=-0.2),"超过20%","")</f>
        <v/>
      </c>
      <c r="I53" s="456">
        <f>IF(I48&lt;E48,E48/I48-1,I48/E48-1)</f>
        <v>1.8181818181818077E-2</v>
      </c>
      <c r="J53" s="457" t="str">
        <f>IF(OR(I53&gt;=0.2,I53&lt;=-0.2),"超过20%","")</f>
        <v/>
      </c>
      <c r="K53" s="2929"/>
      <c r="L53" s="2925"/>
      <c r="M53" s="2924"/>
      <c r="N53" s="2924"/>
      <c r="O53" s="2924"/>
    </row>
    <row r="54" spans="1:29" s="459" customFormat="1" ht="13.5" customHeight="1">
      <c r="A54" s="2927"/>
      <c r="B54" s="2927"/>
      <c r="C54" s="454" t="s">
        <v>2343</v>
      </c>
      <c r="D54" s="458"/>
      <c r="E54" s="456">
        <f>IF(E47&lt;G47,G47/E47-1,E47/G47-1)</f>
        <v>1.8181818181818077E-2</v>
      </c>
      <c r="F54" s="457" t="str">
        <f>IF(OR(E54&gt;=0.3,E54&lt;=-0.3),"超过30%","")</f>
        <v/>
      </c>
      <c r="G54" s="456">
        <f>IF(G47&lt;I47,I47/G47-1,G47/I47-1)</f>
        <v>0</v>
      </c>
      <c r="H54" s="457" t="str">
        <f>IF(OR(G54&gt;=0.3,G54&lt;=-0.3),"超过30%","")</f>
        <v/>
      </c>
      <c r="I54" s="456">
        <f>IF(I47&lt;E47,E47/I47-1,I47/E47-1)</f>
        <v>1.8181818181818077E-2</v>
      </c>
      <c r="J54" s="457" t="str">
        <f>IF(OR(I54&gt;=0.3,I54&lt;=-0.3),"超过30%","")</f>
        <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v>0</v>
      </c>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0(含)-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v>0</v>
      </c>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v>100</v>
      </c>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38556.25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56" t="s">
        <v>2407</v>
      </c>
      <c r="D4" s="3457"/>
      <c r="E4" s="3458" t="s">
        <v>2408</v>
      </c>
      <c r="F4" s="3459"/>
      <c r="G4" s="3456" t="s">
        <v>2409</v>
      </c>
      <c r="H4" s="3457"/>
      <c r="I4" s="3456" t="s">
        <v>2410</v>
      </c>
      <c r="J4" s="3457"/>
      <c r="K4" s="567" t="s">
        <v>2411</v>
      </c>
      <c r="L4" s="2914"/>
      <c r="M4" s="2915"/>
      <c r="N4" s="2915"/>
      <c r="O4" s="2915"/>
      <c r="P4" s="3460" t="s">
        <v>2412</v>
      </c>
      <c r="Q4" s="3461"/>
      <c r="R4" s="3443" t="s">
        <v>2408</v>
      </c>
      <c r="S4" s="3444"/>
      <c r="T4" s="3443" t="s">
        <v>2409</v>
      </c>
      <c r="U4" s="3444"/>
      <c r="V4" s="3468" t="s">
        <v>2410</v>
      </c>
      <c r="W4" s="3468"/>
      <c r="X4" s="1509"/>
      <c r="Y4" s="3443" t="s">
        <v>2412</v>
      </c>
      <c r="Z4" s="3444"/>
      <c r="AA4" s="3438" t="s">
        <v>2408</v>
      </c>
      <c r="AB4" s="3468" t="s">
        <v>2409</v>
      </c>
      <c r="AC4" s="3438" t="s">
        <v>2410</v>
      </c>
    </row>
    <row r="5" spans="1:29" ht="15">
      <c r="A5" s="364"/>
      <c r="B5" s="365"/>
      <c r="C5" s="3449" t="s">
        <v>2303</v>
      </c>
      <c r="D5" s="3450"/>
      <c r="E5" s="3447" t="s">
        <v>2304</v>
      </c>
      <c r="F5" s="3448"/>
      <c r="G5" s="3449" t="s">
        <v>2305</v>
      </c>
      <c r="H5" s="3450"/>
      <c r="I5" s="3449" t="s">
        <v>2306</v>
      </c>
      <c r="J5" s="3450"/>
      <c r="K5" s="567"/>
      <c r="L5" s="2914"/>
      <c r="M5" s="2915"/>
      <c r="N5" s="2915"/>
      <c r="O5" s="2915"/>
      <c r="P5" s="3462"/>
      <c r="Q5" s="3463"/>
      <c r="R5" s="3445"/>
      <c r="S5" s="3446"/>
      <c r="T5" s="3445"/>
      <c r="U5" s="3446"/>
      <c r="V5" s="3468"/>
      <c r="W5" s="3468"/>
      <c r="X5" s="1509"/>
      <c r="Y5" s="3445"/>
      <c r="Z5" s="3446"/>
      <c r="AA5" s="3439"/>
      <c r="AB5" s="3468"/>
      <c r="AC5" s="3439"/>
    </row>
    <row r="6" spans="1:29" ht="15.75" thickBot="1">
      <c r="A6" s="366"/>
      <c r="B6" s="367"/>
      <c r="C6" s="3451" t="s">
        <v>2307</v>
      </c>
      <c r="D6" s="3452"/>
      <c r="E6" s="3453" t="s">
        <v>2307</v>
      </c>
      <c r="F6" s="3454"/>
      <c r="G6" s="3451" t="s">
        <v>2307</v>
      </c>
      <c r="H6" s="3452"/>
      <c r="I6" s="3451" t="s">
        <v>2307</v>
      </c>
      <c r="J6" s="3452"/>
      <c r="K6" s="567" t="s">
        <v>2308</v>
      </c>
      <c r="L6" s="2914"/>
      <c r="M6" s="2915"/>
      <c r="N6" s="2915"/>
      <c r="O6" s="2915"/>
      <c r="P6" s="3464"/>
      <c r="Q6" s="3465"/>
      <c r="R6" s="3445"/>
      <c r="S6" s="3446"/>
      <c r="T6" s="3466"/>
      <c r="U6" s="3467"/>
      <c r="V6" s="3468"/>
      <c r="W6" s="3468"/>
      <c r="X6" s="1509"/>
      <c r="Y6" s="3466"/>
      <c r="Z6" s="3467"/>
      <c r="AA6" s="3440"/>
      <c r="AB6" s="3468"/>
      <c r="AC6" s="3440"/>
    </row>
    <row r="7" spans="1:29" s="113" customFormat="1" ht="15.75" thickBot="1">
      <c r="A7" s="368" t="s">
        <v>2309</v>
      </c>
      <c r="B7" s="369"/>
      <c r="C7" s="370">
        <f>'数据-取费表'!B2</f>
        <v>44579</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41" t="s">
        <v>2310</v>
      </c>
      <c r="Q7" s="3469"/>
      <c r="R7" s="710" t="s">
        <v>17</v>
      </c>
      <c r="S7" s="711">
        <f t="shared" ref="S7:S15" si="0">F7</f>
        <v>0</v>
      </c>
      <c r="T7" s="710" t="s">
        <v>17</v>
      </c>
      <c r="U7" s="711">
        <f t="shared" ref="U7:U15" si="1">H7</f>
        <v>0</v>
      </c>
      <c r="V7" s="710" t="s">
        <v>17</v>
      </c>
      <c r="W7" s="711">
        <f t="shared" ref="W7:W15" si="2">J7</f>
        <v>0</v>
      </c>
      <c r="X7" s="712"/>
      <c r="Y7" s="3441" t="s">
        <v>2310</v>
      </c>
      <c r="Z7" s="344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41" t="s">
        <v>2313</v>
      </c>
      <c r="Q8" s="3442"/>
      <c r="R8" s="710" t="s">
        <v>17</v>
      </c>
      <c r="S8" s="711">
        <f t="shared" si="0"/>
        <v>0</v>
      </c>
      <c r="T8" s="710" t="s">
        <v>17</v>
      </c>
      <c r="U8" s="711">
        <f t="shared" si="1"/>
        <v>0</v>
      </c>
      <c r="V8" s="710" t="s">
        <v>17</v>
      </c>
      <c r="W8" s="711">
        <f t="shared" si="2"/>
        <v>0</v>
      </c>
      <c r="X8" s="712"/>
      <c r="Y8" s="3441" t="s">
        <v>2313</v>
      </c>
      <c r="Z8" s="344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5" t="s">
        <v>2316</v>
      </c>
      <c r="Q9" s="1497" t="str">
        <f t="shared" ref="Q9:Q15" si="6">B9</f>
        <v>用途</v>
      </c>
      <c r="R9" s="710" t="s">
        <v>17</v>
      </c>
      <c r="S9" s="711">
        <f t="shared" si="0"/>
        <v>100</v>
      </c>
      <c r="T9" s="710" t="s">
        <v>17</v>
      </c>
      <c r="U9" s="711">
        <f t="shared" si="1"/>
        <v>100</v>
      </c>
      <c r="V9" s="710" t="s">
        <v>17</v>
      </c>
      <c r="W9" s="711">
        <f t="shared" si="2"/>
        <v>100</v>
      </c>
      <c r="X9" s="712"/>
      <c r="Y9" s="338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5"/>
      <c r="Q11" s="1497"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5"/>
      <c r="Q14" s="1497">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82" t="s">
        <v>2321</v>
      </c>
      <c r="Q15" s="1506" t="str">
        <f t="shared" si="6"/>
        <v>商业繁华度</v>
      </c>
      <c r="R15" s="714" t="s">
        <v>17</v>
      </c>
      <c r="S15" s="715">
        <f t="shared" si="0"/>
        <v>100</v>
      </c>
      <c r="T15" s="714" t="s">
        <v>17</v>
      </c>
      <c r="U15" s="715">
        <f t="shared" si="1"/>
        <v>100</v>
      </c>
      <c r="V15" s="714" t="s">
        <v>17</v>
      </c>
      <c r="W15" s="715">
        <f t="shared" si="2"/>
        <v>100</v>
      </c>
      <c r="X15" s="1509"/>
      <c r="Y15" s="3475"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83"/>
      <c r="Q16" s="1506"/>
      <c r="R16" s="714"/>
      <c r="S16" s="715"/>
      <c r="T16" s="714"/>
      <c r="U16" s="715"/>
      <c r="V16" s="714"/>
      <c r="W16" s="715"/>
      <c r="X16" s="1509"/>
      <c r="Y16" s="347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83"/>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83"/>
      <c r="Q18" s="1506"/>
      <c r="R18" s="714"/>
      <c r="S18" s="715"/>
      <c r="T18" s="714"/>
      <c r="U18" s="715"/>
      <c r="V18" s="714"/>
      <c r="W18" s="715"/>
      <c r="X18" s="1509"/>
      <c r="Y18" s="3476"/>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83"/>
      <c r="Q19" s="1506" t="str">
        <f>B19</f>
        <v>公共配套设施</v>
      </c>
      <c r="R19" s="714" t="s">
        <v>17</v>
      </c>
      <c r="S19" s="715">
        <f>F19</f>
        <v>100</v>
      </c>
      <c r="T19" s="714" t="s">
        <v>17</v>
      </c>
      <c r="U19" s="715">
        <f>H19</f>
        <v>100</v>
      </c>
      <c r="V19" s="714" t="s">
        <v>17</v>
      </c>
      <c r="W19" s="715">
        <f>J19</f>
        <v>100</v>
      </c>
      <c r="X19" s="1509"/>
      <c r="Y19" s="347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83"/>
      <c r="Q20" s="1506"/>
      <c r="R20" s="714"/>
      <c r="S20" s="715"/>
      <c r="T20" s="714"/>
      <c r="U20" s="715"/>
      <c r="V20" s="714"/>
      <c r="W20" s="715"/>
      <c r="X20" s="1509"/>
      <c r="Y20" s="3476"/>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83"/>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83"/>
      <c r="Q22" s="1506"/>
      <c r="R22" s="714"/>
      <c r="S22" s="715"/>
      <c r="T22" s="714"/>
      <c r="U22" s="715"/>
      <c r="V22" s="714"/>
      <c r="W22" s="715"/>
      <c r="X22" s="1509"/>
      <c r="Y22" s="3476"/>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83"/>
      <c r="Q23" s="1506" t="str">
        <f>B23</f>
        <v>自然及人文环境</v>
      </c>
      <c r="R23" s="714" t="s">
        <v>17</v>
      </c>
      <c r="S23" s="715">
        <f>F23</f>
        <v>100</v>
      </c>
      <c r="T23" s="714" t="s">
        <v>17</v>
      </c>
      <c r="U23" s="715">
        <f>H23</f>
        <v>100</v>
      </c>
      <c r="V23" s="714" t="s">
        <v>17</v>
      </c>
      <c r="W23" s="715">
        <f>J23</f>
        <v>100</v>
      </c>
      <c r="X23" s="1509"/>
      <c r="Y23" s="347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83"/>
      <c r="Q24" s="1506"/>
      <c r="R24" s="714"/>
      <c r="S24" s="715"/>
      <c r="T24" s="714"/>
      <c r="U24" s="715"/>
      <c r="V24" s="714"/>
      <c r="W24" s="715"/>
      <c r="X24" s="1509"/>
      <c r="Y24" s="3476"/>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83"/>
      <c r="Q25" s="1506" t="str">
        <f t="shared" ref="Q25:Q46" si="11">B25</f>
        <v>临街状况</v>
      </c>
      <c r="R25" s="714" t="s">
        <v>17</v>
      </c>
      <c r="S25" s="715">
        <f>F25</f>
        <v>100</v>
      </c>
      <c r="T25" s="714" t="s">
        <v>17</v>
      </c>
      <c r="U25" s="715">
        <f>H25</f>
        <v>100</v>
      </c>
      <c r="V25" s="714" t="s">
        <v>17</v>
      </c>
      <c r="W25" s="715">
        <f>J25</f>
        <v>100</v>
      </c>
      <c r="X25" s="1509"/>
      <c r="Y25" s="3476"/>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83"/>
      <c r="Q26" s="1506" t="str">
        <f t="shared" si="11"/>
        <v>平面位置/可视性</v>
      </c>
      <c r="R26" s="714" t="s">
        <v>17</v>
      </c>
      <c r="S26" s="715">
        <f>F26</f>
        <v>100</v>
      </c>
      <c r="T26" s="714" t="s">
        <v>17</v>
      </c>
      <c r="U26" s="715">
        <f>H26</f>
        <v>100</v>
      </c>
      <c r="V26" s="714" t="s">
        <v>17</v>
      </c>
      <c r="W26" s="715">
        <f>J26</f>
        <v>100</v>
      </c>
      <c r="X26" s="1509"/>
      <c r="Y26" s="3476"/>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83"/>
      <c r="Q27" s="1497" t="str">
        <f t="shared" si="11"/>
        <v>人流量</v>
      </c>
      <c r="R27" s="710" t="s">
        <v>17</v>
      </c>
      <c r="S27" s="711">
        <f>F27</f>
        <v>100</v>
      </c>
      <c r="T27" s="710" t="s">
        <v>17</v>
      </c>
      <c r="U27" s="711">
        <f>H27</f>
        <v>100</v>
      </c>
      <c r="V27" s="710" t="s">
        <v>17</v>
      </c>
      <c r="W27" s="711">
        <f>J27</f>
        <v>100</v>
      </c>
      <c r="X27" s="712"/>
      <c r="Y27" s="3476"/>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83"/>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83"/>
      <c r="Q29" s="1506">
        <f t="shared" si="11"/>
        <v>111</v>
      </c>
      <c r="R29" s="714" t="s">
        <v>17</v>
      </c>
      <c r="S29" s="715">
        <f t="shared" si="12"/>
        <v>100</v>
      </c>
      <c r="T29" s="714" t="s">
        <v>17</v>
      </c>
      <c r="U29" s="715">
        <f t="shared" si="13"/>
        <v>100</v>
      </c>
      <c r="V29" s="714" t="s">
        <v>17</v>
      </c>
      <c r="W29" s="715">
        <f t="shared" si="14"/>
        <v>100</v>
      </c>
      <c r="X29" s="1509"/>
      <c r="Y29" s="347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83"/>
      <c r="Q30" s="1506">
        <f t="shared" si="11"/>
        <v>111</v>
      </c>
      <c r="R30" s="714" t="s">
        <v>17</v>
      </c>
      <c r="S30" s="715">
        <f t="shared" si="12"/>
        <v>100</v>
      </c>
      <c r="T30" s="714" t="s">
        <v>17</v>
      </c>
      <c r="U30" s="715">
        <f t="shared" si="13"/>
        <v>100</v>
      </c>
      <c r="V30" s="714" t="s">
        <v>17</v>
      </c>
      <c r="W30" s="715">
        <f t="shared" si="14"/>
        <v>100</v>
      </c>
      <c r="X30" s="1509"/>
      <c r="Y30" s="347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83"/>
      <c r="Q31" s="1506">
        <f t="shared" si="11"/>
        <v>111</v>
      </c>
      <c r="R31" s="714" t="s">
        <v>17</v>
      </c>
      <c r="S31" s="715">
        <f t="shared" si="12"/>
        <v>100</v>
      </c>
      <c r="T31" s="714" t="s">
        <v>17</v>
      </c>
      <c r="U31" s="715">
        <f t="shared" si="13"/>
        <v>100</v>
      </c>
      <c r="V31" s="714" t="s">
        <v>17</v>
      </c>
      <c r="W31" s="715">
        <f t="shared" si="14"/>
        <v>100</v>
      </c>
      <c r="X31" s="1509"/>
      <c r="Y31" s="3476"/>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7" t="s">
        <v>2326</v>
      </c>
      <c r="Q32" s="1506" t="str">
        <f t="shared" si="11"/>
        <v>商业类型</v>
      </c>
      <c r="R32" s="714" t="s">
        <v>17</v>
      </c>
      <c r="S32" s="715">
        <f t="shared" si="12"/>
        <v>100</v>
      </c>
      <c r="T32" s="714" t="s">
        <v>17</v>
      </c>
      <c r="U32" s="715">
        <f t="shared" si="13"/>
        <v>100</v>
      </c>
      <c r="V32" s="714" t="s">
        <v>17</v>
      </c>
      <c r="W32" s="715">
        <f t="shared" si="14"/>
        <v>100</v>
      </c>
      <c r="X32" s="1509"/>
      <c r="Y32" s="3480"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8"/>
      <c r="Q33" s="716" t="str">
        <f t="shared" si="11"/>
        <v>项目建筑规模</v>
      </c>
      <c r="R33" s="717" t="s">
        <v>17</v>
      </c>
      <c r="S33" s="718" t="e">
        <f t="shared" si="12"/>
        <v>#N/A</v>
      </c>
      <c r="T33" s="717" t="s">
        <v>17</v>
      </c>
      <c r="U33" s="718" t="e">
        <f t="shared" si="13"/>
        <v>#N/A</v>
      </c>
      <c r="V33" s="717" t="s">
        <v>17</v>
      </c>
      <c r="W33" s="718" t="e">
        <f t="shared" si="14"/>
        <v>#N/A</v>
      </c>
      <c r="X33" s="719"/>
      <c r="Y33" s="3480"/>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8"/>
      <c r="Q34" s="1506" t="str">
        <f t="shared" si="11"/>
        <v>建筑结构</v>
      </c>
      <c r="R34" s="714" t="s">
        <v>17</v>
      </c>
      <c r="S34" s="715">
        <f t="shared" si="12"/>
        <v>100</v>
      </c>
      <c r="T34" s="714" t="s">
        <v>17</v>
      </c>
      <c r="U34" s="715">
        <f t="shared" si="13"/>
        <v>100</v>
      </c>
      <c r="V34" s="714" t="s">
        <v>17</v>
      </c>
      <c r="W34" s="715">
        <f t="shared" si="14"/>
        <v>100</v>
      </c>
      <c r="X34" s="1509"/>
      <c r="Y34" s="3480"/>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8"/>
      <c r="Q35" s="1506" t="str">
        <f t="shared" si="11"/>
        <v>公共部分装修</v>
      </c>
      <c r="R35" s="714" t="s">
        <v>17</v>
      </c>
      <c r="S35" s="715">
        <f t="shared" si="12"/>
        <v>100</v>
      </c>
      <c r="T35" s="714" t="s">
        <v>17</v>
      </c>
      <c r="U35" s="715">
        <f t="shared" si="13"/>
        <v>100</v>
      </c>
      <c r="V35" s="714" t="s">
        <v>17</v>
      </c>
      <c r="W35" s="715">
        <f t="shared" si="14"/>
        <v>100</v>
      </c>
      <c r="X35" s="1509"/>
      <c r="Y35" s="3480"/>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8"/>
      <c r="Q36" s="1506" t="str">
        <f t="shared" si="11"/>
        <v>成新度</v>
      </c>
      <c r="R36" s="714" t="s">
        <v>17</v>
      </c>
      <c r="S36" s="715" t="e">
        <f t="shared" si="12"/>
        <v>#N/A</v>
      </c>
      <c r="T36" s="714" t="s">
        <v>17</v>
      </c>
      <c r="U36" s="715" t="e">
        <f t="shared" si="13"/>
        <v>#N/A</v>
      </c>
      <c r="V36" s="714" t="s">
        <v>17</v>
      </c>
      <c r="W36" s="715" t="e">
        <f t="shared" si="14"/>
        <v>#N/A</v>
      </c>
      <c r="X36" s="1509"/>
      <c r="Y36" s="3480"/>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8"/>
      <c r="Q37" s="1497" t="str">
        <f t="shared" si="11"/>
        <v>市政基础设施</v>
      </c>
      <c r="R37" s="710" t="s">
        <v>17</v>
      </c>
      <c r="S37" s="711">
        <f t="shared" si="12"/>
        <v>100</v>
      </c>
      <c r="T37" s="710" t="s">
        <v>17</v>
      </c>
      <c r="U37" s="711">
        <f t="shared" si="13"/>
        <v>100</v>
      </c>
      <c r="V37" s="710" t="s">
        <v>17</v>
      </c>
      <c r="W37" s="711">
        <f t="shared" si="14"/>
        <v>100</v>
      </c>
      <c r="X37" s="712"/>
      <c r="Y37" s="3480"/>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8" t="s">
        <v>2326</v>
      </c>
      <c r="Q38" s="1506" t="str">
        <f t="shared" si="11"/>
        <v>业态</v>
      </c>
      <c r="R38" s="714" t="s">
        <v>17</v>
      </c>
      <c r="S38" s="715">
        <f t="shared" si="12"/>
        <v>100</v>
      </c>
      <c r="T38" s="714" t="s">
        <v>17</v>
      </c>
      <c r="U38" s="715">
        <f t="shared" si="13"/>
        <v>100</v>
      </c>
      <c r="V38" s="714" t="s">
        <v>17</v>
      </c>
      <c r="W38" s="715">
        <f t="shared" si="14"/>
        <v>100</v>
      </c>
      <c r="X38" s="1509"/>
      <c r="Y38" s="3480"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8"/>
      <c r="Q39" s="1506" t="str">
        <f t="shared" si="11"/>
        <v>层高</v>
      </c>
      <c r="R39" s="714" t="s">
        <v>17</v>
      </c>
      <c r="S39" s="715">
        <f t="shared" si="12"/>
        <v>100</v>
      </c>
      <c r="T39" s="714" t="s">
        <v>17</v>
      </c>
      <c r="U39" s="715">
        <f t="shared" si="13"/>
        <v>100</v>
      </c>
      <c r="V39" s="714" t="s">
        <v>17</v>
      </c>
      <c r="W39" s="715">
        <f t="shared" si="14"/>
        <v>100</v>
      </c>
      <c r="X39" s="1509"/>
      <c r="Y39" s="3480"/>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8"/>
      <c r="Q40" s="1506" t="str">
        <f t="shared" si="11"/>
        <v>单套建筑面积</v>
      </c>
      <c r="R40" s="714" t="s">
        <v>17</v>
      </c>
      <c r="S40" s="715">
        <f t="shared" si="12"/>
        <v>100</v>
      </c>
      <c r="T40" s="714" t="s">
        <v>17</v>
      </c>
      <c r="U40" s="715">
        <f t="shared" si="13"/>
        <v>100</v>
      </c>
      <c r="V40" s="714" t="s">
        <v>17</v>
      </c>
      <c r="W40" s="715">
        <f t="shared" si="14"/>
        <v>100</v>
      </c>
      <c r="X40" s="1509"/>
      <c r="Y40" s="3480"/>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8"/>
      <c r="Q41" s="716" t="str">
        <f t="shared" si="11"/>
        <v>进深比</v>
      </c>
      <c r="R41" s="717" t="s">
        <v>17</v>
      </c>
      <c r="S41" s="718">
        <f t="shared" si="12"/>
        <v>100</v>
      </c>
      <c r="T41" s="717" t="s">
        <v>17</v>
      </c>
      <c r="U41" s="718">
        <f t="shared" si="13"/>
        <v>100</v>
      </c>
      <c r="V41" s="717" t="s">
        <v>17</v>
      </c>
      <c r="W41" s="718">
        <f t="shared" si="14"/>
        <v>100</v>
      </c>
      <c r="X41" s="719"/>
      <c r="Y41" s="3480"/>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8"/>
      <c r="Q42" s="1506" t="str">
        <f t="shared" si="11"/>
        <v>内部装修</v>
      </c>
      <c r="R42" s="714" t="s">
        <v>17</v>
      </c>
      <c r="S42" s="715">
        <f t="shared" si="12"/>
        <v>100</v>
      </c>
      <c r="T42" s="714" t="s">
        <v>17</v>
      </c>
      <c r="U42" s="715">
        <f t="shared" si="13"/>
        <v>100</v>
      </c>
      <c r="V42" s="714" t="s">
        <v>17</v>
      </c>
      <c r="W42" s="715">
        <f t="shared" si="14"/>
        <v>100</v>
      </c>
      <c r="X42" s="1509"/>
      <c r="Y42" s="3480"/>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8"/>
      <c r="Q43" s="1506" t="str">
        <f t="shared" si="11"/>
        <v>内部装修维护情况</v>
      </c>
      <c r="R43" s="714" t="s">
        <v>17</v>
      </c>
      <c r="S43" s="715">
        <f t="shared" si="12"/>
        <v>100</v>
      </c>
      <c r="T43" s="714" t="s">
        <v>17</v>
      </c>
      <c r="U43" s="715">
        <f t="shared" si="13"/>
        <v>100</v>
      </c>
      <c r="V43" s="714" t="s">
        <v>17</v>
      </c>
      <c r="W43" s="715">
        <f t="shared" si="14"/>
        <v>100</v>
      </c>
      <c r="X43" s="1509"/>
      <c r="Y43" s="348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8"/>
      <c r="Q44" s="1497">
        <f t="shared" si="11"/>
        <v>111</v>
      </c>
      <c r="R44" s="710" t="s">
        <v>17</v>
      </c>
      <c r="S44" s="711">
        <f t="shared" si="12"/>
        <v>100</v>
      </c>
      <c r="T44" s="710" t="s">
        <v>17</v>
      </c>
      <c r="U44" s="711">
        <f t="shared" si="13"/>
        <v>100</v>
      </c>
      <c r="V44" s="710" t="s">
        <v>17</v>
      </c>
      <c r="W44" s="711">
        <f t="shared" si="14"/>
        <v>100</v>
      </c>
      <c r="X44" s="712"/>
      <c r="Y44" s="348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8"/>
      <c r="Q45" s="1506">
        <f t="shared" si="11"/>
        <v>111</v>
      </c>
      <c r="R45" s="714" t="s">
        <v>17</v>
      </c>
      <c r="S45" s="715">
        <f t="shared" si="12"/>
        <v>100</v>
      </c>
      <c r="T45" s="714" t="s">
        <v>17</v>
      </c>
      <c r="U45" s="715">
        <f t="shared" si="13"/>
        <v>100</v>
      </c>
      <c r="V45" s="714" t="s">
        <v>17</v>
      </c>
      <c r="W45" s="715">
        <f t="shared" si="14"/>
        <v>100</v>
      </c>
      <c r="X45" s="1509"/>
      <c r="Y45" s="348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9"/>
      <c r="Q46" s="1506">
        <f t="shared" si="11"/>
        <v>111</v>
      </c>
      <c r="R46" s="714" t="s">
        <v>17</v>
      </c>
      <c r="S46" s="715">
        <f t="shared" si="12"/>
        <v>100</v>
      </c>
      <c r="T46" s="714" t="s">
        <v>17</v>
      </c>
      <c r="U46" s="715">
        <f t="shared" si="13"/>
        <v>100</v>
      </c>
      <c r="V46" s="714" t="s">
        <v>17</v>
      </c>
      <c r="W46" s="715">
        <f t="shared" si="14"/>
        <v>100</v>
      </c>
      <c r="X46" s="1509"/>
      <c r="Y46" s="3481"/>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73" t="str">
        <f>A47</f>
        <v>成交单价（元/平方米）</v>
      </c>
      <c r="Q47" s="3473"/>
      <c r="R47" s="3468">
        <f>E47</f>
        <v>0</v>
      </c>
      <c r="S47" s="3468"/>
      <c r="T47" s="3468">
        <f>G47</f>
        <v>0</v>
      </c>
      <c r="U47" s="3468"/>
      <c r="V47" s="3468">
        <f>I47</f>
        <v>0</v>
      </c>
      <c r="W47" s="3468"/>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38556.25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56" t="s">
        <v>2407</v>
      </c>
      <c r="D4" s="3457"/>
      <c r="E4" s="3458" t="s">
        <v>2408</v>
      </c>
      <c r="F4" s="3459"/>
      <c r="G4" s="3456" t="s">
        <v>2409</v>
      </c>
      <c r="H4" s="3457"/>
      <c r="I4" s="3456" t="s">
        <v>2410</v>
      </c>
      <c r="J4" s="3457"/>
      <c r="K4" s="567" t="s">
        <v>2411</v>
      </c>
      <c r="L4" s="2914"/>
      <c r="M4" s="2915"/>
      <c r="N4" s="2915"/>
      <c r="O4" s="2915"/>
      <c r="P4" s="3490" t="s">
        <v>2412</v>
      </c>
      <c r="Q4" s="3491"/>
      <c r="R4" s="3485" t="s">
        <v>2408</v>
      </c>
      <c r="S4" s="3486"/>
      <c r="T4" s="3485" t="s">
        <v>2409</v>
      </c>
      <c r="U4" s="3486"/>
      <c r="V4" s="3494" t="s">
        <v>2410</v>
      </c>
      <c r="W4" s="3494"/>
      <c r="X4" s="2114"/>
      <c r="Y4" s="3485" t="s">
        <v>2412</v>
      </c>
      <c r="Z4" s="3486"/>
      <c r="AA4" s="3484" t="s">
        <v>2408</v>
      </c>
      <c r="AB4" s="3484" t="s">
        <v>2409</v>
      </c>
      <c r="AC4" s="3487" t="s">
        <v>2410</v>
      </c>
    </row>
    <row r="5" spans="1:29" ht="15">
      <c r="A5" s="364"/>
      <c r="B5" s="365"/>
      <c r="C5" s="3449" t="s">
        <v>2303</v>
      </c>
      <c r="D5" s="3450"/>
      <c r="E5" s="3447" t="s">
        <v>2304</v>
      </c>
      <c r="F5" s="3448"/>
      <c r="G5" s="3449" t="s">
        <v>2305</v>
      </c>
      <c r="H5" s="3450"/>
      <c r="I5" s="3449" t="s">
        <v>2306</v>
      </c>
      <c r="J5" s="3450"/>
      <c r="K5" s="567"/>
      <c r="L5" s="2914"/>
      <c r="M5" s="2915"/>
      <c r="N5" s="2915"/>
      <c r="O5" s="2915"/>
      <c r="P5" s="3492"/>
      <c r="Q5" s="3463"/>
      <c r="R5" s="3445"/>
      <c r="S5" s="3446"/>
      <c r="T5" s="3445"/>
      <c r="U5" s="3446"/>
      <c r="V5" s="3468"/>
      <c r="W5" s="3468"/>
      <c r="X5" s="1509"/>
      <c r="Y5" s="3445"/>
      <c r="Z5" s="3446"/>
      <c r="AA5" s="3439"/>
      <c r="AB5" s="3439"/>
      <c r="AC5" s="3488"/>
    </row>
    <row r="6" spans="1:29" ht="15.75" thickBot="1">
      <c r="A6" s="366"/>
      <c r="B6" s="367"/>
      <c r="C6" s="3451" t="s">
        <v>2307</v>
      </c>
      <c r="D6" s="3452"/>
      <c r="E6" s="3453" t="s">
        <v>2307</v>
      </c>
      <c r="F6" s="3454"/>
      <c r="G6" s="3451" t="s">
        <v>2307</v>
      </c>
      <c r="H6" s="3452"/>
      <c r="I6" s="3451" t="s">
        <v>2307</v>
      </c>
      <c r="J6" s="3452"/>
      <c r="K6" s="567" t="s">
        <v>2308</v>
      </c>
      <c r="L6" s="2914"/>
      <c r="M6" s="2915"/>
      <c r="N6" s="2915"/>
      <c r="O6" s="2915"/>
      <c r="P6" s="3493"/>
      <c r="Q6" s="3465"/>
      <c r="R6" s="3445"/>
      <c r="S6" s="3446"/>
      <c r="T6" s="3466"/>
      <c r="U6" s="3467"/>
      <c r="V6" s="3468"/>
      <c r="W6" s="3468"/>
      <c r="X6" s="1509"/>
      <c r="Y6" s="3466"/>
      <c r="Z6" s="3467"/>
      <c r="AA6" s="3440"/>
      <c r="AB6" s="3440"/>
      <c r="AC6" s="3489"/>
    </row>
    <row r="7" spans="1:29" s="113" customFormat="1" ht="15.75" thickBot="1">
      <c r="A7" s="368" t="s">
        <v>2309</v>
      </c>
      <c r="B7" s="369"/>
      <c r="C7" s="370">
        <f>'数据-取费表'!B2</f>
        <v>44579</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5" t="s">
        <v>2310</v>
      </c>
      <c r="Q7" s="3469"/>
      <c r="R7" s="710" t="s">
        <v>17</v>
      </c>
      <c r="S7" s="711">
        <f t="shared" ref="S7:S15" si="0">F7</f>
        <v>0</v>
      </c>
      <c r="T7" s="710" t="s">
        <v>17</v>
      </c>
      <c r="U7" s="711">
        <f t="shared" ref="U7:U15" si="1">H7</f>
        <v>0</v>
      </c>
      <c r="V7" s="710" t="s">
        <v>17</v>
      </c>
      <c r="W7" s="711">
        <f t="shared" ref="W7:W15" si="2">J7</f>
        <v>0</v>
      </c>
      <c r="X7" s="712"/>
      <c r="Y7" s="3441" t="s">
        <v>2310</v>
      </c>
      <c r="Z7" s="344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5" t="s">
        <v>2313</v>
      </c>
      <c r="Q8" s="3442"/>
      <c r="R8" s="710" t="s">
        <v>17</v>
      </c>
      <c r="S8" s="711">
        <f t="shared" si="0"/>
        <v>0</v>
      </c>
      <c r="T8" s="710" t="s">
        <v>17</v>
      </c>
      <c r="U8" s="711">
        <f t="shared" si="1"/>
        <v>0</v>
      </c>
      <c r="V8" s="710" t="s">
        <v>17</v>
      </c>
      <c r="W8" s="711">
        <f t="shared" si="2"/>
        <v>0</v>
      </c>
      <c r="X8" s="712"/>
      <c r="Y8" s="3441" t="s">
        <v>2313</v>
      </c>
      <c r="Z8" s="344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5" t="s">
        <v>2316</v>
      </c>
      <c r="Q9" s="1497" t="str">
        <f t="shared" ref="Q9:Q15" si="6">B9</f>
        <v>用途</v>
      </c>
      <c r="R9" s="710" t="s">
        <v>17</v>
      </c>
      <c r="S9" s="711">
        <f t="shared" si="0"/>
        <v>100</v>
      </c>
      <c r="T9" s="710" t="s">
        <v>17</v>
      </c>
      <c r="U9" s="711">
        <f t="shared" si="1"/>
        <v>100</v>
      </c>
      <c r="V9" s="710" t="s">
        <v>17</v>
      </c>
      <c r="W9" s="711">
        <f t="shared" si="2"/>
        <v>100</v>
      </c>
      <c r="X9" s="712"/>
      <c r="Y9" s="3385"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5"/>
      <c r="Q11" s="1497"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5"/>
      <c r="Q14" s="1497">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82" t="s">
        <v>2321</v>
      </c>
      <c r="Q15" s="1506" t="str">
        <f t="shared" si="6"/>
        <v>办公集聚程度</v>
      </c>
      <c r="R15" s="714" t="s">
        <v>17</v>
      </c>
      <c r="S15" s="715">
        <f t="shared" si="0"/>
        <v>100</v>
      </c>
      <c r="T15" s="714" t="s">
        <v>17</v>
      </c>
      <c r="U15" s="715">
        <f t="shared" si="1"/>
        <v>100</v>
      </c>
      <c r="V15" s="714" t="s">
        <v>17</v>
      </c>
      <c r="W15" s="715">
        <f t="shared" si="2"/>
        <v>100</v>
      </c>
      <c r="X15" s="1509"/>
      <c r="Y15" s="3475"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83"/>
      <c r="Q16" s="1506"/>
      <c r="R16" s="714"/>
      <c r="S16" s="715"/>
      <c r="T16" s="714"/>
      <c r="U16" s="715"/>
      <c r="V16" s="714"/>
      <c r="W16" s="715"/>
      <c r="X16" s="1509"/>
      <c r="Y16" s="3476"/>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83"/>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83"/>
      <c r="Q18" s="1506"/>
      <c r="R18" s="714"/>
      <c r="S18" s="715"/>
      <c r="T18" s="714"/>
      <c r="U18" s="715"/>
      <c r="V18" s="714"/>
      <c r="W18" s="715"/>
      <c r="X18" s="1509"/>
      <c r="Y18" s="3476"/>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83"/>
      <c r="Q19" s="1506" t="str">
        <f>B19</f>
        <v>公共配套设施</v>
      </c>
      <c r="R19" s="714" t="s">
        <v>17</v>
      </c>
      <c r="S19" s="715">
        <f>F19</f>
        <v>100</v>
      </c>
      <c r="T19" s="714" t="s">
        <v>17</v>
      </c>
      <c r="U19" s="715">
        <f>H19</f>
        <v>100</v>
      </c>
      <c r="V19" s="714" t="s">
        <v>17</v>
      </c>
      <c r="W19" s="715">
        <f>J19</f>
        <v>100</v>
      </c>
      <c r="X19" s="1509"/>
      <c r="Y19" s="347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83"/>
      <c r="Q20" s="1506"/>
      <c r="R20" s="714"/>
      <c r="S20" s="715"/>
      <c r="T20" s="714"/>
      <c r="U20" s="715"/>
      <c r="V20" s="714"/>
      <c r="W20" s="715"/>
      <c r="X20" s="1509"/>
      <c r="Y20" s="3476"/>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83"/>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83"/>
      <c r="Q22" s="1506"/>
      <c r="R22" s="714"/>
      <c r="S22" s="715"/>
      <c r="T22" s="714"/>
      <c r="U22" s="715"/>
      <c r="V22" s="714"/>
      <c r="W22" s="715"/>
      <c r="X22" s="1509"/>
      <c r="Y22" s="3476"/>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83"/>
      <c r="Q23" s="1506" t="str">
        <f>B23</f>
        <v>环境质量</v>
      </c>
      <c r="R23" s="714" t="s">
        <v>17</v>
      </c>
      <c r="S23" s="715">
        <f>F23</f>
        <v>100</v>
      </c>
      <c r="T23" s="714" t="s">
        <v>17</v>
      </c>
      <c r="U23" s="715">
        <f>H23</f>
        <v>100</v>
      </c>
      <c r="V23" s="714" t="s">
        <v>17</v>
      </c>
      <c r="W23" s="715">
        <f>J23</f>
        <v>100</v>
      </c>
      <c r="X23" s="1509"/>
      <c r="Y23" s="347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83"/>
      <c r="Q24" s="1506"/>
      <c r="R24" s="714"/>
      <c r="S24" s="715"/>
      <c r="T24" s="714"/>
      <c r="U24" s="715"/>
      <c r="V24" s="714"/>
      <c r="W24" s="715"/>
      <c r="X24" s="1509"/>
      <c r="Y24" s="3476"/>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83"/>
      <c r="Q25" s="1506" t="str">
        <f>B25</f>
        <v>毗邻道路的类型与等级</v>
      </c>
      <c r="R25" s="714" t="s">
        <v>17</v>
      </c>
      <c r="S25" s="715">
        <f>F25</f>
        <v>100</v>
      </c>
      <c r="T25" s="714" t="s">
        <v>17</v>
      </c>
      <c r="U25" s="715">
        <f>H25</f>
        <v>100</v>
      </c>
      <c r="V25" s="714" t="s">
        <v>17</v>
      </c>
      <c r="W25" s="715">
        <f>J25</f>
        <v>100</v>
      </c>
      <c r="X25" s="1509"/>
      <c r="Y25" s="347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83"/>
      <c r="Q26" s="1506"/>
      <c r="R26" s="714"/>
      <c r="S26" s="715"/>
      <c r="T26" s="714"/>
      <c r="U26" s="715"/>
      <c r="V26" s="714"/>
      <c r="W26" s="715"/>
      <c r="X26" s="1509"/>
      <c r="Y26" s="3476"/>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83"/>
      <c r="Q27" s="1506" t="str">
        <f t="shared" ref="Q27:Q47" si="11">B27</f>
        <v>楼层</v>
      </c>
      <c r="R27" s="714" t="s">
        <v>17</v>
      </c>
      <c r="S27" s="715">
        <f>F27</f>
        <v>100</v>
      </c>
      <c r="T27" s="714" t="s">
        <v>17</v>
      </c>
      <c r="U27" s="715">
        <f>H27</f>
        <v>100</v>
      </c>
      <c r="V27" s="714" t="s">
        <v>17</v>
      </c>
      <c r="W27" s="715">
        <f>J27</f>
        <v>100</v>
      </c>
      <c r="X27" s="1509"/>
      <c r="Y27" s="3476"/>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83"/>
      <c r="Q28" s="1497" t="str">
        <f t="shared" si="11"/>
        <v>朝向</v>
      </c>
      <c r="R28" s="710" t="s">
        <v>17</v>
      </c>
      <c r="S28" s="711">
        <f>F28</f>
        <v>100</v>
      </c>
      <c r="T28" s="710" t="s">
        <v>17</v>
      </c>
      <c r="U28" s="711">
        <f>H28</f>
        <v>100</v>
      </c>
      <c r="V28" s="710" t="s">
        <v>17</v>
      </c>
      <c r="W28" s="711">
        <f>J28</f>
        <v>100</v>
      </c>
      <c r="X28" s="712"/>
      <c r="Y28" s="347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83"/>
      <c r="Q29" s="1506">
        <f t="shared" si="11"/>
        <v>111</v>
      </c>
      <c r="R29" s="714" t="s">
        <v>17</v>
      </c>
      <c r="S29" s="715">
        <f t="shared" ref="S29:S47" si="12">F29</f>
        <v>100</v>
      </c>
      <c r="T29" s="714" t="s">
        <v>17</v>
      </c>
      <c r="U29" s="715">
        <f t="shared" ref="U29:U47" si="13">H29</f>
        <v>100</v>
      </c>
      <c r="V29" s="714" t="s">
        <v>17</v>
      </c>
      <c r="W29" s="715">
        <f t="shared" ref="W29:W47" si="14">J29</f>
        <v>100</v>
      </c>
      <c r="X29" s="1509"/>
      <c r="Y29" s="347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83"/>
      <c r="Q30" s="1506">
        <f t="shared" si="11"/>
        <v>111</v>
      </c>
      <c r="R30" s="714" t="s">
        <v>17</v>
      </c>
      <c r="S30" s="715">
        <f t="shared" si="12"/>
        <v>100</v>
      </c>
      <c r="T30" s="714" t="s">
        <v>17</v>
      </c>
      <c r="U30" s="715">
        <f t="shared" si="13"/>
        <v>100</v>
      </c>
      <c r="V30" s="714" t="s">
        <v>17</v>
      </c>
      <c r="W30" s="715">
        <f t="shared" si="14"/>
        <v>100</v>
      </c>
      <c r="X30" s="1509"/>
      <c r="Y30" s="347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83"/>
      <c r="Q31" s="1506">
        <f t="shared" si="11"/>
        <v>111</v>
      </c>
      <c r="R31" s="714" t="s">
        <v>17</v>
      </c>
      <c r="S31" s="715">
        <f t="shared" si="12"/>
        <v>100</v>
      </c>
      <c r="T31" s="714" t="s">
        <v>17</v>
      </c>
      <c r="U31" s="715">
        <f t="shared" si="13"/>
        <v>100</v>
      </c>
      <c r="V31" s="714" t="s">
        <v>17</v>
      </c>
      <c r="W31" s="715">
        <f t="shared" si="14"/>
        <v>100</v>
      </c>
      <c r="X31" s="1509"/>
      <c r="Y31" s="347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83"/>
      <c r="Q32" s="1506">
        <f t="shared" si="11"/>
        <v>111</v>
      </c>
      <c r="R32" s="714" t="s">
        <v>17</v>
      </c>
      <c r="S32" s="715">
        <f t="shared" si="12"/>
        <v>100</v>
      </c>
      <c r="T32" s="714" t="s">
        <v>17</v>
      </c>
      <c r="U32" s="715">
        <f t="shared" si="13"/>
        <v>100</v>
      </c>
      <c r="V32" s="714" t="s">
        <v>17</v>
      </c>
      <c r="W32" s="715">
        <f t="shared" si="14"/>
        <v>100</v>
      </c>
      <c r="X32" s="1509"/>
      <c r="Y32" s="3476"/>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7" t="s">
        <v>2326</v>
      </c>
      <c r="Q33" s="1506" t="str">
        <f t="shared" si="11"/>
        <v>建筑类型</v>
      </c>
      <c r="R33" s="714" t="s">
        <v>17</v>
      </c>
      <c r="S33" s="715">
        <f t="shared" si="12"/>
        <v>100</v>
      </c>
      <c r="T33" s="714" t="s">
        <v>17</v>
      </c>
      <c r="U33" s="715">
        <f t="shared" si="13"/>
        <v>100</v>
      </c>
      <c r="V33" s="714" t="s">
        <v>17</v>
      </c>
      <c r="W33" s="715">
        <f t="shared" si="14"/>
        <v>100</v>
      </c>
      <c r="X33" s="1509"/>
      <c r="Y33" s="3480"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8"/>
      <c r="Q34" s="716" t="str">
        <f t="shared" si="11"/>
        <v>项目建筑规模</v>
      </c>
      <c r="R34" s="717" t="s">
        <v>17</v>
      </c>
      <c r="S34" s="718" t="e">
        <f t="shared" si="12"/>
        <v>#N/A</v>
      </c>
      <c r="T34" s="717" t="s">
        <v>17</v>
      </c>
      <c r="U34" s="718" t="e">
        <f t="shared" si="13"/>
        <v>#N/A</v>
      </c>
      <c r="V34" s="717" t="s">
        <v>17</v>
      </c>
      <c r="W34" s="718" t="e">
        <f t="shared" si="14"/>
        <v>#N/A</v>
      </c>
      <c r="X34" s="719"/>
      <c r="Y34" s="3480"/>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8"/>
      <c r="Q35" s="1506" t="str">
        <f t="shared" si="11"/>
        <v>建筑结构</v>
      </c>
      <c r="R35" s="714" t="s">
        <v>17</v>
      </c>
      <c r="S35" s="715">
        <f t="shared" si="12"/>
        <v>100</v>
      </c>
      <c r="T35" s="714" t="s">
        <v>17</v>
      </c>
      <c r="U35" s="715">
        <f t="shared" si="13"/>
        <v>100</v>
      </c>
      <c r="V35" s="714" t="s">
        <v>17</v>
      </c>
      <c r="W35" s="715">
        <f t="shared" si="14"/>
        <v>100</v>
      </c>
      <c r="X35" s="1509"/>
      <c r="Y35" s="3480"/>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8"/>
      <c r="Q36" s="1506" t="str">
        <f t="shared" si="11"/>
        <v>公共部分装修</v>
      </c>
      <c r="R36" s="714" t="s">
        <v>17</v>
      </c>
      <c r="S36" s="715">
        <f t="shared" si="12"/>
        <v>100</v>
      </c>
      <c r="T36" s="714" t="s">
        <v>17</v>
      </c>
      <c r="U36" s="715">
        <f t="shared" si="13"/>
        <v>100</v>
      </c>
      <c r="V36" s="714" t="s">
        <v>17</v>
      </c>
      <c r="W36" s="715">
        <f t="shared" si="14"/>
        <v>100</v>
      </c>
      <c r="X36" s="1509"/>
      <c r="Y36" s="3480"/>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8"/>
      <c r="Q37" s="1506" t="str">
        <f t="shared" si="11"/>
        <v>成新度</v>
      </c>
      <c r="R37" s="714" t="s">
        <v>17</v>
      </c>
      <c r="S37" s="715" t="e">
        <f t="shared" si="12"/>
        <v>#N/A</v>
      </c>
      <c r="T37" s="714" t="s">
        <v>17</v>
      </c>
      <c r="U37" s="715" t="e">
        <f t="shared" si="13"/>
        <v>#N/A</v>
      </c>
      <c r="V37" s="714" t="s">
        <v>17</v>
      </c>
      <c r="W37" s="715" t="e">
        <f t="shared" si="14"/>
        <v>#N/A</v>
      </c>
      <c r="X37" s="1509"/>
      <c r="Y37" s="3480"/>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8"/>
      <c r="Q38" s="1497" t="str">
        <f t="shared" si="11"/>
        <v>写字楼等级</v>
      </c>
      <c r="R38" s="710" t="s">
        <v>17</v>
      </c>
      <c r="S38" s="711">
        <f t="shared" si="12"/>
        <v>100</v>
      </c>
      <c r="T38" s="710" t="s">
        <v>17</v>
      </c>
      <c r="U38" s="711">
        <f t="shared" si="13"/>
        <v>100</v>
      </c>
      <c r="V38" s="710" t="s">
        <v>17</v>
      </c>
      <c r="W38" s="711">
        <f t="shared" si="14"/>
        <v>100</v>
      </c>
      <c r="X38" s="712"/>
      <c r="Y38" s="3480"/>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8" t="s">
        <v>2326</v>
      </c>
      <c r="Q39" s="1506" t="str">
        <f t="shared" si="11"/>
        <v>物业管理</v>
      </c>
      <c r="R39" s="714" t="s">
        <v>17</v>
      </c>
      <c r="S39" s="715">
        <f t="shared" si="12"/>
        <v>100</v>
      </c>
      <c r="T39" s="714" t="s">
        <v>17</v>
      </c>
      <c r="U39" s="715">
        <f t="shared" si="13"/>
        <v>100</v>
      </c>
      <c r="V39" s="714" t="s">
        <v>17</v>
      </c>
      <c r="W39" s="715">
        <f t="shared" si="14"/>
        <v>100</v>
      </c>
      <c r="X39" s="1509"/>
      <c r="Y39" s="3480"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8"/>
      <c r="Q40" s="1506" t="str">
        <f t="shared" si="11"/>
        <v>市政基础设施</v>
      </c>
      <c r="R40" s="714" t="s">
        <v>17</v>
      </c>
      <c r="S40" s="715">
        <f t="shared" si="12"/>
        <v>100</v>
      </c>
      <c r="T40" s="714" t="s">
        <v>17</v>
      </c>
      <c r="U40" s="715">
        <f t="shared" si="13"/>
        <v>100</v>
      </c>
      <c r="V40" s="714" t="s">
        <v>17</v>
      </c>
      <c r="W40" s="715">
        <f t="shared" si="14"/>
        <v>100</v>
      </c>
      <c r="X40" s="1509"/>
      <c r="Y40" s="3480"/>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8"/>
      <c r="Q41" s="1506" t="str">
        <f t="shared" si="11"/>
        <v>层高</v>
      </c>
      <c r="R41" s="714" t="s">
        <v>17</v>
      </c>
      <c r="S41" s="715">
        <f t="shared" si="12"/>
        <v>100</v>
      </c>
      <c r="T41" s="714" t="s">
        <v>17</v>
      </c>
      <c r="U41" s="715">
        <f t="shared" si="13"/>
        <v>100</v>
      </c>
      <c r="V41" s="714" t="s">
        <v>17</v>
      </c>
      <c r="W41" s="715">
        <f t="shared" si="14"/>
        <v>100</v>
      </c>
      <c r="X41" s="1509"/>
      <c r="Y41" s="3480"/>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8"/>
      <c r="Q42" s="716" t="str">
        <f t="shared" si="11"/>
        <v>单套建筑面积</v>
      </c>
      <c r="R42" s="717" t="s">
        <v>17</v>
      </c>
      <c r="S42" s="718">
        <f t="shared" si="12"/>
        <v>100</v>
      </c>
      <c r="T42" s="717" t="s">
        <v>17</v>
      </c>
      <c r="U42" s="718">
        <f t="shared" si="13"/>
        <v>100</v>
      </c>
      <c r="V42" s="717" t="s">
        <v>17</v>
      </c>
      <c r="W42" s="718">
        <f t="shared" si="14"/>
        <v>100</v>
      </c>
      <c r="X42" s="719"/>
      <c r="Y42" s="3480"/>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8"/>
      <c r="Q43" s="1506" t="str">
        <f t="shared" si="11"/>
        <v>内部装修</v>
      </c>
      <c r="R43" s="714" t="s">
        <v>17</v>
      </c>
      <c r="S43" s="715">
        <f t="shared" si="12"/>
        <v>100</v>
      </c>
      <c r="T43" s="714" t="s">
        <v>17</v>
      </c>
      <c r="U43" s="715">
        <f t="shared" si="13"/>
        <v>100</v>
      </c>
      <c r="V43" s="714" t="s">
        <v>17</v>
      </c>
      <c r="W43" s="715">
        <f t="shared" si="14"/>
        <v>100</v>
      </c>
      <c r="X43" s="1509"/>
      <c r="Y43" s="3480"/>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8"/>
      <c r="Q44" s="1506" t="str">
        <f t="shared" si="11"/>
        <v>内部装修维护情况</v>
      </c>
      <c r="R44" s="714" t="s">
        <v>17</v>
      </c>
      <c r="S44" s="715">
        <f t="shared" si="12"/>
        <v>100</v>
      </c>
      <c r="T44" s="714" t="s">
        <v>17</v>
      </c>
      <c r="U44" s="715">
        <f t="shared" si="13"/>
        <v>100</v>
      </c>
      <c r="V44" s="714" t="s">
        <v>17</v>
      </c>
      <c r="W44" s="715">
        <f t="shared" si="14"/>
        <v>100</v>
      </c>
      <c r="X44" s="1509"/>
      <c r="Y44" s="348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8"/>
      <c r="Q45" s="1497">
        <f t="shared" si="11"/>
        <v>111</v>
      </c>
      <c r="R45" s="710" t="s">
        <v>17</v>
      </c>
      <c r="S45" s="711">
        <f t="shared" si="12"/>
        <v>100</v>
      </c>
      <c r="T45" s="710" t="s">
        <v>17</v>
      </c>
      <c r="U45" s="711">
        <f t="shared" si="13"/>
        <v>100</v>
      </c>
      <c r="V45" s="710" t="s">
        <v>17</v>
      </c>
      <c r="W45" s="711">
        <f t="shared" si="14"/>
        <v>100</v>
      </c>
      <c r="X45" s="712"/>
      <c r="Y45" s="348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8"/>
      <c r="Q46" s="1506">
        <f t="shared" si="11"/>
        <v>111</v>
      </c>
      <c r="R46" s="714" t="s">
        <v>17</v>
      </c>
      <c r="S46" s="715">
        <f t="shared" si="12"/>
        <v>100</v>
      </c>
      <c r="T46" s="714" t="s">
        <v>17</v>
      </c>
      <c r="U46" s="715">
        <f t="shared" si="13"/>
        <v>100</v>
      </c>
      <c r="V46" s="714" t="s">
        <v>17</v>
      </c>
      <c r="W46" s="715">
        <f t="shared" si="14"/>
        <v>100</v>
      </c>
      <c r="X46" s="1509"/>
      <c r="Y46" s="348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9"/>
      <c r="Q47" s="1506">
        <f t="shared" si="11"/>
        <v>111</v>
      </c>
      <c r="R47" s="714" t="s">
        <v>17</v>
      </c>
      <c r="S47" s="715">
        <f t="shared" si="12"/>
        <v>100</v>
      </c>
      <c r="T47" s="714" t="s">
        <v>17</v>
      </c>
      <c r="U47" s="715">
        <f t="shared" si="13"/>
        <v>100</v>
      </c>
      <c r="V47" s="714" t="s">
        <v>17</v>
      </c>
      <c r="W47" s="715">
        <f t="shared" si="14"/>
        <v>100</v>
      </c>
      <c r="X47" s="1509"/>
      <c r="Y47" s="3481"/>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55" t="str">
        <f>A48</f>
        <v>成交单价（元/平方米）</v>
      </c>
      <c r="Q48" s="3473"/>
      <c r="R48" s="3474">
        <f>E48</f>
        <v>0</v>
      </c>
      <c r="S48" s="3474"/>
      <c r="T48" s="3474">
        <f>G48</f>
        <v>0</v>
      </c>
      <c r="U48" s="3474"/>
      <c r="V48" s="3474">
        <f>I48</f>
        <v>0</v>
      </c>
      <c r="W48" s="3474"/>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55" t="str">
        <f>A49</f>
        <v>比较价值（元/平方米）</v>
      </c>
      <c r="Q49" s="34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38556.25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1044"/>
      <c r="M4" s="1045"/>
      <c r="N4" s="1045"/>
      <c r="O4" s="1045"/>
      <c r="P4" s="3460" t="s">
        <v>2412</v>
      </c>
      <c r="Q4" s="3461"/>
      <c r="R4" s="3443" t="s">
        <v>2408</v>
      </c>
      <c r="S4" s="3444"/>
      <c r="T4" s="3443" t="s">
        <v>2409</v>
      </c>
      <c r="U4" s="3444"/>
      <c r="V4" s="3468" t="s">
        <v>2410</v>
      </c>
      <c r="W4" s="3468"/>
      <c r="X4" s="1509"/>
      <c r="Y4" s="3443" t="s">
        <v>2412</v>
      </c>
      <c r="Z4" s="3444"/>
      <c r="AA4" s="3438" t="s">
        <v>2408</v>
      </c>
      <c r="AB4" s="3439" t="s">
        <v>2409</v>
      </c>
      <c r="AC4" s="3438" t="s">
        <v>2410</v>
      </c>
    </row>
    <row r="5" spans="1:29" ht="15">
      <c r="A5" s="364"/>
      <c r="B5" s="365"/>
      <c r="C5" s="3449" t="s">
        <v>2303</v>
      </c>
      <c r="D5" s="3450"/>
      <c r="E5" s="3447" t="s">
        <v>2304</v>
      </c>
      <c r="F5" s="3448"/>
      <c r="G5" s="3449" t="s">
        <v>2305</v>
      </c>
      <c r="H5" s="3450"/>
      <c r="I5" s="3449" t="s">
        <v>2306</v>
      </c>
      <c r="J5" s="3450"/>
      <c r="K5" s="567"/>
      <c r="L5" s="1044"/>
      <c r="M5" s="1045"/>
      <c r="N5" s="1045"/>
      <c r="O5" s="1045"/>
      <c r="P5" s="3462"/>
      <c r="Q5" s="3463"/>
      <c r="R5" s="3445"/>
      <c r="S5" s="3446"/>
      <c r="T5" s="3445"/>
      <c r="U5" s="3446"/>
      <c r="V5" s="3468"/>
      <c r="W5" s="3468"/>
      <c r="X5" s="1509"/>
      <c r="Y5" s="3445"/>
      <c r="Z5" s="3446"/>
      <c r="AA5" s="3439"/>
      <c r="AB5" s="3439"/>
      <c r="AC5" s="3439"/>
    </row>
    <row r="6" spans="1:29" ht="15.75" thickBot="1">
      <c r="A6" s="366"/>
      <c r="B6" s="367"/>
      <c r="C6" s="3451" t="s">
        <v>2307</v>
      </c>
      <c r="D6" s="3452"/>
      <c r="E6" s="3453" t="s">
        <v>2307</v>
      </c>
      <c r="F6" s="3454"/>
      <c r="G6" s="3451" t="s">
        <v>2307</v>
      </c>
      <c r="H6" s="3452"/>
      <c r="I6" s="3451" t="s">
        <v>2307</v>
      </c>
      <c r="J6" s="3452"/>
      <c r="K6" s="567" t="s">
        <v>2308</v>
      </c>
      <c r="L6" s="1044"/>
      <c r="M6" s="1045"/>
      <c r="N6" s="1045"/>
      <c r="O6" s="1045"/>
      <c r="P6" s="3464"/>
      <c r="Q6" s="3465"/>
      <c r="R6" s="3445"/>
      <c r="S6" s="3446"/>
      <c r="T6" s="3466"/>
      <c r="U6" s="3467"/>
      <c r="V6" s="3468"/>
      <c r="W6" s="3468"/>
      <c r="X6" s="1509"/>
      <c r="Y6" s="3466"/>
      <c r="Z6" s="3467"/>
      <c r="AA6" s="3440"/>
      <c r="AB6" s="3440"/>
      <c r="AC6" s="3440"/>
    </row>
    <row r="7" spans="1:29" s="113" customFormat="1" ht="15.75" thickBot="1">
      <c r="A7" s="368" t="s">
        <v>2309</v>
      </c>
      <c r="B7" s="369"/>
      <c r="C7" s="370">
        <f>'数据-取费表'!B2</f>
        <v>44579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41" t="s">
        <v>2310</v>
      </c>
      <c r="Q7" s="3469"/>
      <c r="R7" s="710" t="s">
        <v>17</v>
      </c>
      <c r="S7" s="711">
        <f t="shared" ref="S7:S15" si="0">F7</f>
        <v>0</v>
      </c>
      <c r="T7" s="710" t="s">
        <v>17</v>
      </c>
      <c r="U7" s="711">
        <f t="shared" ref="U7:U15" si="1">H7</f>
        <v>0</v>
      </c>
      <c r="V7" s="710" t="s">
        <v>17</v>
      </c>
      <c r="W7" s="711">
        <f t="shared" ref="W7:W15" si="2">J7</f>
        <v>0</v>
      </c>
      <c r="X7" s="712"/>
      <c r="Y7" s="3441" t="s">
        <v>2310</v>
      </c>
      <c r="Z7" s="344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41" t="s">
        <v>2313</v>
      </c>
      <c r="Q8" s="3442"/>
      <c r="R8" s="710" t="s">
        <v>17</v>
      </c>
      <c r="S8" s="711">
        <f t="shared" si="0"/>
        <v>0</v>
      </c>
      <c r="T8" s="710" t="s">
        <v>17</v>
      </c>
      <c r="U8" s="711">
        <f t="shared" si="1"/>
        <v>0</v>
      </c>
      <c r="V8" s="710" t="s">
        <v>17</v>
      </c>
      <c r="W8" s="711">
        <f t="shared" si="2"/>
        <v>0</v>
      </c>
      <c r="X8" s="712"/>
      <c r="Y8" s="3441" t="s">
        <v>2313</v>
      </c>
      <c r="Z8" s="344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3" t="s">
        <v>2316</v>
      </c>
      <c r="Q9" s="1497" t="str">
        <f t="shared" ref="Q9:Q15" si="6">B9</f>
        <v>用途</v>
      </c>
      <c r="R9" s="710" t="s">
        <v>17</v>
      </c>
      <c r="S9" s="711">
        <f t="shared" si="0"/>
        <v>100</v>
      </c>
      <c r="T9" s="710" t="s">
        <v>17</v>
      </c>
      <c r="U9" s="711">
        <f t="shared" si="1"/>
        <v>100</v>
      </c>
      <c r="V9" s="710" t="s">
        <v>17</v>
      </c>
      <c r="W9" s="711">
        <f t="shared" si="2"/>
        <v>100</v>
      </c>
      <c r="X9" s="712"/>
      <c r="Y9" s="338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3"/>
      <c r="Q10" s="1497"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3"/>
      <c r="Q11" s="1497"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73"/>
      <c r="Q12" s="1497">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73"/>
      <c r="Q13" s="1497">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73"/>
      <c r="Q14" s="1497">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5" t="s">
        <v>2321</v>
      </c>
      <c r="Q15" s="1506" t="str">
        <f t="shared" si="6"/>
        <v>产业集聚程度</v>
      </c>
      <c r="R15" s="714" t="s">
        <v>17</v>
      </c>
      <c r="S15" s="715">
        <f t="shared" si="0"/>
        <v>100</v>
      </c>
      <c r="T15" s="714" t="s">
        <v>17</v>
      </c>
      <c r="U15" s="715">
        <f t="shared" si="1"/>
        <v>100</v>
      </c>
      <c r="V15" s="714" t="s">
        <v>17</v>
      </c>
      <c r="W15" s="715">
        <f t="shared" si="2"/>
        <v>100</v>
      </c>
      <c r="X15" s="1509"/>
      <c r="Y15" s="3475"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6"/>
      <c r="Q16" s="1506"/>
      <c r="R16" s="714"/>
      <c r="S16" s="715"/>
      <c r="T16" s="714"/>
      <c r="U16" s="715"/>
      <c r="V16" s="714"/>
      <c r="W16" s="715"/>
      <c r="X16" s="1509"/>
      <c r="Y16" s="3476"/>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6"/>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6"/>
      <c r="Q18" s="1506"/>
      <c r="R18" s="714"/>
      <c r="S18" s="715"/>
      <c r="T18" s="714"/>
      <c r="U18" s="715"/>
      <c r="V18" s="714"/>
      <c r="W18" s="715"/>
      <c r="X18" s="1509"/>
      <c r="Y18" s="3476"/>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6"/>
      <c r="Q19" s="1506" t="str">
        <f>B19</f>
        <v>公共配套设施</v>
      </c>
      <c r="R19" s="714" t="s">
        <v>17</v>
      </c>
      <c r="S19" s="715">
        <f>F19</f>
        <v>100</v>
      </c>
      <c r="T19" s="714" t="s">
        <v>17</v>
      </c>
      <c r="U19" s="715">
        <f>H19</f>
        <v>100</v>
      </c>
      <c r="V19" s="714" t="s">
        <v>17</v>
      </c>
      <c r="W19" s="715">
        <f>J19</f>
        <v>100</v>
      </c>
      <c r="X19" s="1509"/>
      <c r="Y19" s="347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6"/>
      <c r="Q20" s="1506"/>
      <c r="R20" s="714"/>
      <c r="S20" s="715"/>
      <c r="T20" s="714"/>
      <c r="U20" s="715"/>
      <c r="V20" s="714"/>
      <c r="W20" s="715"/>
      <c r="X20" s="1509"/>
      <c r="Y20" s="3476"/>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6"/>
      <c r="Q21" s="1506" t="str">
        <f>B21</f>
        <v>基础设施水平</v>
      </c>
      <c r="R21" s="714" t="s">
        <v>17</v>
      </c>
      <c r="S21" s="715">
        <f>F21</f>
        <v>100</v>
      </c>
      <c r="T21" s="714" t="s">
        <v>17</v>
      </c>
      <c r="U21" s="715">
        <f>H21</f>
        <v>100</v>
      </c>
      <c r="V21" s="714" t="s">
        <v>17</v>
      </c>
      <c r="W21" s="715">
        <f>J21</f>
        <v>100</v>
      </c>
      <c r="X21" s="1509"/>
      <c r="Y21" s="347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6"/>
      <c r="Q22" s="1506"/>
      <c r="R22" s="714"/>
      <c r="S22" s="715"/>
      <c r="T22" s="714"/>
      <c r="U22" s="715"/>
      <c r="V22" s="714"/>
      <c r="W22" s="715"/>
      <c r="X22" s="1509"/>
      <c r="Y22" s="3476"/>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6"/>
      <c r="Q23" s="1506" t="str">
        <f>B23</f>
        <v>环境质量</v>
      </c>
      <c r="R23" s="714" t="s">
        <v>17</v>
      </c>
      <c r="S23" s="715">
        <f>F23</f>
        <v>100</v>
      </c>
      <c r="T23" s="714" t="s">
        <v>17</v>
      </c>
      <c r="U23" s="715">
        <f>H23</f>
        <v>100</v>
      </c>
      <c r="V23" s="714" t="s">
        <v>17</v>
      </c>
      <c r="W23" s="715">
        <f>J23</f>
        <v>100</v>
      </c>
      <c r="X23" s="1509"/>
      <c r="Y23" s="347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6"/>
      <c r="Q24" s="1506"/>
      <c r="R24" s="714"/>
      <c r="S24" s="715"/>
      <c r="T24" s="714"/>
      <c r="U24" s="715"/>
      <c r="V24" s="714"/>
      <c r="W24" s="715"/>
      <c r="X24" s="1509"/>
      <c r="Y24" s="347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6"/>
      <c r="Q25" s="1506">
        <f>B25</f>
        <v>111</v>
      </c>
      <c r="R25" s="714" t="s">
        <v>17</v>
      </c>
      <c r="S25" s="715">
        <f>F25</f>
        <v>100</v>
      </c>
      <c r="T25" s="714" t="s">
        <v>17</v>
      </c>
      <c r="U25" s="715">
        <f>H25</f>
        <v>100</v>
      </c>
      <c r="V25" s="714" t="s">
        <v>17</v>
      </c>
      <c r="W25" s="715">
        <f>J25</f>
        <v>100</v>
      </c>
      <c r="X25" s="1509"/>
      <c r="Y25" s="347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6"/>
      <c r="Q26" s="1506">
        <f t="shared" ref="Q26:Q40" si="11">B26</f>
        <v>111</v>
      </c>
      <c r="R26" s="714" t="s">
        <v>17</v>
      </c>
      <c r="S26" s="715">
        <f>F26</f>
        <v>100</v>
      </c>
      <c r="T26" s="714" t="s">
        <v>17</v>
      </c>
      <c r="U26" s="715">
        <f>H26</f>
        <v>100</v>
      </c>
      <c r="V26" s="714" t="s">
        <v>17</v>
      </c>
      <c r="W26" s="715">
        <f>J26</f>
        <v>100</v>
      </c>
      <c r="X26" s="1509"/>
      <c r="Y26" s="347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6"/>
      <c r="Q27" s="1497">
        <f t="shared" si="11"/>
        <v>111</v>
      </c>
      <c r="R27" s="710" t="s">
        <v>17</v>
      </c>
      <c r="S27" s="711">
        <f>F27</f>
        <v>100</v>
      </c>
      <c r="T27" s="710" t="s">
        <v>17</v>
      </c>
      <c r="U27" s="711">
        <f>H27</f>
        <v>100</v>
      </c>
      <c r="V27" s="710" t="s">
        <v>17</v>
      </c>
      <c r="W27" s="711">
        <f>J27</f>
        <v>100</v>
      </c>
      <c r="X27" s="712"/>
      <c r="Y27" s="347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6"/>
      <c r="Q28" s="1506">
        <f t="shared" si="11"/>
        <v>111</v>
      </c>
      <c r="R28" s="714" t="s">
        <v>17</v>
      </c>
      <c r="S28" s="715">
        <f t="shared" ref="S28:S40" si="12">F28</f>
        <v>100</v>
      </c>
      <c r="T28" s="714" t="s">
        <v>17</v>
      </c>
      <c r="U28" s="715">
        <f t="shared" ref="U28:U40" si="13">H28</f>
        <v>100</v>
      </c>
      <c r="V28" s="714" t="s">
        <v>17</v>
      </c>
      <c r="W28" s="715">
        <f t="shared" ref="W28:W40" si="14">J28</f>
        <v>100</v>
      </c>
      <c r="X28" s="1509"/>
      <c r="Y28" s="3476"/>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9" t="s">
        <v>2326</v>
      </c>
      <c r="Q29" s="1506" t="str">
        <f t="shared" si="11"/>
        <v>建筑类型</v>
      </c>
      <c r="R29" s="714" t="s">
        <v>17</v>
      </c>
      <c r="S29" s="715">
        <f t="shared" si="12"/>
        <v>100</v>
      </c>
      <c r="T29" s="714" t="s">
        <v>17</v>
      </c>
      <c r="U29" s="715">
        <f t="shared" si="13"/>
        <v>100</v>
      </c>
      <c r="V29" s="714" t="s">
        <v>17</v>
      </c>
      <c r="W29" s="715">
        <f t="shared" si="14"/>
        <v>100</v>
      </c>
      <c r="X29" s="1509"/>
      <c r="Y29" s="3480"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0"/>
      <c r="Q30" s="716" t="str">
        <f t="shared" si="11"/>
        <v>项目建筑规模</v>
      </c>
      <c r="R30" s="717" t="s">
        <v>17</v>
      </c>
      <c r="S30" s="718" t="e">
        <f t="shared" si="12"/>
        <v>#N/A</v>
      </c>
      <c r="T30" s="717" t="s">
        <v>17</v>
      </c>
      <c r="U30" s="718" t="e">
        <f t="shared" si="13"/>
        <v>#N/A</v>
      </c>
      <c r="V30" s="717" t="s">
        <v>17</v>
      </c>
      <c r="W30" s="718" t="e">
        <f t="shared" si="14"/>
        <v>#N/A</v>
      </c>
      <c r="X30" s="719"/>
      <c r="Y30" s="3480"/>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0"/>
      <c r="Q31" s="1506" t="str">
        <f t="shared" si="11"/>
        <v>建筑结构</v>
      </c>
      <c r="R31" s="714" t="s">
        <v>17</v>
      </c>
      <c r="S31" s="715">
        <f t="shared" si="12"/>
        <v>100</v>
      </c>
      <c r="T31" s="714" t="s">
        <v>17</v>
      </c>
      <c r="U31" s="715">
        <f t="shared" si="13"/>
        <v>100</v>
      </c>
      <c r="V31" s="714" t="s">
        <v>17</v>
      </c>
      <c r="W31" s="715">
        <f t="shared" si="14"/>
        <v>100</v>
      </c>
      <c r="X31" s="1509"/>
      <c r="Y31" s="3480"/>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0"/>
      <c r="Q32" s="1506" t="str">
        <f t="shared" si="11"/>
        <v>公共部分装修</v>
      </c>
      <c r="R32" s="714" t="s">
        <v>17</v>
      </c>
      <c r="S32" s="715">
        <f t="shared" si="12"/>
        <v>100</v>
      </c>
      <c r="T32" s="714" t="s">
        <v>17</v>
      </c>
      <c r="U32" s="715">
        <f t="shared" si="13"/>
        <v>100</v>
      </c>
      <c r="V32" s="714" t="s">
        <v>17</v>
      </c>
      <c r="W32" s="715">
        <f t="shared" si="14"/>
        <v>100</v>
      </c>
      <c r="X32" s="1509"/>
      <c r="Y32" s="3480"/>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0"/>
      <c r="Q33" s="1506" t="str">
        <f t="shared" si="11"/>
        <v>成新度</v>
      </c>
      <c r="R33" s="714" t="s">
        <v>17</v>
      </c>
      <c r="S33" s="715" t="e">
        <f t="shared" si="12"/>
        <v>#N/A</v>
      </c>
      <c r="T33" s="714" t="s">
        <v>17</v>
      </c>
      <c r="U33" s="715" t="e">
        <f t="shared" si="13"/>
        <v>#N/A</v>
      </c>
      <c r="V33" s="714" t="s">
        <v>17</v>
      </c>
      <c r="W33" s="715" t="e">
        <f t="shared" si="14"/>
        <v>#N/A</v>
      </c>
      <c r="X33" s="1509"/>
      <c r="Y33" s="3480"/>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0"/>
      <c r="Q34" s="1497" t="str">
        <f t="shared" si="11"/>
        <v>物业管理</v>
      </c>
      <c r="R34" s="710" t="s">
        <v>17</v>
      </c>
      <c r="S34" s="711">
        <f t="shared" si="12"/>
        <v>100</v>
      </c>
      <c r="T34" s="710" t="s">
        <v>17</v>
      </c>
      <c r="U34" s="711">
        <f t="shared" si="13"/>
        <v>100</v>
      </c>
      <c r="V34" s="710" t="s">
        <v>17</v>
      </c>
      <c r="W34" s="711">
        <f t="shared" si="14"/>
        <v>100</v>
      </c>
      <c r="X34" s="712"/>
      <c r="Y34" s="348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0" t="s">
        <v>2326</v>
      </c>
      <c r="Q35" s="1506" t="str">
        <f t="shared" si="11"/>
        <v>市政基础设施</v>
      </c>
      <c r="R35" s="714" t="s">
        <v>17</v>
      </c>
      <c r="S35" s="715">
        <f t="shared" si="12"/>
        <v>100</v>
      </c>
      <c r="T35" s="714" t="s">
        <v>17</v>
      </c>
      <c r="U35" s="715">
        <f t="shared" si="13"/>
        <v>100</v>
      </c>
      <c r="V35" s="714" t="s">
        <v>17</v>
      </c>
      <c r="W35" s="715">
        <f t="shared" si="14"/>
        <v>100</v>
      </c>
      <c r="X35" s="1509"/>
      <c r="Y35" s="3480"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0"/>
      <c r="Q36" s="1506" t="str">
        <f t="shared" si="11"/>
        <v>内部装修</v>
      </c>
      <c r="R36" s="714" t="s">
        <v>17</v>
      </c>
      <c r="S36" s="715">
        <f t="shared" si="12"/>
        <v>100</v>
      </c>
      <c r="T36" s="714" t="s">
        <v>17</v>
      </c>
      <c r="U36" s="715">
        <f t="shared" si="13"/>
        <v>100</v>
      </c>
      <c r="V36" s="714" t="s">
        <v>17</v>
      </c>
      <c r="W36" s="715">
        <f t="shared" si="14"/>
        <v>100</v>
      </c>
      <c r="X36" s="1509"/>
      <c r="Y36" s="3480"/>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0"/>
      <c r="Q37" s="1506" t="str">
        <f t="shared" si="11"/>
        <v>内部装修状况</v>
      </c>
      <c r="R37" s="714" t="s">
        <v>17</v>
      </c>
      <c r="S37" s="715">
        <f t="shared" si="12"/>
        <v>100</v>
      </c>
      <c r="T37" s="714" t="s">
        <v>17</v>
      </c>
      <c r="U37" s="715">
        <f t="shared" si="13"/>
        <v>100</v>
      </c>
      <c r="V37" s="714" t="s">
        <v>17</v>
      </c>
      <c r="W37" s="715">
        <f t="shared" si="14"/>
        <v>100</v>
      </c>
      <c r="X37" s="1509"/>
      <c r="Y37" s="348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0"/>
      <c r="Q38" s="716">
        <f t="shared" si="11"/>
        <v>111</v>
      </c>
      <c r="R38" s="717" t="s">
        <v>17</v>
      </c>
      <c r="S38" s="718">
        <f t="shared" si="12"/>
        <v>100</v>
      </c>
      <c r="T38" s="717" t="s">
        <v>17</v>
      </c>
      <c r="U38" s="718">
        <f t="shared" si="13"/>
        <v>100</v>
      </c>
      <c r="V38" s="717" t="s">
        <v>17</v>
      </c>
      <c r="W38" s="718">
        <f t="shared" si="14"/>
        <v>100</v>
      </c>
      <c r="X38" s="719"/>
      <c r="Y38" s="348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0"/>
      <c r="Q39" s="1506">
        <f t="shared" si="11"/>
        <v>111</v>
      </c>
      <c r="R39" s="714" t="s">
        <v>17</v>
      </c>
      <c r="S39" s="715">
        <f t="shared" si="12"/>
        <v>100</v>
      </c>
      <c r="T39" s="714" t="s">
        <v>17</v>
      </c>
      <c r="U39" s="715">
        <f t="shared" si="13"/>
        <v>100</v>
      </c>
      <c r="V39" s="714" t="s">
        <v>17</v>
      </c>
      <c r="W39" s="715">
        <f t="shared" si="14"/>
        <v>100</v>
      </c>
      <c r="X39" s="1509"/>
      <c r="Y39" s="348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1"/>
      <c r="Q40" s="1506">
        <f t="shared" si="11"/>
        <v>111</v>
      </c>
      <c r="R40" s="714" t="s">
        <v>17</v>
      </c>
      <c r="S40" s="715">
        <f t="shared" si="12"/>
        <v>100</v>
      </c>
      <c r="T40" s="714" t="s">
        <v>17</v>
      </c>
      <c r="U40" s="715">
        <f t="shared" si="13"/>
        <v>100</v>
      </c>
      <c r="V40" s="714" t="s">
        <v>17</v>
      </c>
      <c r="W40" s="715">
        <f t="shared" si="14"/>
        <v>100</v>
      </c>
      <c r="X40" s="1509"/>
      <c r="Y40" s="3481"/>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73" t="str">
        <f>A41</f>
        <v>成交单价（元/平方米）</v>
      </c>
      <c r="Q41" s="3473"/>
      <c r="R41" s="3474">
        <f>E41</f>
        <v>0</v>
      </c>
      <c r="S41" s="3474"/>
      <c r="T41" s="3474">
        <f>G41</f>
        <v>0</v>
      </c>
      <c r="U41" s="3474"/>
      <c r="V41" s="3474">
        <f>I41</f>
        <v>0</v>
      </c>
      <c r="W41" s="3474"/>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估价对象为房地产，为所有。根据《国有土地使用证》[]，估价对象（分摊）出让国有建设用地使用权面积为0平方米，建筑面积为38556.25平方米。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估价对象为房地产,属开发建设的，该项目尚在开发建设中。根据《国有土地使用证》[]，估价对象（分摊）出让国有建设用地使用权面积为0平方米，规划建筑面积为38556.25平方米。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2022年1月18日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本次评估采用的主估价方法为成本法和比较法。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4"/>
      <c r="M4" s="2915"/>
      <c r="N4" s="2915"/>
      <c r="O4" s="2915"/>
      <c r="P4" s="3460" t="s">
        <v>2412</v>
      </c>
      <c r="Q4" s="3461"/>
      <c r="R4" s="3443" t="s">
        <v>2408</v>
      </c>
      <c r="S4" s="3444"/>
      <c r="T4" s="3443" t="s">
        <v>2409</v>
      </c>
      <c r="U4" s="3444"/>
      <c r="V4" s="3468" t="s">
        <v>2410</v>
      </c>
      <c r="W4" s="3468"/>
      <c r="X4" s="1509"/>
      <c r="Y4" s="3443" t="s">
        <v>2412</v>
      </c>
      <c r="Z4" s="3444"/>
      <c r="AA4" s="3438" t="s">
        <v>2408</v>
      </c>
      <c r="AB4" s="3439" t="s">
        <v>2409</v>
      </c>
      <c r="AC4" s="3438" t="s">
        <v>2410</v>
      </c>
    </row>
    <row r="5" spans="1:29" ht="15">
      <c r="A5" s="364"/>
      <c r="B5" s="365"/>
      <c r="C5" s="3449" t="s">
        <v>2303</v>
      </c>
      <c r="D5" s="3450"/>
      <c r="E5" s="3447" t="s">
        <v>2304</v>
      </c>
      <c r="F5" s="3448"/>
      <c r="G5" s="3449" t="s">
        <v>2305</v>
      </c>
      <c r="H5" s="3450"/>
      <c r="I5" s="3449" t="s">
        <v>2306</v>
      </c>
      <c r="J5" s="3450"/>
      <c r="K5" s="567"/>
      <c r="L5" s="2914"/>
      <c r="M5" s="2915"/>
      <c r="N5" s="2915"/>
      <c r="O5" s="2915"/>
      <c r="P5" s="3462"/>
      <c r="Q5" s="3463"/>
      <c r="R5" s="3445"/>
      <c r="S5" s="3446"/>
      <c r="T5" s="3445"/>
      <c r="U5" s="3446"/>
      <c r="V5" s="3468"/>
      <c r="W5" s="3468"/>
      <c r="X5" s="1509"/>
      <c r="Y5" s="3445"/>
      <c r="Z5" s="3446"/>
      <c r="AA5" s="3439"/>
      <c r="AB5" s="3439"/>
      <c r="AC5" s="3439"/>
    </row>
    <row r="6" spans="1:29" ht="15.75" thickBot="1">
      <c r="A6" s="366"/>
      <c r="B6" s="367"/>
      <c r="C6" s="3451" t="s">
        <v>2307</v>
      </c>
      <c r="D6" s="3452"/>
      <c r="E6" s="3453" t="s">
        <v>2307</v>
      </c>
      <c r="F6" s="3454"/>
      <c r="G6" s="3451" t="s">
        <v>2307</v>
      </c>
      <c r="H6" s="3452"/>
      <c r="I6" s="3451" t="s">
        <v>2307</v>
      </c>
      <c r="J6" s="3452"/>
      <c r="K6" s="567" t="s">
        <v>2308</v>
      </c>
      <c r="L6" s="2914"/>
      <c r="M6" s="2915"/>
      <c r="N6" s="2915"/>
      <c r="O6" s="2915"/>
      <c r="P6" s="3464"/>
      <c r="Q6" s="3465"/>
      <c r="R6" s="3445"/>
      <c r="S6" s="3446"/>
      <c r="T6" s="3466"/>
      <c r="U6" s="3467"/>
      <c r="V6" s="3468"/>
      <c r="W6" s="3468"/>
      <c r="X6" s="1509"/>
      <c r="Y6" s="3466"/>
      <c r="Z6" s="3467"/>
      <c r="AA6" s="3440"/>
      <c r="AB6" s="3440"/>
      <c r="AC6" s="3440"/>
    </row>
    <row r="7" spans="1:29" s="113" customFormat="1" ht="15.75" thickBot="1">
      <c r="A7" s="368" t="s">
        <v>2309</v>
      </c>
      <c r="B7" s="369"/>
      <c r="C7" s="370">
        <f>'数据-取费表'!B2</f>
        <v>44579</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41" t="s">
        <v>2310</v>
      </c>
      <c r="Q7" s="3469"/>
      <c r="R7" s="710" t="s">
        <v>17</v>
      </c>
      <c r="S7" s="711">
        <f t="shared" ref="S7:S14" si="0">F7</f>
        <v>0</v>
      </c>
      <c r="T7" s="710" t="s">
        <v>17</v>
      </c>
      <c r="U7" s="711">
        <f t="shared" ref="U7:U14" si="1">H7</f>
        <v>0</v>
      </c>
      <c r="V7" s="710" t="s">
        <v>17</v>
      </c>
      <c r="W7" s="711">
        <f t="shared" ref="W7:W14" si="2">J7</f>
        <v>0</v>
      </c>
      <c r="X7" s="712"/>
      <c r="Y7" s="3441" t="s">
        <v>2310</v>
      </c>
      <c r="Z7" s="344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41" t="s">
        <v>2313</v>
      </c>
      <c r="Q8" s="3442"/>
      <c r="R8" s="710" t="s">
        <v>17</v>
      </c>
      <c r="S8" s="711">
        <f t="shared" si="0"/>
        <v>0</v>
      </c>
      <c r="T8" s="710" t="s">
        <v>17</v>
      </c>
      <c r="U8" s="711">
        <f t="shared" si="1"/>
        <v>0</v>
      </c>
      <c r="V8" s="710" t="s">
        <v>17</v>
      </c>
      <c r="W8" s="711">
        <f t="shared" si="2"/>
        <v>0</v>
      </c>
      <c r="X8" s="712"/>
      <c r="Y8" s="3441" t="s">
        <v>2313</v>
      </c>
      <c r="Z8" s="344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73" t="s">
        <v>2316</v>
      </c>
      <c r="Q9" s="1497" t="str">
        <f t="shared" ref="Q9:Q14" si="6">B9</f>
        <v>用途</v>
      </c>
      <c r="R9" s="710" t="s">
        <v>17</v>
      </c>
      <c r="S9" s="711">
        <f t="shared" si="0"/>
        <v>100</v>
      </c>
      <c r="T9" s="710" t="s">
        <v>17</v>
      </c>
      <c r="U9" s="711">
        <f t="shared" si="1"/>
        <v>100</v>
      </c>
      <c r="V9" s="710" t="s">
        <v>17</v>
      </c>
      <c r="W9" s="711">
        <f t="shared" si="2"/>
        <v>100</v>
      </c>
      <c r="X9" s="712"/>
      <c r="Y9" s="338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73"/>
      <c r="Q10" s="1497"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73"/>
      <c r="Q11" s="1497">
        <f t="shared" si="6"/>
        <v>111</v>
      </c>
      <c r="R11" s="710" t="s">
        <v>17</v>
      </c>
      <c r="S11" s="711">
        <f t="shared" si="0"/>
        <v>100</v>
      </c>
      <c r="T11" s="710" t="s">
        <v>17</v>
      </c>
      <c r="U11" s="711">
        <f t="shared" si="1"/>
        <v>100</v>
      </c>
      <c r="V11" s="710" t="s">
        <v>17</v>
      </c>
      <c r="W11" s="711">
        <f t="shared" si="2"/>
        <v>100</v>
      </c>
      <c r="X11" s="712"/>
      <c r="Y11" s="338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73"/>
      <c r="Q12" s="1497">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73"/>
      <c r="Q13" s="1497">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75" t="s">
        <v>2321</v>
      </c>
      <c r="Q14" s="1506" t="str">
        <f t="shared" si="6"/>
        <v>交通便捷度</v>
      </c>
      <c r="R14" s="714" t="s">
        <v>17</v>
      </c>
      <c r="S14" s="715">
        <f t="shared" si="0"/>
        <v>100</v>
      </c>
      <c r="T14" s="714" t="s">
        <v>17</v>
      </c>
      <c r="U14" s="715">
        <f t="shared" si="1"/>
        <v>100</v>
      </c>
      <c r="V14" s="714" t="s">
        <v>17</v>
      </c>
      <c r="W14" s="715">
        <f t="shared" si="2"/>
        <v>100</v>
      </c>
      <c r="X14" s="1509"/>
      <c r="Y14" s="3475"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76"/>
      <c r="Q15" s="1506"/>
      <c r="R15" s="714"/>
      <c r="S15" s="715"/>
      <c r="T15" s="714"/>
      <c r="U15" s="715"/>
      <c r="V15" s="714"/>
      <c r="W15" s="715"/>
      <c r="X15" s="1509"/>
      <c r="Y15" s="3476"/>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76"/>
      <c r="Q16" s="1506" t="str">
        <f>B16</f>
        <v>公共配套设施</v>
      </c>
      <c r="R16" s="714" t="s">
        <v>17</v>
      </c>
      <c r="S16" s="715">
        <f>F16</f>
        <v>100</v>
      </c>
      <c r="T16" s="714" t="s">
        <v>17</v>
      </c>
      <c r="U16" s="715">
        <f>H16</f>
        <v>100</v>
      </c>
      <c r="V16" s="714" t="s">
        <v>17</v>
      </c>
      <c r="W16" s="715">
        <f>J16</f>
        <v>100</v>
      </c>
      <c r="X16" s="1509"/>
      <c r="Y16" s="347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76"/>
      <c r="Q17" s="1506"/>
      <c r="R17" s="714"/>
      <c r="S17" s="715"/>
      <c r="T17" s="714"/>
      <c r="U17" s="715"/>
      <c r="V17" s="714"/>
      <c r="W17" s="715"/>
      <c r="X17" s="1509"/>
      <c r="Y17" s="3476"/>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76"/>
      <c r="Q18" s="1506" t="str">
        <f>B18</f>
        <v>基础设施水平</v>
      </c>
      <c r="R18" s="714" t="s">
        <v>17</v>
      </c>
      <c r="S18" s="715">
        <f>F18</f>
        <v>100</v>
      </c>
      <c r="T18" s="714" t="s">
        <v>17</v>
      </c>
      <c r="U18" s="715">
        <f>H18</f>
        <v>100</v>
      </c>
      <c r="V18" s="714" t="s">
        <v>17</v>
      </c>
      <c r="W18" s="715">
        <f>J18</f>
        <v>100</v>
      </c>
      <c r="X18" s="1509"/>
      <c r="Y18" s="347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76"/>
      <c r="Q19" s="1506"/>
      <c r="R19" s="714"/>
      <c r="S19" s="715"/>
      <c r="T19" s="714"/>
      <c r="U19" s="715"/>
      <c r="V19" s="714"/>
      <c r="W19" s="715"/>
      <c r="X19" s="1509"/>
      <c r="Y19" s="3476"/>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76"/>
      <c r="Q20" s="1506" t="str">
        <f>B20</f>
        <v>自然及人文环境</v>
      </c>
      <c r="R20" s="714" t="s">
        <v>17</v>
      </c>
      <c r="S20" s="715">
        <f>F20</f>
        <v>100</v>
      </c>
      <c r="T20" s="714" t="s">
        <v>17</v>
      </c>
      <c r="U20" s="715">
        <f>H20</f>
        <v>100</v>
      </c>
      <c r="V20" s="714" t="s">
        <v>17</v>
      </c>
      <c r="W20" s="715">
        <f>J20</f>
        <v>100</v>
      </c>
      <c r="X20" s="1509"/>
      <c r="Y20" s="347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76"/>
      <c r="Q21" s="1506"/>
      <c r="R21" s="714"/>
      <c r="S21" s="715"/>
      <c r="T21" s="714"/>
      <c r="U21" s="715"/>
      <c r="V21" s="714"/>
      <c r="W21" s="715"/>
      <c r="X21" s="1509"/>
      <c r="Y21" s="3476"/>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76"/>
      <c r="Q22" s="1506" t="str">
        <f>B22</f>
        <v>楼层</v>
      </c>
      <c r="R22" s="714" t="s">
        <v>17</v>
      </c>
      <c r="S22" s="715">
        <f>F22</f>
        <v>100</v>
      </c>
      <c r="T22" s="714" t="s">
        <v>17</v>
      </c>
      <c r="U22" s="715">
        <f>H22</f>
        <v>100</v>
      </c>
      <c r="V22" s="714" t="s">
        <v>17</v>
      </c>
      <c r="W22" s="715">
        <f>J22</f>
        <v>100</v>
      </c>
      <c r="X22" s="1509"/>
      <c r="Y22" s="347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76"/>
      <c r="Q23" s="1506">
        <f>B23</f>
        <v>111</v>
      </c>
      <c r="R23" s="714" t="s">
        <v>17</v>
      </c>
      <c r="S23" s="715">
        <f>F23</f>
        <v>100</v>
      </c>
      <c r="T23" s="714" t="s">
        <v>17</v>
      </c>
      <c r="U23" s="715">
        <f>H23</f>
        <v>100</v>
      </c>
      <c r="V23" s="714" t="s">
        <v>17</v>
      </c>
      <c r="W23" s="715">
        <f>J23</f>
        <v>100</v>
      </c>
      <c r="X23" s="1509"/>
      <c r="Y23" s="347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76"/>
      <c r="Q24" s="1506">
        <f t="shared" ref="Q24:Q36" si="11">B24</f>
        <v>111</v>
      </c>
      <c r="R24" s="714" t="s">
        <v>17</v>
      </c>
      <c r="S24" s="715">
        <f>F24</f>
        <v>100</v>
      </c>
      <c r="T24" s="714" t="s">
        <v>17</v>
      </c>
      <c r="U24" s="715">
        <f>H24</f>
        <v>100</v>
      </c>
      <c r="V24" s="714" t="s">
        <v>17</v>
      </c>
      <c r="W24" s="715">
        <f>J24</f>
        <v>100</v>
      </c>
      <c r="X24" s="1509"/>
      <c r="Y24" s="347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76"/>
      <c r="Q25" s="1497">
        <f t="shared" si="11"/>
        <v>111</v>
      </c>
      <c r="R25" s="710" t="s">
        <v>17</v>
      </c>
      <c r="S25" s="711">
        <f>F25</f>
        <v>100</v>
      </c>
      <c r="T25" s="710" t="s">
        <v>17</v>
      </c>
      <c r="U25" s="711">
        <f>H25</f>
        <v>100</v>
      </c>
      <c r="V25" s="710" t="s">
        <v>17</v>
      </c>
      <c r="W25" s="711">
        <f>J25</f>
        <v>100</v>
      </c>
      <c r="X25" s="712"/>
      <c r="Y25" s="3476"/>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9"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80"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80"/>
      <c r="Q27" s="716" t="str">
        <f t="shared" si="11"/>
        <v>项目停车位配比</v>
      </c>
      <c r="R27" s="717" t="s">
        <v>17</v>
      </c>
      <c r="S27" s="718">
        <f t="shared" si="12"/>
        <v>100</v>
      </c>
      <c r="T27" s="717" t="s">
        <v>17</v>
      </c>
      <c r="U27" s="718">
        <f t="shared" si="13"/>
        <v>100</v>
      </c>
      <c r="V27" s="717" t="s">
        <v>17</v>
      </c>
      <c r="W27" s="718">
        <f t="shared" si="14"/>
        <v>100</v>
      </c>
      <c r="X27" s="719"/>
      <c r="Y27" s="3480"/>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80"/>
      <c r="Q28" s="1506" t="str">
        <f t="shared" si="11"/>
        <v>公共部分装修</v>
      </c>
      <c r="R28" s="714" t="s">
        <v>17</v>
      </c>
      <c r="S28" s="715">
        <f t="shared" si="12"/>
        <v>100</v>
      </c>
      <c r="T28" s="714" t="s">
        <v>17</v>
      </c>
      <c r="U28" s="715">
        <f t="shared" si="13"/>
        <v>100</v>
      </c>
      <c r="V28" s="714" t="s">
        <v>17</v>
      </c>
      <c r="W28" s="715">
        <f t="shared" si="14"/>
        <v>100</v>
      </c>
      <c r="X28" s="1509"/>
      <c r="Y28" s="3480"/>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80"/>
      <c r="Q29" s="1506" t="str">
        <f t="shared" si="11"/>
        <v>成新率</v>
      </c>
      <c r="R29" s="714" t="s">
        <v>17</v>
      </c>
      <c r="S29" s="715" t="e">
        <f t="shared" si="12"/>
        <v>#N/A</v>
      </c>
      <c r="T29" s="714" t="s">
        <v>17</v>
      </c>
      <c r="U29" s="715" t="e">
        <f t="shared" si="13"/>
        <v>#N/A</v>
      </c>
      <c r="V29" s="714" t="s">
        <v>17</v>
      </c>
      <c r="W29" s="715" t="e">
        <f t="shared" si="14"/>
        <v>#N/A</v>
      </c>
      <c r="X29" s="1509"/>
      <c r="Y29" s="3480"/>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80"/>
      <c r="Q30" s="1506" t="str">
        <f t="shared" si="11"/>
        <v>物业等级</v>
      </c>
      <c r="R30" s="714" t="s">
        <v>17</v>
      </c>
      <c r="S30" s="715">
        <f t="shared" si="12"/>
        <v>100</v>
      </c>
      <c r="T30" s="714" t="s">
        <v>17</v>
      </c>
      <c r="U30" s="715">
        <f t="shared" si="13"/>
        <v>100</v>
      </c>
      <c r="V30" s="714" t="s">
        <v>17</v>
      </c>
      <c r="W30" s="715">
        <f t="shared" si="14"/>
        <v>100</v>
      </c>
      <c r="X30" s="1509"/>
      <c r="Y30" s="3480"/>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80"/>
      <c r="Q31" s="1497" t="str">
        <f t="shared" si="11"/>
        <v>停车位面积</v>
      </c>
      <c r="R31" s="710" t="s">
        <v>17</v>
      </c>
      <c r="S31" s="711" t="e">
        <f t="shared" si="12"/>
        <v>#N/A</v>
      </c>
      <c r="T31" s="710" t="s">
        <v>17</v>
      </c>
      <c r="U31" s="711" t="e">
        <f t="shared" si="13"/>
        <v>#N/A</v>
      </c>
      <c r="V31" s="710" t="s">
        <v>17</v>
      </c>
      <c r="W31" s="711" t="e">
        <f t="shared" si="14"/>
        <v>#N/A</v>
      </c>
      <c r="X31" s="712"/>
      <c r="Y31" s="3480"/>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80" t="s">
        <v>2326</v>
      </c>
      <c r="Q32" s="1506" t="str">
        <f t="shared" si="11"/>
        <v>车位类型</v>
      </c>
      <c r="R32" s="714" t="s">
        <v>17</v>
      </c>
      <c r="S32" s="715">
        <f t="shared" si="12"/>
        <v>100</v>
      </c>
      <c r="T32" s="714" t="s">
        <v>17</v>
      </c>
      <c r="U32" s="715">
        <f t="shared" si="13"/>
        <v>100</v>
      </c>
      <c r="V32" s="714" t="s">
        <v>17</v>
      </c>
      <c r="W32" s="715">
        <f t="shared" si="14"/>
        <v>100</v>
      </c>
      <c r="X32" s="1509"/>
      <c r="Y32" s="3480"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80"/>
      <c r="Q33" s="1506" t="str">
        <f t="shared" si="11"/>
        <v>是否直接入户</v>
      </c>
      <c r="R33" s="714" t="s">
        <v>17</v>
      </c>
      <c r="S33" s="715">
        <f t="shared" si="12"/>
        <v>100</v>
      </c>
      <c r="T33" s="714" t="s">
        <v>17</v>
      </c>
      <c r="U33" s="715">
        <f t="shared" si="13"/>
        <v>100</v>
      </c>
      <c r="V33" s="714" t="s">
        <v>17</v>
      </c>
      <c r="W33" s="715">
        <f t="shared" si="14"/>
        <v>100</v>
      </c>
      <c r="X33" s="1509"/>
      <c r="Y33" s="348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80"/>
      <c r="Q34" s="1506">
        <f t="shared" si="11"/>
        <v>111</v>
      </c>
      <c r="R34" s="714" t="s">
        <v>17</v>
      </c>
      <c r="S34" s="715">
        <f t="shared" si="12"/>
        <v>100</v>
      </c>
      <c r="T34" s="714" t="s">
        <v>17</v>
      </c>
      <c r="U34" s="715">
        <f t="shared" si="13"/>
        <v>100</v>
      </c>
      <c r="V34" s="714" t="s">
        <v>17</v>
      </c>
      <c r="W34" s="715">
        <f t="shared" si="14"/>
        <v>100</v>
      </c>
      <c r="X34" s="1509"/>
      <c r="Y34" s="348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80"/>
      <c r="Q35" s="716">
        <f t="shared" si="11"/>
        <v>111</v>
      </c>
      <c r="R35" s="717" t="s">
        <v>17</v>
      </c>
      <c r="S35" s="718">
        <f t="shared" si="12"/>
        <v>100</v>
      </c>
      <c r="T35" s="717" t="s">
        <v>17</v>
      </c>
      <c r="U35" s="718">
        <f t="shared" si="13"/>
        <v>100</v>
      </c>
      <c r="V35" s="717" t="s">
        <v>17</v>
      </c>
      <c r="W35" s="718">
        <f t="shared" si="14"/>
        <v>100</v>
      </c>
      <c r="X35" s="719"/>
      <c r="Y35" s="348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80"/>
      <c r="Q36" s="1506">
        <f t="shared" si="11"/>
        <v>111</v>
      </c>
      <c r="R36" s="714" t="s">
        <v>17</v>
      </c>
      <c r="S36" s="715">
        <f t="shared" si="12"/>
        <v>100</v>
      </c>
      <c r="T36" s="714" t="s">
        <v>17</v>
      </c>
      <c r="U36" s="715">
        <f t="shared" si="13"/>
        <v>100</v>
      </c>
      <c r="V36" s="714" t="s">
        <v>17</v>
      </c>
      <c r="W36" s="715">
        <f t="shared" si="14"/>
        <v>100</v>
      </c>
      <c r="X36" s="1509"/>
      <c r="Y36" s="3480"/>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73" t="str">
        <f>A37</f>
        <v>成交单价</v>
      </c>
      <c r="Q37" s="3473"/>
      <c r="R37" s="3474">
        <f>E37</f>
        <v>0</v>
      </c>
      <c r="S37" s="3474"/>
      <c r="T37" s="3474">
        <f>G37</f>
        <v>0</v>
      </c>
      <c r="U37" s="3474"/>
      <c r="V37" s="3474">
        <f>I37</f>
        <v>0</v>
      </c>
      <c r="W37" s="3474"/>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70" t="str">
        <f>A39</f>
        <v>估价对象XX用房的比较价值（楼面单价，元/平方米）</v>
      </c>
      <c r="Q39" s="3471"/>
      <c r="R39" s="3500" t="e">
        <f>IF(F1="售价",ROUND(IF(D38="简单平均",AVERAGE(R38:W38),R38*F38+T38*H38+V38*J38),0),ROUND(IF(D38="简单平均",AVERAGE(R38:V38),R38*F38+T38*H38+V38*J38),1))</f>
        <v>#DIV/0!</v>
      </c>
      <c r="S39" s="3500"/>
      <c r="T39" s="3500"/>
      <c r="U39" s="3500"/>
      <c r="V39" s="3500"/>
      <c r="W39" s="350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4"/>
      <c r="M4" s="2915"/>
      <c r="N4" s="2915"/>
      <c r="O4" s="2915"/>
      <c r="P4" s="3460" t="s">
        <v>2412</v>
      </c>
      <c r="Q4" s="3461"/>
      <c r="R4" s="3443" t="s">
        <v>2408</v>
      </c>
      <c r="S4" s="3444"/>
      <c r="T4" s="3443" t="s">
        <v>2409</v>
      </c>
      <c r="U4" s="3444"/>
      <c r="V4" s="3468" t="s">
        <v>2410</v>
      </c>
      <c r="W4" s="3468"/>
      <c r="X4" s="1509"/>
      <c r="Y4" s="3443" t="s">
        <v>2412</v>
      </c>
      <c r="Z4" s="3444"/>
      <c r="AA4" s="3438" t="s">
        <v>2408</v>
      </c>
      <c r="AB4" s="3439" t="s">
        <v>2409</v>
      </c>
      <c r="AC4" s="3438" t="s">
        <v>2410</v>
      </c>
    </row>
    <row r="5" spans="1:29" ht="15">
      <c r="A5" s="364"/>
      <c r="B5" s="365"/>
      <c r="C5" s="3449" t="s">
        <v>2303</v>
      </c>
      <c r="D5" s="3450"/>
      <c r="E5" s="3447" t="s">
        <v>2304</v>
      </c>
      <c r="F5" s="3448"/>
      <c r="G5" s="3449" t="s">
        <v>2305</v>
      </c>
      <c r="H5" s="3450"/>
      <c r="I5" s="3449" t="s">
        <v>2306</v>
      </c>
      <c r="J5" s="3450"/>
      <c r="K5" s="567"/>
      <c r="L5" s="2914"/>
      <c r="M5" s="2915"/>
      <c r="N5" s="2915"/>
      <c r="O5" s="2915"/>
      <c r="P5" s="3462"/>
      <c r="Q5" s="3463"/>
      <c r="R5" s="3445"/>
      <c r="S5" s="3446"/>
      <c r="T5" s="3445"/>
      <c r="U5" s="3446"/>
      <c r="V5" s="3468"/>
      <c r="W5" s="3468"/>
      <c r="X5" s="1509"/>
      <c r="Y5" s="3445"/>
      <c r="Z5" s="3446"/>
      <c r="AA5" s="3439"/>
      <c r="AB5" s="3439"/>
      <c r="AC5" s="3439"/>
    </row>
    <row r="6" spans="1:29" ht="15.75" thickBot="1">
      <c r="A6" s="366"/>
      <c r="B6" s="367"/>
      <c r="C6" s="3451" t="s">
        <v>2307</v>
      </c>
      <c r="D6" s="3452"/>
      <c r="E6" s="3453" t="s">
        <v>2307</v>
      </c>
      <c r="F6" s="3454"/>
      <c r="G6" s="3451" t="s">
        <v>2307</v>
      </c>
      <c r="H6" s="3452"/>
      <c r="I6" s="3451" t="s">
        <v>2307</v>
      </c>
      <c r="J6" s="3452"/>
      <c r="K6" s="567" t="s">
        <v>2308</v>
      </c>
      <c r="L6" s="2914"/>
      <c r="M6" s="2915"/>
      <c r="N6" s="2915"/>
      <c r="O6" s="2915"/>
      <c r="P6" s="3464"/>
      <c r="Q6" s="3465"/>
      <c r="R6" s="3445"/>
      <c r="S6" s="3446"/>
      <c r="T6" s="3466"/>
      <c r="U6" s="3467"/>
      <c r="V6" s="3468"/>
      <c r="W6" s="3468"/>
      <c r="X6" s="1509"/>
      <c r="Y6" s="3466"/>
      <c r="Z6" s="3467"/>
      <c r="AA6" s="3440"/>
      <c r="AB6" s="3440"/>
      <c r="AC6" s="3440"/>
    </row>
    <row r="7" spans="1:29" s="113" customFormat="1" ht="15.75" thickBot="1">
      <c r="A7" s="368" t="s">
        <v>2309</v>
      </c>
      <c r="B7" s="369"/>
      <c r="C7" s="370">
        <f>'数据-取费表'!B2</f>
        <v>44579</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41" t="s">
        <v>2310</v>
      </c>
      <c r="Q7" s="3469"/>
      <c r="R7" s="710" t="s">
        <v>17</v>
      </c>
      <c r="S7" s="711">
        <f t="shared" ref="S7:S14" si="0">F7</f>
        <v>0</v>
      </c>
      <c r="T7" s="710" t="s">
        <v>17</v>
      </c>
      <c r="U7" s="711">
        <f t="shared" ref="U7:U14" si="1">H7</f>
        <v>0</v>
      </c>
      <c r="V7" s="710" t="s">
        <v>17</v>
      </c>
      <c r="W7" s="711">
        <f t="shared" ref="W7:W14" si="2">J7</f>
        <v>0</v>
      </c>
      <c r="X7" s="712"/>
      <c r="Y7" s="3441" t="s">
        <v>2310</v>
      </c>
      <c r="Z7" s="344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41" t="s">
        <v>2313</v>
      </c>
      <c r="Q8" s="3442"/>
      <c r="R8" s="710" t="s">
        <v>17</v>
      </c>
      <c r="S8" s="711">
        <f t="shared" si="0"/>
        <v>0</v>
      </c>
      <c r="T8" s="710" t="s">
        <v>17</v>
      </c>
      <c r="U8" s="711">
        <f t="shared" si="1"/>
        <v>0</v>
      </c>
      <c r="V8" s="710" t="s">
        <v>17</v>
      </c>
      <c r="W8" s="711">
        <f t="shared" si="2"/>
        <v>0</v>
      </c>
      <c r="X8" s="712"/>
      <c r="Y8" s="3441" t="s">
        <v>2313</v>
      </c>
      <c r="Z8" s="344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73" t="s">
        <v>2316</v>
      </c>
      <c r="Q9" s="1497" t="str">
        <f t="shared" ref="Q9:Q14" si="6">B9</f>
        <v>用途</v>
      </c>
      <c r="R9" s="710" t="s">
        <v>17</v>
      </c>
      <c r="S9" s="711">
        <f t="shared" si="0"/>
        <v>100</v>
      </c>
      <c r="T9" s="710" t="s">
        <v>17</v>
      </c>
      <c r="U9" s="711">
        <f t="shared" si="1"/>
        <v>100</v>
      </c>
      <c r="V9" s="710" t="s">
        <v>17</v>
      </c>
      <c r="W9" s="711">
        <f t="shared" si="2"/>
        <v>100</v>
      </c>
      <c r="X9" s="712"/>
      <c r="Y9" s="338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73"/>
      <c r="Q10" s="1497" t="str">
        <f t="shared" si="6"/>
        <v>土地使用年限（年）</v>
      </c>
      <c r="R10" s="710" t="s">
        <v>17</v>
      </c>
      <c r="S10" s="711">
        <f t="shared" si="0"/>
        <v>100</v>
      </c>
      <c r="T10" s="710" t="s">
        <v>17</v>
      </c>
      <c r="U10" s="711">
        <f t="shared" si="1"/>
        <v>100</v>
      </c>
      <c r="V10" s="710" t="s">
        <v>17</v>
      </c>
      <c r="W10" s="711">
        <f t="shared" si="2"/>
        <v>100</v>
      </c>
      <c r="X10" s="712"/>
      <c r="Y10" s="338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73"/>
      <c r="Q11" s="1497">
        <f t="shared" si="6"/>
        <v>111</v>
      </c>
      <c r="R11" s="710" t="s">
        <v>17</v>
      </c>
      <c r="S11" s="711">
        <f t="shared" si="0"/>
        <v>100</v>
      </c>
      <c r="T11" s="710" t="s">
        <v>17</v>
      </c>
      <c r="U11" s="711">
        <f t="shared" si="1"/>
        <v>100</v>
      </c>
      <c r="V11" s="710" t="s">
        <v>17</v>
      </c>
      <c r="W11" s="711">
        <f t="shared" si="2"/>
        <v>100</v>
      </c>
      <c r="X11" s="712"/>
      <c r="Y11" s="338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73"/>
      <c r="Q12" s="1497">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73"/>
      <c r="Q13" s="1497">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75" t="s">
        <v>2321</v>
      </c>
      <c r="Q14" s="1506" t="str">
        <f t="shared" si="6"/>
        <v>交通便捷度</v>
      </c>
      <c r="R14" s="714" t="s">
        <v>17</v>
      </c>
      <c r="S14" s="715">
        <f t="shared" si="0"/>
        <v>100</v>
      </c>
      <c r="T14" s="714" t="s">
        <v>17</v>
      </c>
      <c r="U14" s="715">
        <f t="shared" si="1"/>
        <v>100</v>
      </c>
      <c r="V14" s="714" t="s">
        <v>17</v>
      </c>
      <c r="W14" s="715">
        <f t="shared" si="2"/>
        <v>100</v>
      </c>
      <c r="X14" s="1509"/>
      <c r="Y14" s="3475"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76"/>
      <c r="Q15" s="1506"/>
      <c r="R15" s="714"/>
      <c r="S15" s="715"/>
      <c r="T15" s="714"/>
      <c r="U15" s="715"/>
      <c r="V15" s="714"/>
      <c r="W15" s="715"/>
      <c r="X15" s="1509"/>
      <c r="Y15" s="3476"/>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76"/>
      <c r="Q16" s="1506" t="str">
        <f>B16</f>
        <v>公共配套设施</v>
      </c>
      <c r="R16" s="714" t="s">
        <v>17</v>
      </c>
      <c r="S16" s="715">
        <f>F16</f>
        <v>100</v>
      </c>
      <c r="T16" s="714" t="s">
        <v>17</v>
      </c>
      <c r="U16" s="715">
        <f>H16</f>
        <v>100</v>
      </c>
      <c r="V16" s="714" t="s">
        <v>17</v>
      </c>
      <c r="W16" s="715">
        <f>J16</f>
        <v>100</v>
      </c>
      <c r="X16" s="1509"/>
      <c r="Y16" s="347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76"/>
      <c r="Q17" s="1506"/>
      <c r="R17" s="714"/>
      <c r="S17" s="715"/>
      <c r="T17" s="714"/>
      <c r="U17" s="715"/>
      <c r="V17" s="714"/>
      <c r="W17" s="715"/>
      <c r="X17" s="1509"/>
      <c r="Y17" s="3476"/>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76"/>
      <c r="Q18" s="1506" t="str">
        <f>B18</f>
        <v>基础设施水平</v>
      </c>
      <c r="R18" s="714" t="s">
        <v>17</v>
      </c>
      <c r="S18" s="715">
        <f>F18</f>
        <v>100</v>
      </c>
      <c r="T18" s="714" t="s">
        <v>17</v>
      </c>
      <c r="U18" s="715">
        <f>H18</f>
        <v>100</v>
      </c>
      <c r="V18" s="714" t="s">
        <v>17</v>
      </c>
      <c r="W18" s="715">
        <f>J18</f>
        <v>100</v>
      </c>
      <c r="X18" s="1509"/>
      <c r="Y18" s="347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76"/>
      <c r="Q19" s="1506"/>
      <c r="R19" s="714"/>
      <c r="S19" s="715"/>
      <c r="T19" s="714"/>
      <c r="U19" s="715"/>
      <c r="V19" s="714"/>
      <c r="W19" s="715"/>
      <c r="X19" s="1509"/>
      <c r="Y19" s="3476"/>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76"/>
      <c r="Q20" s="1506" t="str">
        <f>B20</f>
        <v>自然及人文环境</v>
      </c>
      <c r="R20" s="714" t="s">
        <v>17</v>
      </c>
      <c r="S20" s="715">
        <f>F20</f>
        <v>100</v>
      </c>
      <c r="T20" s="714" t="s">
        <v>17</v>
      </c>
      <c r="U20" s="715">
        <f>H20</f>
        <v>100</v>
      </c>
      <c r="V20" s="714" t="s">
        <v>17</v>
      </c>
      <c r="W20" s="715">
        <f>J20</f>
        <v>100</v>
      </c>
      <c r="X20" s="1509"/>
      <c r="Y20" s="347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76"/>
      <c r="Q21" s="1506"/>
      <c r="R21" s="714"/>
      <c r="S21" s="715"/>
      <c r="T21" s="714"/>
      <c r="U21" s="715"/>
      <c r="V21" s="714"/>
      <c r="W21" s="715"/>
      <c r="X21" s="1509"/>
      <c r="Y21" s="3476"/>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76"/>
      <c r="Q22" s="1506" t="str">
        <f>B22</f>
        <v>楼层</v>
      </c>
      <c r="R22" s="714" t="s">
        <v>17</v>
      </c>
      <c r="S22" s="715">
        <f>F22</f>
        <v>100</v>
      </c>
      <c r="T22" s="714" t="s">
        <v>17</v>
      </c>
      <c r="U22" s="715">
        <f>H22</f>
        <v>100</v>
      </c>
      <c r="V22" s="714" t="s">
        <v>17</v>
      </c>
      <c r="W22" s="715">
        <f>J22</f>
        <v>100</v>
      </c>
      <c r="X22" s="1509"/>
      <c r="Y22" s="347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76"/>
      <c r="Q23" s="1506">
        <f>B23</f>
        <v>111</v>
      </c>
      <c r="R23" s="714" t="s">
        <v>17</v>
      </c>
      <c r="S23" s="715">
        <f>F23</f>
        <v>100</v>
      </c>
      <c r="T23" s="714" t="s">
        <v>17</v>
      </c>
      <c r="U23" s="715">
        <f>H23</f>
        <v>100</v>
      </c>
      <c r="V23" s="714" t="s">
        <v>17</v>
      </c>
      <c r="W23" s="715">
        <f>J23</f>
        <v>100</v>
      </c>
      <c r="X23" s="1509"/>
      <c r="Y23" s="347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76"/>
      <c r="Q24" s="1506">
        <f t="shared" ref="Q24:Q34" si="11">B24</f>
        <v>111</v>
      </c>
      <c r="R24" s="714" t="s">
        <v>17</v>
      </c>
      <c r="S24" s="715">
        <f>F24</f>
        <v>100</v>
      </c>
      <c r="T24" s="714" t="s">
        <v>17</v>
      </c>
      <c r="U24" s="715">
        <f>H24</f>
        <v>100</v>
      </c>
      <c r="V24" s="714" t="s">
        <v>17</v>
      </c>
      <c r="W24" s="715">
        <f>J24</f>
        <v>100</v>
      </c>
      <c r="X24" s="1509"/>
      <c r="Y24" s="347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76"/>
      <c r="Q25" s="1497">
        <f t="shared" si="11"/>
        <v>111</v>
      </c>
      <c r="R25" s="710" t="s">
        <v>17</v>
      </c>
      <c r="S25" s="711">
        <f>F25</f>
        <v>100</v>
      </c>
      <c r="T25" s="710" t="s">
        <v>17</v>
      </c>
      <c r="U25" s="711">
        <f>H25</f>
        <v>100</v>
      </c>
      <c r="V25" s="710" t="s">
        <v>17</v>
      </c>
      <c r="W25" s="711">
        <f>J25</f>
        <v>100</v>
      </c>
      <c r="X25" s="712"/>
      <c r="Y25" s="3476"/>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9"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80"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80"/>
      <c r="Q27" s="716" t="str">
        <f t="shared" si="11"/>
        <v>成新率</v>
      </c>
      <c r="R27" s="717" t="s">
        <v>17</v>
      </c>
      <c r="S27" s="718" t="e">
        <f t="shared" si="12"/>
        <v>#N/A</v>
      </c>
      <c r="T27" s="717" t="s">
        <v>17</v>
      </c>
      <c r="U27" s="718" t="e">
        <f t="shared" si="13"/>
        <v>#N/A</v>
      </c>
      <c r="V27" s="717" t="s">
        <v>17</v>
      </c>
      <c r="W27" s="718" t="e">
        <f t="shared" si="14"/>
        <v>#N/A</v>
      </c>
      <c r="X27" s="719"/>
      <c r="Y27" s="3480"/>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80"/>
      <c r="Q28" s="1506" t="str">
        <f t="shared" si="11"/>
        <v>物业等级</v>
      </c>
      <c r="R28" s="714" t="s">
        <v>17</v>
      </c>
      <c r="S28" s="715">
        <f t="shared" si="12"/>
        <v>100</v>
      </c>
      <c r="T28" s="714" t="s">
        <v>17</v>
      </c>
      <c r="U28" s="715">
        <f t="shared" si="13"/>
        <v>100</v>
      </c>
      <c r="V28" s="714" t="s">
        <v>17</v>
      </c>
      <c r="W28" s="715">
        <f t="shared" si="14"/>
        <v>100</v>
      </c>
      <c r="X28" s="1509"/>
      <c r="Y28" s="3480"/>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80"/>
      <c r="Q29" s="1506" t="str">
        <f t="shared" si="11"/>
        <v>有无电梯</v>
      </c>
      <c r="R29" s="714" t="s">
        <v>17</v>
      </c>
      <c r="S29" s="715">
        <f t="shared" si="12"/>
        <v>100</v>
      </c>
      <c r="T29" s="714" t="s">
        <v>17</v>
      </c>
      <c r="U29" s="715">
        <f t="shared" si="13"/>
        <v>100</v>
      </c>
      <c r="V29" s="714" t="s">
        <v>17</v>
      </c>
      <c r="W29" s="715">
        <f t="shared" si="14"/>
        <v>100</v>
      </c>
      <c r="X29" s="1509"/>
      <c r="Y29" s="3480"/>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80"/>
      <c r="Q30" s="1506" t="str">
        <f t="shared" si="11"/>
        <v>建筑面积</v>
      </c>
      <c r="R30" s="714" t="s">
        <v>17</v>
      </c>
      <c r="S30" s="715" t="e">
        <f t="shared" si="12"/>
        <v>#N/A</v>
      </c>
      <c r="T30" s="714" t="s">
        <v>17</v>
      </c>
      <c r="U30" s="715" t="e">
        <f t="shared" si="13"/>
        <v>#N/A</v>
      </c>
      <c r="V30" s="714" t="s">
        <v>17</v>
      </c>
      <c r="W30" s="715" t="e">
        <f t="shared" si="14"/>
        <v>#N/A</v>
      </c>
      <c r="X30" s="1509"/>
      <c r="Y30" s="3480"/>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80"/>
      <c r="Q31" s="1497" t="str">
        <f t="shared" si="11"/>
        <v>是否封闭</v>
      </c>
      <c r="R31" s="710" t="s">
        <v>17</v>
      </c>
      <c r="S31" s="711">
        <f t="shared" si="12"/>
        <v>100</v>
      </c>
      <c r="T31" s="710" t="s">
        <v>17</v>
      </c>
      <c r="U31" s="711">
        <f t="shared" si="13"/>
        <v>100</v>
      </c>
      <c r="V31" s="710" t="s">
        <v>17</v>
      </c>
      <c r="W31" s="711">
        <f t="shared" si="14"/>
        <v>100</v>
      </c>
      <c r="X31" s="712"/>
      <c r="Y31" s="348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80" t="s">
        <v>2326</v>
      </c>
      <c r="Q32" s="1506">
        <f t="shared" si="11"/>
        <v>111</v>
      </c>
      <c r="R32" s="714" t="s">
        <v>17</v>
      </c>
      <c r="S32" s="715">
        <f t="shared" si="12"/>
        <v>100</v>
      </c>
      <c r="T32" s="714" t="s">
        <v>17</v>
      </c>
      <c r="U32" s="715">
        <f t="shared" si="13"/>
        <v>100</v>
      </c>
      <c r="V32" s="714" t="s">
        <v>17</v>
      </c>
      <c r="W32" s="715">
        <f t="shared" si="14"/>
        <v>100</v>
      </c>
      <c r="X32" s="1509"/>
      <c r="Y32" s="3480"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80"/>
      <c r="Q33" s="1506">
        <f t="shared" si="11"/>
        <v>111</v>
      </c>
      <c r="R33" s="714" t="s">
        <v>17</v>
      </c>
      <c r="S33" s="715">
        <f t="shared" si="12"/>
        <v>100</v>
      </c>
      <c r="T33" s="714" t="s">
        <v>17</v>
      </c>
      <c r="U33" s="715">
        <f t="shared" si="13"/>
        <v>100</v>
      </c>
      <c r="V33" s="714" t="s">
        <v>17</v>
      </c>
      <c r="W33" s="715">
        <f t="shared" si="14"/>
        <v>100</v>
      </c>
      <c r="X33" s="1509"/>
      <c r="Y33" s="348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80"/>
      <c r="Q34" s="1506">
        <f t="shared" si="11"/>
        <v>111</v>
      </c>
      <c r="R34" s="714" t="s">
        <v>17</v>
      </c>
      <c r="S34" s="715">
        <f t="shared" si="12"/>
        <v>100</v>
      </c>
      <c r="T34" s="714" t="s">
        <v>17</v>
      </c>
      <c r="U34" s="715">
        <f t="shared" si="13"/>
        <v>100</v>
      </c>
      <c r="V34" s="714" t="s">
        <v>17</v>
      </c>
      <c r="W34" s="715">
        <f t="shared" si="14"/>
        <v>100</v>
      </c>
      <c r="X34" s="1509"/>
      <c r="Y34" s="3480"/>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73" t="str">
        <f>A35</f>
        <v>成交单价（元/平方米）</v>
      </c>
      <c r="Q35" s="3473"/>
      <c r="R35" s="3474">
        <f>E35</f>
        <v>0</v>
      </c>
      <c r="S35" s="3474"/>
      <c r="T35" s="3474">
        <f>G35</f>
        <v>0</v>
      </c>
      <c r="U35" s="3474"/>
      <c r="V35" s="3474">
        <f>I35</f>
        <v>0</v>
      </c>
      <c r="W35" s="3474"/>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70" t="str">
        <f>A37</f>
        <v>估价对象XX用房的比较价值（楼面单价，元/平方米）</v>
      </c>
      <c r="Q37" s="3471"/>
      <c r="R37" s="3500" t="e">
        <f>IF(F1="售价",ROUND(IF(D36="简单平均",AVERAGE(R36:W36),R36*F36+T36*H36+V36*J36),0),ROUND(IF(D36="简单平均",AVERAGE(R36:V36),R36*F36+T36*H36+V36*J36),1))</f>
        <v>#DIV/0!</v>
      </c>
      <c r="S37" s="3500"/>
      <c r="T37" s="3500"/>
      <c r="U37" s="3500"/>
      <c r="V37" s="3500"/>
      <c r="W37" s="350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3" zoomScale="60" zoomScaleNormal="60" workbookViewId="0">
      <selection activeCell="M31" sqref="M3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6848</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1776</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56" t="s">
        <v>2407</v>
      </c>
      <c r="D4" s="3457"/>
      <c r="E4" s="3458" t="s">
        <v>2408</v>
      </c>
      <c r="F4" s="3459"/>
      <c r="G4" s="3456" t="s">
        <v>2409</v>
      </c>
      <c r="H4" s="3457"/>
      <c r="I4" s="3456" t="s">
        <v>2410</v>
      </c>
      <c r="J4" s="3457"/>
      <c r="K4" s="567" t="s">
        <v>2411</v>
      </c>
      <c r="L4" s="2914"/>
      <c r="M4" s="2915"/>
      <c r="N4" s="2915"/>
      <c r="O4" s="2915"/>
      <c r="P4" s="3460" t="s">
        <v>2412</v>
      </c>
      <c r="Q4" s="3461"/>
      <c r="R4" s="3443" t="s">
        <v>2408</v>
      </c>
      <c r="S4" s="3444"/>
      <c r="T4" s="3443" t="s">
        <v>2409</v>
      </c>
      <c r="U4" s="3444"/>
      <c r="V4" s="3468" t="s">
        <v>2410</v>
      </c>
      <c r="W4" s="3468"/>
      <c r="X4" s="1509"/>
      <c r="Y4" s="3443" t="s">
        <v>2412</v>
      </c>
      <c r="Z4" s="3444"/>
      <c r="AA4" s="3438" t="s">
        <v>2408</v>
      </c>
      <c r="AB4" s="3439" t="s">
        <v>2409</v>
      </c>
      <c r="AC4" s="3438" t="s">
        <v>2410</v>
      </c>
    </row>
    <row r="5" spans="1:30" ht="15">
      <c r="A5" s="364"/>
      <c r="B5" s="365"/>
      <c r="C5" s="3449" t="s">
        <v>2303</v>
      </c>
      <c r="D5" s="3450"/>
      <c r="E5" s="3447" t="str">
        <f>土地案例!A15</f>
        <v xml:space="preserve">洪河大道与金山路交叉口东南角    </v>
      </c>
      <c r="F5" s="3448"/>
      <c r="G5" s="3449" t="str">
        <f>土地案例!A16</f>
        <v xml:space="preserve">洪河大道与金山路交叉口西南角    </v>
      </c>
      <c r="H5" s="3450"/>
      <c r="I5" s="3449" t="str">
        <f>土地案例!A25</f>
        <v xml:space="preserve">薄山路与交通路交叉口西南侧    </v>
      </c>
      <c r="J5" s="3450"/>
      <c r="K5" s="567"/>
      <c r="L5" s="2914"/>
      <c r="M5" s="2915"/>
      <c r="N5" s="2915"/>
      <c r="O5" s="2915"/>
      <c r="P5" s="3462"/>
      <c r="Q5" s="3463"/>
      <c r="R5" s="3445"/>
      <c r="S5" s="3446"/>
      <c r="T5" s="3445"/>
      <c r="U5" s="3446"/>
      <c r="V5" s="3468"/>
      <c r="W5" s="3468"/>
      <c r="X5" s="1509"/>
      <c r="Y5" s="3445"/>
      <c r="Z5" s="3446"/>
      <c r="AA5" s="3439"/>
      <c r="AB5" s="3439"/>
      <c r="AC5" s="3439"/>
    </row>
    <row r="6" spans="1:30" ht="15.75" thickBot="1">
      <c r="A6" s="366"/>
      <c r="B6" s="367"/>
      <c r="C6" s="3451" t="s">
        <v>2307</v>
      </c>
      <c r="D6" s="3452"/>
      <c r="E6" s="3453" t="s">
        <v>2307</v>
      </c>
      <c r="F6" s="3454"/>
      <c r="G6" s="3451" t="s">
        <v>2307</v>
      </c>
      <c r="H6" s="3452"/>
      <c r="I6" s="3451" t="s">
        <v>2307</v>
      </c>
      <c r="J6" s="3452"/>
      <c r="K6" s="567" t="s">
        <v>2308</v>
      </c>
      <c r="L6" s="2914"/>
      <c r="M6" s="2915"/>
      <c r="N6" s="2915"/>
      <c r="O6" s="2915"/>
      <c r="P6" s="3464"/>
      <c r="Q6" s="3465"/>
      <c r="R6" s="3445"/>
      <c r="S6" s="3446"/>
      <c r="T6" s="3466"/>
      <c r="U6" s="3467"/>
      <c r="V6" s="3468"/>
      <c r="W6" s="3468"/>
      <c r="X6" s="1509"/>
      <c r="Y6" s="3466"/>
      <c r="Z6" s="3467"/>
      <c r="AA6" s="3440"/>
      <c r="AB6" s="3440"/>
      <c r="AC6" s="3440"/>
    </row>
    <row r="7" spans="1:30" s="113" customFormat="1" ht="15.75" thickBot="1">
      <c r="A7" s="368" t="s">
        <v>2309</v>
      </c>
      <c r="B7" s="369"/>
      <c r="C7" s="370">
        <f>'数据-取费表'!B2</f>
        <v>44579</v>
      </c>
      <c r="D7" s="371">
        <v>100</v>
      </c>
      <c r="E7" s="372">
        <f>土地案例!AA15</f>
        <v>44347.000497685185</v>
      </c>
      <c r="F7" s="373">
        <f>SUMIF(70:70,YEAR(E7)&amp;"-"&amp;INT((MONTH(E7)+2)/3),71:71)</f>
        <v>98.5</v>
      </c>
      <c r="G7" s="2130">
        <f>土地案例!AA16</f>
        <v>44347.000497685185</v>
      </c>
      <c r="H7" s="371">
        <f>SUMIF(70:70,YEAR(G7)&amp;"-"&amp;INT((MONTH(G7)+2)/3),71:71)</f>
        <v>98.5</v>
      </c>
      <c r="I7" s="2130">
        <f>土地案例!AA34</f>
        <v>44068.000497685185</v>
      </c>
      <c r="J7" s="371">
        <f>SUMIF(70:70,YEAR(I7)&amp;"-"&amp;INT((MONTH(I7)+2)/3),71:71)</f>
        <v>97</v>
      </c>
      <c r="K7" s="568"/>
      <c r="L7" s="2916"/>
      <c r="M7" s="2917"/>
      <c r="N7" s="2917"/>
      <c r="O7" s="2917"/>
      <c r="P7" s="3441" t="s">
        <v>2310</v>
      </c>
      <c r="Q7" s="3469"/>
      <c r="R7" s="710" t="s">
        <v>17</v>
      </c>
      <c r="S7" s="711">
        <f t="shared" ref="S7:S15" si="0">F7</f>
        <v>98.5</v>
      </c>
      <c r="T7" s="710" t="s">
        <v>17</v>
      </c>
      <c r="U7" s="711">
        <f t="shared" ref="U7:U15" si="1">H7</f>
        <v>98.5</v>
      </c>
      <c r="V7" s="710" t="s">
        <v>17</v>
      </c>
      <c r="W7" s="711">
        <f t="shared" ref="W7:W15" si="2">J7</f>
        <v>97</v>
      </c>
      <c r="X7" s="712"/>
      <c r="Y7" s="3441" t="s">
        <v>2310</v>
      </c>
      <c r="Z7" s="3442"/>
      <c r="AA7" s="713">
        <f>D7/F7</f>
        <v>1.015228426395939</v>
      </c>
      <c r="AB7" s="713">
        <f>D7/H7</f>
        <v>1.015228426395939</v>
      </c>
      <c r="AC7" s="713">
        <f>D7/J7</f>
        <v>1.0309278350515463</v>
      </c>
    </row>
    <row r="8" spans="1:30" s="113" customFormat="1" ht="15.75" thickBot="1">
      <c r="A8" s="368" t="s">
        <v>2311</v>
      </c>
      <c r="B8" s="369"/>
      <c r="C8" s="374" t="s">
        <v>2312</v>
      </c>
      <c r="D8" s="371">
        <v>100</v>
      </c>
      <c r="E8" s="374" t="s">
        <v>3141</v>
      </c>
      <c r="F8" s="373">
        <f>SUMIF(73:73,E8,74:74)-SUMIF(73:73,C8,74:74)+100</f>
        <v>100</v>
      </c>
      <c r="G8" s="374" t="s">
        <v>3141</v>
      </c>
      <c r="H8" s="371">
        <f>SUMIF(73:73,G8,74:74)-SUMIF(73:73,C8,74:74)+100</f>
        <v>100</v>
      </c>
      <c r="I8" s="374" t="s">
        <v>3141</v>
      </c>
      <c r="J8" s="371">
        <f>SUMIF(73:73,I8,74:74)-SUMIF(73:73,C8,74:74)+100</f>
        <v>100</v>
      </c>
      <c r="K8" s="568"/>
      <c r="L8" s="2916"/>
      <c r="M8" s="2917"/>
      <c r="N8" s="2917"/>
      <c r="O8" s="2917"/>
      <c r="P8" s="3441" t="s">
        <v>2313</v>
      </c>
      <c r="Q8" s="3442"/>
      <c r="R8" s="710" t="s">
        <v>17</v>
      </c>
      <c r="S8" s="711">
        <f t="shared" si="0"/>
        <v>100</v>
      </c>
      <c r="T8" s="710" t="s">
        <v>17</v>
      </c>
      <c r="U8" s="711">
        <f t="shared" si="1"/>
        <v>100</v>
      </c>
      <c r="V8" s="710" t="s">
        <v>17</v>
      </c>
      <c r="W8" s="711">
        <f t="shared" si="2"/>
        <v>100</v>
      </c>
      <c r="X8" s="712"/>
      <c r="Y8" s="3441" t="s">
        <v>2313</v>
      </c>
      <c r="Z8" s="344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73" t="s">
        <v>2316</v>
      </c>
      <c r="Q9" s="1497" t="str">
        <f t="shared" ref="Q9:Q15" si="6">B9</f>
        <v>用途</v>
      </c>
      <c r="R9" s="710" t="s">
        <v>17</v>
      </c>
      <c r="S9" s="711">
        <f t="shared" si="0"/>
        <v>100</v>
      </c>
      <c r="T9" s="710" t="s">
        <v>17</v>
      </c>
      <c r="U9" s="711">
        <f t="shared" si="1"/>
        <v>100</v>
      </c>
      <c r="V9" s="710" t="s">
        <v>17</v>
      </c>
      <c r="W9" s="711">
        <f t="shared" si="2"/>
        <v>100</v>
      </c>
      <c r="X9" s="712"/>
      <c r="Y9" s="338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101</v>
      </c>
      <c r="G10" s="422"/>
      <c r="H10" s="132">
        <f>ROUND(100/'数据-取费表'!G16,0)</f>
        <v>101</v>
      </c>
      <c r="I10" s="422"/>
      <c r="J10" s="132">
        <f>ROUND(100/'数据-取费表'!G16,0)</f>
        <v>101</v>
      </c>
      <c r="K10" s="628"/>
      <c r="L10" s="2918"/>
      <c r="M10" s="2919"/>
      <c r="N10" s="2919"/>
      <c r="O10" s="2972"/>
      <c r="P10" s="3473"/>
      <c r="Q10" s="1497" t="str">
        <f t="shared" si="6"/>
        <v>土地使用年限（年）</v>
      </c>
      <c r="R10" s="710" t="s">
        <v>17</v>
      </c>
      <c r="S10" s="711">
        <f t="shared" si="0"/>
        <v>101</v>
      </c>
      <c r="T10" s="710" t="s">
        <v>17</v>
      </c>
      <c r="U10" s="711">
        <f t="shared" si="1"/>
        <v>101</v>
      </c>
      <c r="V10" s="710" t="s">
        <v>17</v>
      </c>
      <c r="W10" s="711">
        <f t="shared" si="2"/>
        <v>101</v>
      </c>
      <c r="X10" s="712"/>
      <c r="Y10" s="3385"/>
      <c r="Z10" s="55" t="str">
        <f t="shared" si="7"/>
        <v>土地使用年限（年）</v>
      </c>
      <c r="AA10" s="713">
        <f t="shared" si="3"/>
        <v>0.99009900990099009</v>
      </c>
      <c r="AB10" s="713">
        <f t="shared" si="4"/>
        <v>0.99009900990099009</v>
      </c>
      <c r="AC10" s="713">
        <f t="shared" si="5"/>
        <v>0.99009900990099009</v>
      </c>
    </row>
    <row r="11" spans="1:30" ht="15">
      <c r="A11" s="387"/>
      <c r="B11" s="381" t="s">
        <v>2319</v>
      </c>
      <c r="C11" s="388"/>
      <c r="D11" s="132">
        <v>100</v>
      </c>
      <c r="E11" s="388"/>
      <c r="F11" s="132">
        <f>LOOKUP(E11,80:80,81:81)-LOOKUP(C11,80:80,81:81)+100</f>
        <v>100</v>
      </c>
      <c r="G11" s="389"/>
      <c r="H11" s="132">
        <f>LOOKUP(G11,80:80,81:81)-LOOKUP(C11,80:80,81:81)+100</f>
        <v>100</v>
      </c>
      <c r="I11" s="388"/>
      <c r="J11" s="132">
        <f>LOOKUP(I11,80:80,81:81)-LOOKUP(C11,80:80,81:81)+100</f>
        <v>100</v>
      </c>
      <c r="K11" s="629"/>
      <c r="L11" s="2920"/>
      <c r="M11" s="2915"/>
      <c r="N11" s="2915"/>
      <c r="O11" s="2973"/>
      <c r="P11" s="3473"/>
      <c r="Q11" s="1497" t="str">
        <f t="shared" si="6"/>
        <v>容积率</v>
      </c>
      <c r="R11" s="710" t="s">
        <v>17</v>
      </c>
      <c r="S11" s="711">
        <f t="shared" si="0"/>
        <v>100</v>
      </c>
      <c r="T11" s="710" t="s">
        <v>17</v>
      </c>
      <c r="U11" s="711">
        <f t="shared" si="1"/>
        <v>100</v>
      </c>
      <c r="V11" s="710" t="s">
        <v>17</v>
      </c>
      <c r="W11" s="711">
        <f t="shared" si="2"/>
        <v>100</v>
      </c>
      <c r="X11" s="712"/>
      <c r="Y11" s="3385"/>
      <c r="Z11" s="55" t="str">
        <f t="shared" si="7"/>
        <v>容积率</v>
      </c>
      <c r="AA11" s="713">
        <f t="shared" si="3"/>
        <v>1</v>
      </c>
      <c r="AB11" s="713">
        <f t="shared" si="4"/>
        <v>1</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73"/>
      <c r="Q12" s="1497" t="str">
        <f t="shared" si="6"/>
        <v>配建</v>
      </c>
      <c r="R12" s="710" t="s">
        <v>17</v>
      </c>
      <c r="S12" s="711">
        <f t="shared" si="0"/>
        <v>100</v>
      </c>
      <c r="T12" s="710" t="s">
        <v>17</v>
      </c>
      <c r="U12" s="711">
        <f t="shared" si="1"/>
        <v>100</v>
      </c>
      <c r="V12" s="710" t="s">
        <v>17</v>
      </c>
      <c r="W12" s="711">
        <f t="shared" si="2"/>
        <v>100</v>
      </c>
      <c r="X12" s="712"/>
      <c r="Y12" s="338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73"/>
      <c r="Q13" s="1497">
        <f t="shared" si="6"/>
        <v>111</v>
      </c>
      <c r="R13" s="710" t="s">
        <v>17</v>
      </c>
      <c r="S13" s="711">
        <f t="shared" si="0"/>
        <v>100</v>
      </c>
      <c r="T13" s="710" t="s">
        <v>17</v>
      </c>
      <c r="U13" s="711">
        <f t="shared" si="1"/>
        <v>100</v>
      </c>
      <c r="V13" s="710" t="s">
        <v>17</v>
      </c>
      <c r="W13" s="711">
        <f t="shared" si="2"/>
        <v>100</v>
      </c>
      <c r="X13" s="712"/>
      <c r="Y13" s="338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73"/>
      <c r="Q14" s="1497">
        <f t="shared" si="6"/>
        <v>111</v>
      </c>
      <c r="R14" s="710" t="s">
        <v>17</v>
      </c>
      <c r="S14" s="711">
        <f t="shared" si="0"/>
        <v>100</v>
      </c>
      <c r="T14" s="710" t="s">
        <v>17</v>
      </c>
      <c r="U14" s="711">
        <f t="shared" si="1"/>
        <v>100</v>
      </c>
      <c r="V14" s="710" t="s">
        <v>17</v>
      </c>
      <c r="W14" s="711">
        <f t="shared" si="2"/>
        <v>100</v>
      </c>
      <c r="X14" s="712"/>
      <c r="Y14" s="3385"/>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105</v>
      </c>
      <c r="G15" s="401"/>
      <c r="H15" s="400">
        <f>SUMIF(88:88,G16,89:89)-SUMIF(88:88,C16,89:89)+100</f>
        <v>105</v>
      </c>
      <c r="I15" s="403"/>
      <c r="J15" s="400">
        <f>SUMIF(88:88,I16,89:89)-SUMIF(88:88,C16,89:89)+100</f>
        <v>105</v>
      </c>
      <c r="K15" s="629">
        <v>5</v>
      </c>
      <c r="L15" s="2921"/>
      <c r="M15" s="2915"/>
      <c r="N15" s="2915"/>
      <c r="O15" s="2973"/>
      <c r="P15" s="3475" t="s">
        <v>2321</v>
      </c>
      <c r="Q15" s="1506" t="str">
        <f t="shared" si="6"/>
        <v>居住社区成熟度</v>
      </c>
      <c r="R15" s="714" t="s">
        <v>17</v>
      </c>
      <c r="S15" s="715">
        <f t="shared" si="0"/>
        <v>105</v>
      </c>
      <c r="T15" s="714" t="s">
        <v>17</v>
      </c>
      <c r="U15" s="715">
        <f t="shared" si="1"/>
        <v>105</v>
      </c>
      <c r="V15" s="714" t="s">
        <v>17</v>
      </c>
      <c r="W15" s="715">
        <f t="shared" si="2"/>
        <v>105</v>
      </c>
      <c r="X15" s="1509"/>
      <c r="Y15" s="3475" t="s">
        <v>2321</v>
      </c>
      <c r="Z15" s="1510" t="str">
        <f t="shared" si="7"/>
        <v>居住社区成熟度</v>
      </c>
      <c r="AA15" s="1507">
        <f t="shared" si="3"/>
        <v>0.95238095238095233</v>
      </c>
      <c r="AB15" s="1507">
        <f t="shared" si="4"/>
        <v>0.95238095238095233</v>
      </c>
      <c r="AC15" s="1507">
        <f t="shared" si="5"/>
        <v>0.95238095238095233</v>
      </c>
    </row>
    <row r="16" spans="1:30" ht="15">
      <c r="A16" s="387"/>
      <c r="B16" s="405"/>
      <c r="C16" s="406" t="s">
        <v>3497</v>
      </c>
      <c r="D16" s="407"/>
      <c r="E16" s="2054" t="s">
        <v>3498</v>
      </c>
      <c r="F16" s="407"/>
      <c r="G16" s="2054" t="s">
        <v>3498</v>
      </c>
      <c r="H16" s="409"/>
      <c r="I16" s="2054" t="s">
        <v>3498</v>
      </c>
      <c r="J16" s="407"/>
      <c r="K16" s="628"/>
      <c r="L16" s="2921"/>
      <c r="M16" s="2915"/>
      <c r="N16" s="2915"/>
      <c r="O16" s="2973"/>
      <c r="P16" s="3476"/>
      <c r="Q16" s="1506"/>
      <c r="R16" s="714"/>
      <c r="S16" s="715"/>
      <c r="T16" s="714"/>
      <c r="U16" s="715"/>
      <c r="V16" s="714"/>
      <c r="W16" s="715"/>
      <c r="X16" s="1509"/>
      <c r="Y16" s="3476"/>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76"/>
      <c r="Q17" s="1506" t="str">
        <f>B17</f>
        <v>商业繁华度</v>
      </c>
      <c r="R17" s="714" t="s">
        <v>17</v>
      </c>
      <c r="S17" s="715">
        <f>F17</f>
        <v>100</v>
      </c>
      <c r="T17" s="714" t="s">
        <v>17</v>
      </c>
      <c r="U17" s="715">
        <f>H17</f>
        <v>100</v>
      </c>
      <c r="V17" s="714" t="s">
        <v>17</v>
      </c>
      <c r="W17" s="715">
        <f>J17</f>
        <v>100</v>
      </c>
      <c r="X17" s="1509"/>
      <c r="Y17" s="347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76"/>
      <c r="Q18" s="1506"/>
      <c r="R18" s="714"/>
      <c r="S18" s="715"/>
      <c r="T18" s="714"/>
      <c r="U18" s="715"/>
      <c r="V18" s="714"/>
      <c r="W18" s="715"/>
      <c r="X18" s="1509"/>
      <c r="Y18" s="3476"/>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76"/>
      <c r="Q19" s="1506" t="str">
        <f>B19</f>
        <v>办公集聚程度</v>
      </c>
      <c r="R19" s="714" t="s">
        <v>17</v>
      </c>
      <c r="S19" s="715">
        <f>F19</f>
        <v>100</v>
      </c>
      <c r="T19" s="714" t="s">
        <v>17</v>
      </c>
      <c r="U19" s="715">
        <f>H19</f>
        <v>100</v>
      </c>
      <c r="V19" s="714" t="s">
        <v>17</v>
      </c>
      <c r="W19" s="715">
        <f>J19</f>
        <v>100</v>
      </c>
      <c r="X19" s="1509"/>
      <c r="Y19" s="347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76"/>
      <c r="Q20" s="1506"/>
      <c r="R20" s="714"/>
      <c r="S20" s="715"/>
      <c r="T20" s="714"/>
      <c r="U20" s="715"/>
      <c r="V20" s="714"/>
      <c r="W20" s="715"/>
      <c r="X20" s="1509"/>
      <c r="Y20" s="3476"/>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105</v>
      </c>
      <c r="G21" s="411"/>
      <c r="H21" s="409">
        <f>SUMIF(94:94,G22,95:95)-SUMIF(94:94,C22,95:95)+100</f>
        <v>105</v>
      </c>
      <c r="I21" s="413"/>
      <c r="J21" s="409">
        <f>SUMIF(94:94,I22,95:95)-SUMIF(94:94,C22,95:95)+100</f>
        <v>105</v>
      </c>
      <c r="K21" s="629">
        <v>5</v>
      </c>
      <c r="L21" s="2921"/>
      <c r="M21" s="2915"/>
      <c r="N21" s="2915"/>
      <c r="O21" s="2973"/>
      <c r="P21" s="3476"/>
      <c r="Q21" s="1506" t="str">
        <f>B21</f>
        <v>交通便捷度</v>
      </c>
      <c r="R21" s="714" t="s">
        <v>17</v>
      </c>
      <c r="S21" s="715">
        <f>F21</f>
        <v>105</v>
      </c>
      <c r="T21" s="714" t="s">
        <v>17</v>
      </c>
      <c r="U21" s="715">
        <f>H21</f>
        <v>105</v>
      </c>
      <c r="V21" s="714" t="s">
        <v>17</v>
      </c>
      <c r="W21" s="715">
        <f>J21</f>
        <v>105</v>
      </c>
      <c r="X21" s="1509"/>
      <c r="Y21" s="3476"/>
      <c r="Z21" s="1510" t="str">
        <f>Q21</f>
        <v>交通便捷度</v>
      </c>
      <c r="AA21" s="1507">
        <f t="shared" si="3"/>
        <v>0.95238095238095233</v>
      </c>
      <c r="AB21" s="1507">
        <f t="shared" si="4"/>
        <v>0.95238095238095233</v>
      </c>
      <c r="AC21" s="1507">
        <f t="shared" si="5"/>
        <v>0.95238095238095233</v>
      </c>
    </row>
    <row r="22" spans="1:29" ht="15">
      <c r="A22" s="387"/>
      <c r="B22" s="1265"/>
      <c r="C22" s="406" t="s">
        <v>3497</v>
      </c>
      <c r="D22" s="409"/>
      <c r="E22" s="2054" t="s">
        <v>3498</v>
      </c>
      <c r="F22" s="407"/>
      <c r="G22" s="2054" t="s">
        <v>3498</v>
      </c>
      <c r="H22" s="407"/>
      <c r="I22" s="2054" t="s">
        <v>3498</v>
      </c>
      <c r="J22" s="407"/>
      <c r="K22" s="628"/>
      <c r="L22" s="2921"/>
      <c r="M22" s="2915"/>
      <c r="N22" s="2915"/>
      <c r="O22" s="2973"/>
      <c r="P22" s="3476"/>
      <c r="Q22" s="1506"/>
      <c r="R22" s="714"/>
      <c r="S22" s="715"/>
      <c r="T22" s="714"/>
      <c r="U22" s="715"/>
      <c r="V22" s="714"/>
      <c r="W22" s="715"/>
      <c r="X22" s="1509"/>
      <c r="Y22" s="3476"/>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76"/>
      <c r="Q23" s="1506" t="str">
        <f t="shared" ref="Q23:Q37" si="8">B23</f>
        <v>区域土地利用方向</v>
      </c>
      <c r="R23" s="714" t="s">
        <v>17</v>
      </c>
      <c r="S23" s="715">
        <f>F23</f>
        <v>100</v>
      </c>
      <c r="T23" s="714" t="s">
        <v>17</v>
      </c>
      <c r="U23" s="715">
        <f>H23</f>
        <v>100</v>
      </c>
      <c r="V23" s="714" t="s">
        <v>17</v>
      </c>
      <c r="W23" s="715">
        <f>J23</f>
        <v>100</v>
      </c>
      <c r="X23" s="1509"/>
      <c r="Y23" s="347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76"/>
      <c r="Q24" s="1506"/>
      <c r="R24" s="714"/>
      <c r="S24" s="715"/>
      <c r="T24" s="714"/>
      <c r="U24" s="715"/>
      <c r="V24" s="714"/>
      <c r="W24" s="715"/>
      <c r="X24" s="1509"/>
      <c r="Y24" s="3476"/>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105</v>
      </c>
      <c r="G25" s="411"/>
      <c r="H25" s="409">
        <f>SUMIF(98:98,G26,99:99)-SUMIF(98:98,C26,99:99)+100</f>
        <v>105</v>
      </c>
      <c r="I25" s="413"/>
      <c r="J25" s="409">
        <f>SUMIF(98:98,I26,99:99)-SUMIF(98:98,C26,99:99)+100</f>
        <v>105</v>
      </c>
      <c r="K25" s="629">
        <v>5</v>
      </c>
      <c r="L25" s="2921"/>
      <c r="M25" s="2915"/>
      <c r="N25" s="2915"/>
      <c r="O25" s="2973"/>
      <c r="P25" s="3476"/>
      <c r="Q25" s="1506" t="str">
        <f t="shared" si="8"/>
        <v>自然及人文环境状况</v>
      </c>
      <c r="R25" s="714" t="s">
        <v>17</v>
      </c>
      <c r="S25" s="715">
        <f>F25</f>
        <v>105</v>
      </c>
      <c r="T25" s="714" t="s">
        <v>17</v>
      </c>
      <c r="U25" s="715">
        <f>H25</f>
        <v>105</v>
      </c>
      <c r="V25" s="714" t="s">
        <v>17</v>
      </c>
      <c r="W25" s="715">
        <f>J25</f>
        <v>105</v>
      </c>
      <c r="X25" s="1509"/>
      <c r="Y25" s="3476"/>
      <c r="Z25" s="1510" t="str">
        <f>Q25</f>
        <v>自然及人文环境状况</v>
      </c>
      <c r="AA25" s="1507">
        <f t="shared" si="3"/>
        <v>0.95238095238095233</v>
      </c>
      <c r="AB25" s="1507">
        <f t="shared" si="4"/>
        <v>0.95238095238095233</v>
      </c>
      <c r="AC25" s="1507">
        <f t="shared" si="5"/>
        <v>0.95238095238095233</v>
      </c>
    </row>
    <row r="26" spans="1:29" ht="15">
      <c r="A26" s="364"/>
      <c r="B26" s="415"/>
      <c r="C26" s="406" t="s">
        <v>3497</v>
      </c>
      <c r="D26" s="407"/>
      <c r="E26" s="2054" t="s">
        <v>3498</v>
      </c>
      <c r="F26" s="407"/>
      <c r="G26" s="2054" t="s">
        <v>3498</v>
      </c>
      <c r="H26" s="407"/>
      <c r="I26" s="2054" t="s">
        <v>3498</v>
      </c>
      <c r="J26" s="407"/>
      <c r="K26" s="628"/>
      <c r="L26" s="2921"/>
      <c r="M26" s="2915"/>
      <c r="N26" s="2915"/>
      <c r="O26" s="2973"/>
      <c r="P26" s="3476"/>
      <c r="Q26" s="1506"/>
      <c r="R26" s="714"/>
      <c r="S26" s="715"/>
      <c r="T26" s="714"/>
      <c r="U26" s="715"/>
      <c r="V26" s="714"/>
      <c r="W26" s="715"/>
      <c r="X26" s="1509"/>
      <c r="Y26" s="3476"/>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103</v>
      </c>
      <c r="G27" s="411"/>
      <c r="H27" s="409">
        <f>SUMIF(100:100,G28,101:101)-SUMIF(100:100,C28,101:101)+100</f>
        <v>103</v>
      </c>
      <c r="I27" s="413"/>
      <c r="J27" s="409">
        <f>SUMIF(100:100,I28,101:101)-SUMIF(100:100,C28,101:101)+100</f>
        <v>103</v>
      </c>
      <c r="K27" s="629">
        <v>3</v>
      </c>
      <c r="L27" s="2916"/>
      <c r="M27" s="2917"/>
      <c r="N27" s="2917"/>
      <c r="O27" s="2971"/>
      <c r="P27" s="3476"/>
      <c r="Q27" s="1497" t="str">
        <f t="shared" si="8"/>
        <v>公共配套设施</v>
      </c>
      <c r="R27" s="710" t="s">
        <v>17</v>
      </c>
      <c r="S27" s="711">
        <f>F27</f>
        <v>103</v>
      </c>
      <c r="T27" s="710" t="s">
        <v>17</v>
      </c>
      <c r="U27" s="711">
        <f>H27</f>
        <v>103</v>
      </c>
      <c r="V27" s="710" t="s">
        <v>17</v>
      </c>
      <c r="W27" s="711">
        <f>J27</f>
        <v>103</v>
      </c>
      <c r="X27" s="712"/>
      <c r="Y27" s="3476"/>
      <c r="Z27" s="55" t="str">
        <f>Q27</f>
        <v>公共配套设施</v>
      </c>
      <c r="AA27" s="1507">
        <f>D27/F27</f>
        <v>0.970873786407767</v>
      </c>
      <c r="AB27" s="1507">
        <f>D27/H27</f>
        <v>0.970873786407767</v>
      </c>
      <c r="AC27" s="1507">
        <f>D27/J27</f>
        <v>0.970873786407767</v>
      </c>
    </row>
    <row r="28" spans="1:29" s="113" customFormat="1" ht="15">
      <c r="A28" s="605"/>
      <c r="B28" s="415"/>
      <c r="C28" s="2134" t="s">
        <v>3497</v>
      </c>
      <c r="D28" s="407"/>
      <c r="E28" s="2054" t="s">
        <v>3498</v>
      </c>
      <c r="F28" s="407"/>
      <c r="G28" s="2054" t="s">
        <v>3498</v>
      </c>
      <c r="H28" s="407"/>
      <c r="I28" s="2054" t="s">
        <v>3498</v>
      </c>
      <c r="J28" s="407"/>
      <c r="K28" s="628"/>
      <c r="L28" s="2916"/>
      <c r="M28" s="2917"/>
      <c r="N28" s="2917"/>
      <c r="O28" s="2971"/>
      <c r="P28" s="3476"/>
      <c r="Q28" s="1497"/>
      <c r="R28" s="710"/>
      <c r="S28" s="711"/>
      <c r="T28" s="710"/>
      <c r="U28" s="711"/>
      <c r="V28" s="710"/>
      <c r="W28" s="711"/>
      <c r="X28" s="712"/>
      <c r="Y28" s="3476"/>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76"/>
      <c r="Q29" s="1497" t="str">
        <f t="shared" ref="Q29" si="9">B29</f>
        <v>基础设施水平</v>
      </c>
      <c r="R29" s="710" t="s">
        <v>17</v>
      </c>
      <c r="S29" s="711">
        <f>F29</f>
        <v>100</v>
      </c>
      <c r="T29" s="710" t="s">
        <v>17</v>
      </c>
      <c r="U29" s="711">
        <f>H29</f>
        <v>100</v>
      </c>
      <c r="V29" s="710" t="s">
        <v>17</v>
      </c>
      <c r="W29" s="711">
        <f>J29</f>
        <v>100</v>
      </c>
      <c r="X29" s="712"/>
      <c r="Y29" s="347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76"/>
      <c r="Q30" s="1497"/>
      <c r="R30" s="710"/>
      <c r="S30" s="711"/>
      <c r="T30" s="710"/>
      <c r="U30" s="711"/>
      <c r="V30" s="710"/>
      <c r="W30" s="711"/>
      <c r="X30" s="712"/>
      <c r="Y30" s="3476"/>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7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6"/>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76"/>
      <c r="Q32" s="1506" t="str">
        <f t="shared" si="8"/>
        <v>毗邻道路的类型与等级</v>
      </c>
      <c r="R32" s="714" t="s">
        <v>17</v>
      </c>
      <c r="S32" s="715">
        <f t="shared" si="10"/>
        <v>100</v>
      </c>
      <c r="T32" s="714" t="s">
        <v>17</v>
      </c>
      <c r="U32" s="715">
        <f t="shared" si="11"/>
        <v>100</v>
      </c>
      <c r="V32" s="714" t="s">
        <v>17</v>
      </c>
      <c r="W32" s="715">
        <f t="shared" si="12"/>
        <v>100</v>
      </c>
      <c r="X32" s="1509"/>
      <c r="Y32" s="347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76"/>
      <c r="Q33" s="1506"/>
      <c r="R33" s="714"/>
      <c r="S33" s="715"/>
      <c r="T33" s="714"/>
      <c r="U33" s="715"/>
      <c r="V33" s="714"/>
      <c r="W33" s="715"/>
      <c r="X33" s="1509"/>
      <c r="Y33" s="3476"/>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76"/>
      <c r="Q34" s="1506" t="str">
        <f t="shared" si="8"/>
        <v>土地级别</v>
      </c>
      <c r="R34" s="714" t="s">
        <v>17</v>
      </c>
      <c r="S34" s="715">
        <f t="shared" si="10"/>
        <v>100</v>
      </c>
      <c r="T34" s="714" t="s">
        <v>17</v>
      </c>
      <c r="U34" s="715">
        <f t="shared" si="11"/>
        <v>100</v>
      </c>
      <c r="V34" s="714" t="s">
        <v>17</v>
      </c>
      <c r="W34" s="715">
        <f t="shared" si="12"/>
        <v>100</v>
      </c>
      <c r="X34" s="1509"/>
      <c r="Y34" s="347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76"/>
      <c r="Q35" s="1506">
        <f t="shared" si="8"/>
        <v>111</v>
      </c>
      <c r="R35" s="714" t="s">
        <v>17</v>
      </c>
      <c r="S35" s="715">
        <f t="shared" si="10"/>
        <v>100</v>
      </c>
      <c r="T35" s="714" t="s">
        <v>17</v>
      </c>
      <c r="U35" s="715">
        <f t="shared" si="11"/>
        <v>100</v>
      </c>
      <c r="V35" s="714" t="s">
        <v>17</v>
      </c>
      <c r="W35" s="715">
        <f t="shared" si="12"/>
        <v>100</v>
      </c>
      <c r="X35" s="1509"/>
      <c r="Y35" s="347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9" t="s">
        <v>2326</v>
      </c>
      <c r="Q36" s="1506">
        <f t="shared" si="8"/>
        <v>111</v>
      </c>
      <c r="R36" s="714" t="s">
        <v>17</v>
      </c>
      <c r="S36" s="715">
        <f t="shared" si="10"/>
        <v>100</v>
      </c>
      <c r="T36" s="714" t="s">
        <v>17</v>
      </c>
      <c r="U36" s="715">
        <f t="shared" si="11"/>
        <v>100</v>
      </c>
      <c r="V36" s="714" t="s">
        <v>17</v>
      </c>
      <c r="W36" s="715">
        <f t="shared" si="12"/>
        <v>100</v>
      </c>
      <c r="X36" s="1509"/>
      <c r="Y36" s="3480"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80"/>
      <c r="Q37" s="1506">
        <f t="shared" si="8"/>
        <v>111</v>
      </c>
      <c r="R37" s="717" t="s">
        <v>17</v>
      </c>
      <c r="S37" s="718">
        <f t="shared" si="10"/>
        <v>100</v>
      </c>
      <c r="T37" s="717" t="s">
        <v>17</v>
      </c>
      <c r="U37" s="718">
        <f t="shared" si="11"/>
        <v>100</v>
      </c>
      <c r="V37" s="717" t="s">
        <v>17</v>
      </c>
      <c r="W37" s="718">
        <f t="shared" si="12"/>
        <v>100</v>
      </c>
      <c r="X37" s="719"/>
      <c r="Y37" s="3480"/>
      <c r="Z37" s="720">
        <f t="shared" si="13"/>
        <v>111</v>
      </c>
      <c r="AA37" s="1507">
        <f t="shared" si="3"/>
        <v>1</v>
      </c>
      <c r="AB37" s="1507">
        <f t="shared" si="4"/>
        <v>1</v>
      </c>
      <c r="AC37" s="1507">
        <f t="shared" si="5"/>
        <v>1</v>
      </c>
    </row>
    <row r="38" spans="1:29" ht="15">
      <c r="A38" s="431" t="s">
        <v>2324</v>
      </c>
      <c r="B38" s="415" t="s">
        <v>2512</v>
      </c>
      <c r="C38" s="635"/>
      <c r="D38" s="426">
        <v>100</v>
      </c>
      <c r="E38" s="635"/>
      <c r="F38" s="426">
        <f>LOOKUP(E38,117:117,118:118)-LOOKUP(C38,117:117,118:118)+100</f>
        <v>100</v>
      </c>
      <c r="G38" s="635"/>
      <c r="H38" s="426">
        <f>LOOKUP(G38,117:117,118:118)-LOOKUP(C38,117:117,118:118)+100</f>
        <v>100</v>
      </c>
      <c r="I38" s="487"/>
      <c r="J38" s="426">
        <f>LOOKUP(I38,117:117,118:118)-LOOKUP(C38,117:117,118:118)+100</f>
        <v>100</v>
      </c>
      <c r="K38" s="570"/>
      <c r="L38" s="2921"/>
      <c r="M38" s="2915"/>
      <c r="N38" s="2915"/>
      <c r="O38" s="2973"/>
      <c r="P38" s="3480"/>
      <c r="Q38" s="1506" t="str">
        <f>B38</f>
        <v>宗地面积</v>
      </c>
      <c r="R38" s="714" t="s">
        <v>17</v>
      </c>
      <c r="S38" s="715">
        <f t="shared" si="10"/>
        <v>100</v>
      </c>
      <c r="T38" s="714" t="s">
        <v>17</v>
      </c>
      <c r="U38" s="715">
        <f t="shared" si="11"/>
        <v>100</v>
      </c>
      <c r="V38" s="714" t="s">
        <v>17</v>
      </c>
      <c r="W38" s="715">
        <f t="shared" si="12"/>
        <v>100</v>
      </c>
      <c r="X38" s="1509"/>
      <c r="Y38" s="3480"/>
      <c r="Z38" s="1510" t="str">
        <f t="shared" si="13"/>
        <v>宗地面积</v>
      </c>
      <c r="AA38" s="1507">
        <f t="shared" si="3"/>
        <v>1</v>
      </c>
      <c r="AB38" s="1507">
        <f t="shared" si="4"/>
        <v>1</v>
      </c>
      <c r="AC38" s="1507">
        <f t="shared" si="5"/>
        <v>1</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80"/>
      <c r="Q39" s="1506" t="str">
        <f t="shared" ref="Q39:Q45" si="14">B39</f>
        <v>宗地形状</v>
      </c>
      <c r="R39" s="714" t="s">
        <v>17</v>
      </c>
      <c r="S39" s="715">
        <f t="shared" si="10"/>
        <v>100</v>
      </c>
      <c r="T39" s="714" t="s">
        <v>17</v>
      </c>
      <c r="U39" s="715">
        <f t="shared" si="11"/>
        <v>100</v>
      </c>
      <c r="V39" s="714" t="s">
        <v>17</v>
      </c>
      <c r="W39" s="715">
        <f t="shared" si="12"/>
        <v>100</v>
      </c>
      <c r="X39" s="1509"/>
      <c r="Y39" s="3480"/>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80"/>
      <c r="Q40" s="1506" t="str">
        <f t="shared" si="14"/>
        <v>临街宽度及深度</v>
      </c>
      <c r="R40" s="714" t="s">
        <v>17</v>
      </c>
      <c r="S40" s="715">
        <f t="shared" si="10"/>
        <v>100</v>
      </c>
      <c r="T40" s="714" t="s">
        <v>17</v>
      </c>
      <c r="U40" s="715">
        <f t="shared" si="11"/>
        <v>100</v>
      </c>
      <c r="V40" s="714" t="s">
        <v>17</v>
      </c>
      <c r="W40" s="715">
        <f t="shared" si="12"/>
        <v>100</v>
      </c>
      <c r="X40" s="1509"/>
      <c r="Y40" s="3480"/>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80"/>
      <c r="Q41" s="1506" t="str">
        <f t="shared" si="14"/>
        <v>宗地开发程度</v>
      </c>
      <c r="R41" s="710" t="s">
        <v>17</v>
      </c>
      <c r="S41" s="711">
        <f t="shared" si="10"/>
        <v>100</v>
      </c>
      <c r="T41" s="710" t="s">
        <v>17</v>
      </c>
      <c r="U41" s="711">
        <f t="shared" si="11"/>
        <v>100</v>
      </c>
      <c r="V41" s="710" t="s">
        <v>17</v>
      </c>
      <c r="W41" s="711">
        <f t="shared" si="12"/>
        <v>100</v>
      </c>
      <c r="X41" s="712"/>
      <c r="Y41" s="3480"/>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80" t="s">
        <v>2326</v>
      </c>
      <c r="Q42" s="1506" t="str">
        <f t="shared" si="14"/>
        <v>工程地质条件</v>
      </c>
      <c r="R42" s="714" t="s">
        <v>17</v>
      </c>
      <c r="S42" s="715">
        <f t="shared" si="10"/>
        <v>100</v>
      </c>
      <c r="T42" s="714" t="s">
        <v>17</v>
      </c>
      <c r="U42" s="715">
        <f t="shared" si="11"/>
        <v>100</v>
      </c>
      <c r="V42" s="714" t="s">
        <v>17</v>
      </c>
      <c r="W42" s="715">
        <f t="shared" si="12"/>
        <v>100</v>
      </c>
      <c r="X42" s="1509"/>
      <c r="Y42" s="3480"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80"/>
      <c r="Q43" s="1506">
        <f t="shared" si="14"/>
        <v>111</v>
      </c>
      <c r="R43" s="714" t="s">
        <v>17</v>
      </c>
      <c r="S43" s="715">
        <f t="shared" si="10"/>
        <v>100</v>
      </c>
      <c r="T43" s="714" t="s">
        <v>17</v>
      </c>
      <c r="U43" s="715">
        <f t="shared" si="11"/>
        <v>100</v>
      </c>
      <c r="V43" s="714" t="s">
        <v>17</v>
      </c>
      <c r="W43" s="715">
        <f t="shared" si="12"/>
        <v>100</v>
      </c>
      <c r="X43" s="1509"/>
      <c r="Y43" s="348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80"/>
      <c r="Q44" s="1506">
        <f t="shared" si="14"/>
        <v>111</v>
      </c>
      <c r="R44" s="714" t="s">
        <v>17</v>
      </c>
      <c r="S44" s="715">
        <f t="shared" si="10"/>
        <v>100</v>
      </c>
      <c r="T44" s="714" t="s">
        <v>17</v>
      </c>
      <c r="U44" s="715">
        <f t="shared" si="11"/>
        <v>100</v>
      </c>
      <c r="V44" s="714" t="s">
        <v>17</v>
      </c>
      <c r="W44" s="715">
        <f t="shared" si="12"/>
        <v>100</v>
      </c>
      <c r="X44" s="1509"/>
      <c r="Y44" s="348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80"/>
      <c r="Q45" s="1506">
        <f t="shared" si="14"/>
        <v>111</v>
      </c>
      <c r="R45" s="717" t="s">
        <v>17</v>
      </c>
      <c r="S45" s="718">
        <f t="shared" si="10"/>
        <v>100</v>
      </c>
      <c r="T45" s="717" t="s">
        <v>17</v>
      </c>
      <c r="U45" s="718">
        <f t="shared" si="11"/>
        <v>100</v>
      </c>
      <c r="V45" s="717" t="s">
        <v>17</v>
      </c>
      <c r="W45" s="718">
        <f t="shared" si="12"/>
        <v>100</v>
      </c>
      <c r="X45" s="719"/>
      <c r="Y45" s="3480"/>
      <c r="Z45" s="720">
        <f t="shared" si="13"/>
        <v>111</v>
      </c>
      <c r="AA45" s="1507">
        <f t="shared" si="3"/>
        <v>1</v>
      </c>
      <c r="AB45" s="1507">
        <f t="shared" si="4"/>
        <v>1</v>
      </c>
      <c r="AC45" s="1507">
        <f t="shared" si="5"/>
        <v>1</v>
      </c>
    </row>
    <row r="46" spans="1:29" ht="15">
      <c r="A46" s="438" t="s">
        <v>2481</v>
      </c>
      <c r="B46" s="2138" t="s">
        <v>2517</v>
      </c>
      <c r="C46" s="638" t="s">
        <v>1</v>
      </c>
      <c r="D46" s="440"/>
      <c r="E46" s="441">
        <f>土地案例!AM15</f>
        <v>2192</v>
      </c>
      <c r="F46" s="442"/>
      <c r="G46" s="443">
        <f>土地案例!AM16</f>
        <v>2458</v>
      </c>
      <c r="H46" s="444"/>
      <c r="I46" s="441">
        <f>土地案例!AM34</f>
        <v>1645</v>
      </c>
      <c r="J46" s="444"/>
      <c r="K46" s="723"/>
      <c r="L46" s="2923"/>
      <c r="M46" s="2924"/>
      <c r="N46" s="2915"/>
      <c r="O46" s="2924"/>
      <c r="P46" s="3473" t="str">
        <f>A46</f>
        <v>成交单价</v>
      </c>
      <c r="Q46" s="3473"/>
      <c r="R46" s="3468">
        <f>E46</f>
        <v>2192</v>
      </c>
      <c r="S46" s="3468"/>
      <c r="T46" s="3468">
        <f>G46</f>
        <v>2458</v>
      </c>
      <c r="U46" s="3468"/>
      <c r="V46" s="3468">
        <f>I46</f>
        <v>1645</v>
      </c>
      <c r="W46" s="3468"/>
      <c r="X46" s="699"/>
      <c r="Y46" s="721"/>
      <c r="Z46" s="699"/>
      <c r="AA46" s="699"/>
      <c r="AB46" s="699"/>
      <c r="AC46" s="699"/>
    </row>
    <row r="47" spans="1:29" ht="15.75" thickBot="1">
      <c r="A47" s="445" t="s">
        <v>2430</v>
      </c>
      <c r="B47" s="639"/>
      <c r="C47" s="448">
        <f>R48</f>
        <v>1776</v>
      </c>
      <c r="D47" s="2508" t="s">
        <v>2821</v>
      </c>
      <c r="E47" s="448">
        <f>R47</f>
        <v>1848</v>
      </c>
      <c r="F47" s="2509"/>
      <c r="G47" s="447">
        <f>T47</f>
        <v>2072</v>
      </c>
      <c r="H47" s="2509"/>
      <c r="I47" s="448">
        <f>V47</f>
        <v>1408</v>
      </c>
      <c r="J47" s="2509"/>
      <c r="K47" s="2511">
        <f>F47+H47+J47</f>
        <v>0</v>
      </c>
      <c r="L47" s="2923"/>
      <c r="M47" s="2924"/>
      <c r="N47" s="2924"/>
      <c r="O47" s="2924"/>
      <c r="P47" s="3473" t="str">
        <f>A47</f>
        <v>比较价值（元/平方米）</v>
      </c>
      <c r="Q47" s="3473"/>
      <c r="R47" s="3501">
        <f>ROUND(PRODUCT(R46,AA7:AA45),0)</f>
        <v>1848</v>
      </c>
      <c r="S47" s="3501"/>
      <c r="T47" s="3501">
        <f>ROUND(PRODUCT(T46,AB7:AB45),0)</f>
        <v>2072</v>
      </c>
      <c r="U47" s="3501"/>
      <c r="V47" s="3501">
        <f>ROUND(PRODUCT(V46,AC7:AC45),0)</f>
        <v>1408</v>
      </c>
      <c r="W47" s="3501"/>
      <c r="X47" s="699"/>
      <c r="Y47" s="699"/>
      <c r="Z47" s="699"/>
      <c r="AA47" s="699"/>
      <c r="AB47" s="699"/>
      <c r="AC47" s="699"/>
    </row>
    <row r="48" spans="1:29" ht="15.75" thickBot="1">
      <c r="A48" s="449" t="s">
        <v>2518</v>
      </c>
      <c r="B48" s="450"/>
      <c r="C48" s="451">
        <f>R48</f>
        <v>1776</v>
      </c>
      <c r="D48" s="451"/>
      <c r="E48" s="451"/>
      <c r="F48" s="451"/>
      <c r="G48" s="451"/>
      <c r="H48" s="451"/>
      <c r="I48" s="451"/>
      <c r="J48" s="451"/>
      <c r="K48" s="724"/>
      <c r="L48" s="2923"/>
      <c r="M48" s="2924"/>
      <c r="N48" s="2924"/>
      <c r="O48" s="2924"/>
      <c r="P48" s="3470" t="str">
        <f>A48</f>
        <v>估价对象XX用房的比较价值（楼面单价，元/平方米）</v>
      </c>
      <c r="Q48" s="3471"/>
      <c r="R48" s="3502">
        <f>ROUND(IF(D47="简单平均",AVERAGE(R47:W47),R47*F47+T47*H47+V47*J47),0)</f>
        <v>1776</v>
      </c>
      <c r="S48" s="3502"/>
      <c r="T48" s="3502"/>
      <c r="U48" s="3502"/>
      <c r="V48" s="3502"/>
      <c r="W48" s="350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f>IF(E46&lt;E47,E47/E46-1,E46/E47-1)</f>
        <v>0.18614718614718617</v>
      </c>
      <c r="F51" s="457" t="str">
        <f>IF(OR(E51&gt;=0.3,E51&lt;=-0.3),"超过30%","")</f>
        <v/>
      </c>
      <c r="G51" s="456">
        <f>IF(G46&lt;G47,G47/G46-1,G46/G47-1)</f>
        <v>0.18629343629343631</v>
      </c>
      <c r="H51" s="457" t="str">
        <f>IF(OR(G51&gt;=0.3,G51&lt;=-0.3),"超过30%","")</f>
        <v/>
      </c>
      <c r="I51" s="456">
        <f>IF(I46&lt;I47,I47/I46-1,I46/I47-1)</f>
        <v>0.16832386363636354</v>
      </c>
      <c r="J51" s="457" t="str">
        <f>IF(OR(I51&gt;=0.3,I51&lt;=-0.3),"超过30%","")</f>
        <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f>IF(E47&lt;G47,G47/E47-1,E47/G47-1)</f>
        <v>0.1212121212121211</v>
      </c>
      <c r="F52" s="457" t="str">
        <f>IF(OR(E52&gt;=0.2,E52&lt;=-0.2),"超过20%","")</f>
        <v/>
      </c>
      <c r="G52" s="456">
        <f>IF(G47&lt;I47,I47/G47-1,G47/I47-1)</f>
        <v>0.47159090909090917</v>
      </c>
      <c r="H52" s="457" t="str">
        <f>IF(OR(G52&gt;=0.2,G52&lt;=-0.2),"超过20%","")</f>
        <v>超过20%</v>
      </c>
      <c r="I52" s="456">
        <f>IF(I47&lt;E47,E47/I47-1,I47/E47-1)</f>
        <v>0.3125</v>
      </c>
      <c r="J52" s="457" t="str">
        <f>IF(OR(I52&gt;=0.2,I52&lt;=-0.2),"超过20%","")</f>
        <v>超过20%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f>IF(E46&lt;G46,G46/E46-1,E46/G46-1)</f>
        <v>0.12135036496350371</v>
      </c>
      <c r="F53" s="457" t="str">
        <f>IF(OR(E53&gt;=0.3,E53&lt;=-0.3),"超过30%","")</f>
        <v/>
      </c>
      <c r="G53" s="456">
        <f>IF(G46&lt;I46,I46/G46-1,G46/I46-1)</f>
        <v>0.49422492401215812</v>
      </c>
      <c r="H53" s="457" t="str">
        <f>IF(OR(G53&gt;=0.3,G53&lt;=-0.3),"超过30%","")</f>
        <v>超过30%</v>
      </c>
      <c r="I53" s="456">
        <f>IF(I46&lt;E46,E46/I46-1,I46/E46-1)</f>
        <v>0.33252279635258364</v>
      </c>
      <c r="J53" s="457" t="str">
        <f>IF(OR(I53&gt;=0.3,I53&lt;=-0.3),"超过30%","")</f>
        <v>超过30%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56" t="s">
        <v>2525</v>
      </c>
      <c r="H55" s="3503"/>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f>C48</f>
        <v>1776</v>
      </c>
      <c r="C56" s="646">
        <v>1</v>
      </c>
      <c r="D56" s="1075">
        <v>1</v>
      </c>
      <c r="E56" s="646">
        <f>'数据-汇总表'!E8+'数据-汇总表'!E9</f>
        <v>38556.25</v>
      </c>
      <c r="F56" s="1017">
        <f t="shared" ref="F56:F65" si="15">ROUND(B56*E56/10000,0)</f>
        <v>6848</v>
      </c>
      <c r="G56" s="3455"/>
      <c r="H56" s="3473"/>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f>ROUND($C$48*C57*D57,0)</f>
        <v>0</v>
      </c>
      <c r="C57" s="176">
        <f t="shared" ref="C57:C65" si="16">IF($C$55="北京市系数",I57,J57)</f>
        <v>0</v>
      </c>
      <c r="D57" s="1076">
        <v>0.25</v>
      </c>
      <c r="E57" s="650"/>
      <c r="F57" s="1017">
        <f t="shared" si="15"/>
        <v>0</v>
      </c>
      <c r="G57" s="3504"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f t="shared" ref="B58:B65" si="17">ROUND($C$48*C58*D58,0)</f>
        <v>0</v>
      </c>
      <c r="C58" s="176">
        <f t="shared" si="16"/>
        <v>0</v>
      </c>
      <c r="D58" s="1076">
        <v>0.25</v>
      </c>
      <c r="E58" s="650"/>
      <c r="F58" s="1017">
        <f t="shared" si="15"/>
        <v>0</v>
      </c>
      <c r="G58" s="3504"/>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f t="shared" si="17"/>
        <v>0</v>
      </c>
      <c r="C59" s="176">
        <f t="shared" si="16"/>
        <v>0</v>
      </c>
      <c r="D59" s="1076">
        <v>0.25</v>
      </c>
      <c r="E59" s="650"/>
      <c r="F59" s="1017">
        <f t="shared" si="15"/>
        <v>0</v>
      </c>
      <c r="G59" s="3504"/>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f t="shared" si="17"/>
        <v>0</v>
      </c>
      <c r="C60" s="176">
        <f t="shared" si="16"/>
        <v>0</v>
      </c>
      <c r="D60" s="1076">
        <v>0.25</v>
      </c>
      <c r="E60" s="650"/>
      <c r="F60" s="1017">
        <f t="shared" si="15"/>
        <v>0</v>
      </c>
      <c r="G60" s="3504"/>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f t="shared" si="17"/>
        <v>0</v>
      </c>
      <c r="C64" s="176">
        <f t="shared" si="16"/>
        <v>0</v>
      </c>
      <c r="D64" s="1076">
        <v>0.25</v>
      </c>
      <c r="E64" s="223">
        <f>'数据-汇总表'!E14</f>
        <v>0</v>
      </c>
      <c r="F64" s="1017">
        <f t="shared" si="15"/>
        <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38556.25</v>
      </c>
      <c r="F66" s="653">
        <f>IF(B46="楼面地价",SUM(F56:F65),ROUND(C48*E66/10000,0))</f>
        <v>6848</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0（含）-</v>
      </c>
      <c r="D79" s="504" t="str">
        <f t="shared" ref="D79:L79" si="21">D80&amp;"（含）"&amp;"-"&amp;E80</f>
        <v>（含）-</v>
      </c>
      <c r="E79" s="504" t="str">
        <f t="shared" si="21"/>
        <v>（含）-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v>0</v>
      </c>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95</v>
      </c>
      <c r="E89" s="501">
        <f>D89-$K15</f>
        <v>90</v>
      </c>
      <c r="F89" s="501">
        <f>E89-$K15</f>
        <v>85</v>
      </c>
      <c r="G89" s="501">
        <f>F89-$K15</f>
        <v>80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95</v>
      </c>
      <c r="E95" s="501">
        <f>D95-$K21</f>
        <v>90</v>
      </c>
      <c r="F95" s="501">
        <f>E95-$K21</f>
        <v>85</v>
      </c>
      <c r="G95" s="501">
        <f>F95-$K21</f>
        <v>80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95</v>
      </c>
      <c r="E99" s="501">
        <f>D99-$K25</f>
        <v>90</v>
      </c>
      <c r="F99" s="501">
        <f>E99-$K25</f>
        <v>85</v>
      </c>
      <c r="G99" s="501">
        <f>F99-$K25</f>
        <v>80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0(含)-</v>
      </c>
      <c r="D116" s="486" t="str">
        <f t="shared" ref="D116:M116" si="26">D117&amp;"(含)"&amp;"-"&amp;E117</f>
        <v>(含)-</v>
      </c>
      <c r="E116" s="486" t="str">
        <f t="shared" si="26"/>
        <v>(含)-</v>
      </c>
      <c r="F116" s="486" t="str">
        <f t="shared" si="26"/>
        <v>(含)-</v>
      </c>
      <c r="G116" s="486" t="str">
        <f t="shared" si="26"/>
        <v>(含)-</v>
      </c>
      <c r="H116" s="486" t="str">
        <f t="shared" si="26"/>
        <v>(含)-</v>
      </c>
      <c r="I116" s="486" t="str">
        <f t="shared" si="26"/>
        <v>(含)-</v>
      </c>
      <c r="J116" s="486" t="str">
        <f t="shared" si="26"/>
        <v>(含)-</v>
      </c>
      <c r="K116" s="486" t="str">
        <f t="shared" si="26"/>
        <v>(含)-</v>
      </c>
      <c r="L116" s="486" t="str">
        <f t="shared" si="26"/>
        <v>(含)-</v>
      </c>
      <c r="M116" s="486" t="str">
        <f t="shared" si="26"/>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v>0</v>
      </c>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6" t="s">
        <v>2407</v>
      </c>
      <c r="D4" s="3457"/>
      <c r="E4" s="3458" t="s">
        <v>2408</v>
      </c>
      <c r="F4" s="3459"/>
      <c r="G4" s="3456" t="s">
        <v>2409</v>
      </c>
      <c r="H4" s="3457"/>
      <c r="I4" s="3456" t="s">
        <v>2410</v>
      </c>
      <c r="J4" s="3457"/>
      <c r="K4" s="567" t="s">
        <v>2411</v>
      </c>
      <c r="L4" s="2914"/>
      <c r="M4" s="2915"/>
      <c r="N4" s="2915"/>
      <c r="O4" s="2915"/>
      <c r="P4" s="3460" t="s">
        <v>2412</v>
      </c>
      <c r="Q4" s="3461"/>
      <c r="R4" s="3443" t="s">
        <v>2408</v>
      </c>
      <c r="S4" s="3444"/>
      <c r="T4" s="3443" t="s">
        <v>2409</v>
      </c>
      <c r="U4" s="3444"/>
      <c r="V4" s="3468" t="s">
        <v>2410</v>
      </c>
      <c r="W4" s="3468"/>
      <c r="X4" s="1509"/>
      <c r="Y4" s="3443" t="s">
        <v>2412</v>
      </c>
      <c r="Z4" s="3444"/>
      <c r="AA4" s="3438" t="s">
        <v>2408</v>
      </c>
      <c r="AB4" s="3439" t="s">
        <v>2409</v>
      </c>
      <c r="AC4" s="3438" t="s">
        <v>2410</v>
      </c>
    </row>
    <row r="5" spans="1:29" ht="15">
      <c r="A5" s="364"/>
      <c r="B5" s="365"/>
      <c r="C5" s="3449" t="s">
        <v>2303</v>
      </c>
      <c r="D5" s="3450"/>
      <c r="E5" s="3447" t="s">
        <v>2304</v>
      </c>
      <c r="F5" s="3448"/>
      <c r="G5" s="3449" t="s">
        <v>2305</v>
      </c>
      <c r="H5" s="3450"/>
      <c r="I5" s="3449" t="s">
        <v>2306</v>
      </c>
      <c r="J5" s="3450"/>
      <c r="K5" s="567"/>
      <c r="L5" s="2914"/>
      <c r="M5" s="2915"/>
      <c r="N5" s="2915"/>
      <c r="O5" s="2915"/>
      <c r="P5" s="3462"/>
      <c r="Q5" s="3463"/>
      <c r="R5" s="3445"/>
      <c r="S5" s="3446"/>
      <c r="T5" s="3445"/>
      <c r="U5" s="3446"/>
      <c r="V5" s="3468"/>
      <c r="W5" s="3468"/>
      <c r="X5" s="1509"/>
      <c r="Y5" s="3445"/>
      <c r="Z5" s="3446"/>
      <c r="AA5" s="3439"/>
      <c r="AB5" s="3439"/>
      <c r="AC5" s="3439"/>
    </row>
    <row r="6" spans="1:29" ht="15.75" thickBot="1">
      <c r="A6" s="366"/>
      <c r="B6" s="367"/>
      <c r="C6" s="3505" t="s">
        <v>2558</v>
      </c>
      <c r="D6" s="3506"/>
      <c r="E6" s="3507" t="s">
        <v>2558</v>
      </c>
      <c r="F6" s="3508"/>
      <c r="G6" s="3505" t="s">
        <v>2558</v>
      </c>
      <c r="H6" s="3506"/>
      <c r="I6" s="3505" t="s">
        <v>2558</v>
      </c>
      <c r="J6" s="3506"/>
      <c r="K6" s="567" t="s">
        <v>2308</v>
      </c>
      <c r="L6" s="2914"/>
      <c r="M6" s="2915"/>
      <c r="N6" s="2915"/>
      <c r="O6" s="2915"/>
      <c r="P6" s="3464"/>
      <c r="Q6" s="3465"/>
      <c r="R6" s="3445"/>
      <c r="S6" s="3446"/>
      <c r="T6" s="3466"/>
      <c r="U6" s="3467"/>
      <c r="V6" s="3468"/>
      <c r="W6" s="3468"/>
      <c r="X6" s="1509"/>
      <c r="Y6" s="3466"/>
      <c r="Z6" s="3467"/>
      <c r="AA6" s="3440"/>
      <c r="AB6" s="3440"/>
      <c r="AC6" s="3440"/>
    </row>
    <row r="7" spans="1:29" s="113" customFormat="1" ht="15.75" thickBot="1">
      <c r="A7" s="368" t="s">
        <v>2309</v>
      </c>
      <c r="B7" s="369"/>
      <c r="C7" s="370">
        <f>'数据-取费表'!B2</f>
        <v>44579</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41" t="s">
        <v>2310</v>
      </c>
      <c r="Q7" s="3469"/>
      <c r="R7" s="710" t="s">
        <v>17</v>
      </c>
      <c r="S7" s="711">
        <f t="shared" ref="S7:S15" si="0">F7</f>
        <v>0</v>
      </c>
      <c r="T7" s="710" t="s">
        <v>17</v>
      </c>
      <c r="U7" s="711">
        <f t="shared" ref="U7:U15" si="1">H7</f>
        <v>0</v>
      </c>
      <c r="V7" s="710" t="s">
        <v>17</v>
      </c>
      <c r="W7" s="711">
        <f t="shared" ref="W7:W15" si="2">J7</f>
        <v>0</v>
      </c>
      <c r="X7" s="712"/>
      <c r="Y7" s="3441" t="s">
        <v>2310</v>
      </c>
      <c r="Z7" s="3442"/>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41" t="s">
        <v>2313</v>
      </c>
      <c r="Q8" s="3442"/>
      <c r="R8" s="710" t="s">
        <v>17</v>
      </c>
      <c r="S8" s="711">
        <f t="shared" si="0"/>
        <v>0</v>
      </c>
      <c r="T8" s="710" t="s">
        <v>17</v>
      </c>
      <c r="U8" s="711">
        <f t="shared" si="1"/>
        <v>0</v>
      </c>
      <c r="V8" s="710" t="s">
        <v>17</v>
      </c>
      <c r="W8" s="711">
        <f t="shared" si="2"/>
        <v>0</v>
      </c>
      <c r="X8" s="712"/>
      <c r="Y8" s="3441" t="s">
        <v>2313</v>
      </c>
      <c r="Z8" s="3442"/>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73" t="s">
        <v>2316</v>
      </c>
      <c r="Q9" s="1497" t="str">
        <f t="shared" ref="Q9:Q15" si="6">B9</f>
        <v>用途</v>
      </c>
      <c r="R9" s="710" t="s">
        <v>17</v>
      </c>
      <c r="S9" s="711">
        <f t="shared" si="0"/>
        <v>100</v>
      </c>
      <c r="T9" s="710" t="s">
        <v>17</v>
      </c>
      <c r="U9" s="711">
        <f t="shared" si="1"/>
        <v>100</v>
      </c>
      <c r="V9" s="710" t="s">
        <v>17</v>
      </c>
      <c r="W9" s="711">
        <f t="shared" si="2"/>
        <v>100</v>
      </c>
      <c r="X9" s="712"/>
      <c r="Y9" s="338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101</v>
      </c>
      <c r="G10" s="391"/>
      <c r="H10" s="132">
        <f>ROUND(100/'数据-取费表'!G16,0)</f>
        <v>101</v>
      </c>
      <c r="I10" s="391"/>
      <c r="J10" s="132">
        <f>ROUND(100/'数据-取费表'!G16,0)</f>
        <v>101</v>
      </c>
      <c r="K10" s="628"/>
      <c r="L10" s="2918"/>
      <c r="M10" s="2919"/>
      <c r="N10" s="2919"/>
      <c r="O10" s="2972"/>
      <c r="P10" s="3473"/>
      <c r="Q10" s="1497" t="str">
        <f t="shared" si="6"/>
        <v>土地使用年限（年）</v>
      </c>
      <c r="R10" s="710" t="s">
        <v>17</v>
      </c>
      <c r="S10" s="711">
        <f t="shared" si="0"/>
        <v>101</v>
      </c>
      <c r="T10" s="710" t="s">
        <v>17</v>
      </c>
      <c r="U10" s="711">
        <f t="shared" si="1"/>
        <v>101</v>
      </c>
      <c r="V10" s="710" t="s">
        <v>17</v>
      </c>
      <c r="W10" s="711">
        <f t="shared" si="2"/>
        <v>101</v>
      </c>
      <c r="X10" s="712"/>
      <c r="Y10" s="3385"/>
      <c r="Z10" s="55" t="str">
        <f t="shared" si="7"/>
        <v>土地使用年限（年）</v>
      </c>
      <c r="AA10" s="713">
        <f t="shared" si="3"/>
        <v>0.99009900990099009</v>
      </c>
      <c r="AB10" s="713">
        <f t="shared" si="4"/>
        <v>0.99009900990099009</v>
      </c>
      <c r="AC10" s="713">
        <f t="shared" si="5"/>
        <v>0.99009900990099009</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73"/>
      <c r="Q11" s="1497" t="str">
        <f t="shared" si="6"/>
        <v>容积率</v>
      </c>
      <c r="R11" s="710" t="s">
        <v>17</v>
      </c>
      <c r="S11" s="711" t="e">
        <f t="shared" si="0"/>
        <v>#N/A</v>
      </c>
      <c r="T11" s="710" t="s">
        <v>17</v>
      </c>
      <c r="U11" s="711" t="e">
        <f t="shared" si="1"/>
        <v>#N/A</v>
      </c>
      <c r="V11" s="710" t="s">
        <v>17</v>
      </c>
      <c r="W11" s="711" t="e">
        <f t="shared" si="2"/>
        <v>#N/A</v>
      </c>
      <c r="X11" s="712"/>
      <c r="Y11" s="338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73"/>
      <c r="Q12" s="1497">
        <f t="shared" si="6"/>
        <v>111</v>
      </c>
      <c r="R12" s="710" t="s">
        <v>17</v>
      </c>
      <c r="S12" s="711">
        <f t="shared" si="0"/>
        <v>100</v>
      </c>
      <c r="T12" s="710" t="s">
        <v>17</v>
      </c>
      <c r="U12" s="711">
        <f t="shared" si="1"/>
        <v>100</v>
      </c>
      <c r="V12" s="710" t="s">
        <v>17</v>
      </c>
      <c r="W12" s="711">
        <f t="shared" si="2"/>
        <v>100</v>
      </c>
      <c r="X12" s="712"/>
      <c r="Y12" s="338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73"/>
      <c r="Q13" s="1497">
        <f t="shared" si="6"/>
        <v>111</v>
      </c>
      <c r="R13" s="710" t="s">
        <v>17</v>
      </c>
      <c r="S13" s="711">
        <f t="shared" si="0"/>
        <v>100</v>
      </c>
      <c r="T13" s="710" t="s">
        <v>17</v>
      </c>
      <c r="U13" s="711">
        <f t="shared" si="1"/>
        <v>100</v>
      </c>
      <c r="V13" s="710" t="s">
        <v>17</v>
      </c>
      <c r="W13" s="711">
        <f t="shared" si="2"/>
        <v>100</v>
      </c>
      <c r="X13" s="712"/>
      <c r="Y13" s="338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73"/>
      <c r="Q14" s="1497">
        <f t="shared" si="6"/>
        <v>111</v>
      </c>
      <c r="R14" s="710" t="s">
        <v>17</v>
      </c>
      <c r="S14" s="711">
        <f t="shared" si="0"/>
        <v>100</v>
      </c>
      <c r="T14" s="710" t="s">
        <v>17</v>
      </c>
      <c r="U14" s="711">
        <f t="shared" si="1"/>
        <v>100</v>
      </c>
      <c r="V14" s="710" t="s">
        <v>17</v>
      </c>
      <c r="W14" s="711">
        <f t="shared" si="2"/>
        <v>100</v>
      </c>
      <c r="X14" s="712"/>
      <c r="Y14" s="3385"/>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75" t="s">
        <v>2321</v>
      </c>
      <c r="Q15" s="1506" t="str">
        <f t="shared" si="6"/>
        <v>产业集聚程度</v>
      </c>
      <c r="R15" s="714" t="s">
        <v>17</v>
      </c>
      <c r="S15" s="715">
        <f t="shared" si="0"/>
        <v>100</v>
      </c>
      <c r="T15" s="714" t="s">
        <v>17</v>
      </c>
      <c r="U15" s="715">
        <f t="shared" si="1"/>
        <v>100</v>
      </c>
      <c r="V15" s="714" t="s">
        <v>17</v>
      </c>
      <c r="W15" s="715">
        <f t="shared" si="2"/>
        <v>100</v>
      </c>
      <c r="X15" s="1509"/>
      <c r="Y15" s="3475"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76"/>
      <c r="Q16" s="1506"/>
      <c r="R16" s="714"/>
      <c r="S16" s="715"/>
      <c r="T16" s="714"/>
      <c r="U16" s="715"/>
      <c r="V16" s="714"/>
      <c r="W16" s="715"/>
      <c r="X16" s="1509"/>
      <c r="Y16" s="3476"/>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76"/>
      <c r="Q17" s="1506" t="str">
        <f>B17</f>
        <v>交通便捷度</v>
      </c>
      <c r="R17" s="714" t="s">
        <v>17</v>
      </c>
      <c r="S17" s="715">
        <f>F17</f>
        <v>100</v>
      </c>
      <c r="T17" s="714" t="s">
        <v>17</v>
      </c>
      <c r="U17" s="715">
        <f>H17</f>
        <v>100</v>
      </c>
      <c r="V17" s="714" t="s">
        <v>17</v>
      </c>
      <c r="W17" s="715">
        <f>J17</f>
        <v>100</v>
      </c>
      <c r="X17" s="1509"/>
      <c r="Y17" s="3476"/>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76"/>
      <c r="Q18" s="1506"/>
      <c r="R18" s="714"/>
      <c r="S18" s="715"/>
      <c r="T18" s="714"/>
      <c r="U18" s="715"/>
      <c r="V18" s="714"/>
      <c r="W18" s="715"/>
      <c r="X18" s="1509"/>
      <c r="Y18" s="3476"/>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76"/>
      <c r="Q19" s="1506" t="str">
        <f t="shared" ref="Q19:Q33" si="8">B19</f>
        <v>区域土地利用方向</v>
      </c>
      <c r="R19" s="714" t="s">
        <v>17</v>
      </c>
      <c r="S19" s="715">
        <f>F19</f>
        <v>100</v>
      </c>
      <c r="T19" s="714" t="s">
        <v>17</v>
      </c>
      <c r="U19" s="715">
        <f>H19</f>
        <v>100</v>
      </c>
      <c r="V19" s="714" t="s">
        <v>17</v>
      </c>
      <c r="W19" s="715">
        <f>J19</f>
        <v>100</v>
      </c>
      <c r="X19" s="1509"/>
      <c r="Y19" s="3476"/>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76"/>
      <c r="Q20" s="1506"/>
      <c r="R20" s="714"/>
      <c r="S20" s="715"/>
      <c r="T20" s="714"/>
      <c r="U20" s="715"/>
      <c r="V20" s="714"/>
      <c r="W20" s="715"/>
      <c r="X20" s="1509"/>
      <c r="Y20" s="3476"/>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76"/>
      <c r="Q21" s="1506" t="str">
        <f t="shared" si="8"/>
        <v>环境状况</v>
      </c>
      <c r="R21" s="714" t="s">
        <v>17</v>
      </c>
      <c r="S21" s="715">
        <f>F21</f>
        <v>100</v>
      </c>
      <c r="T21" s="714" t="s">
        <v>17</v>
      </c>
      <c r="U21" s="715">
        <f>H21</f>
        <v>100</v>
      </c>
      <c r="V21" s="714" t="s">
        <v>17</v>
      </c>
      <c r="W21" s="715">
        <f>J21</f>
        <v>100</v>
      </c>
      <c r="X21" s="1509"/>
      <c r="Y21" s="3476"/>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76"/>
      <c r="Q22" s="1506"/>
      <c r="R22" s="714"/>
      <c r="S22" s="715"/>
      <c r="T22" s="714"/>
      <c r="U22" s="715"/>
      <c r="V22" s="714"/>
      <c r="W22" s="715"/>
      <c r="X22" s="1509"/>
      <c r="Y22" s="3476"/>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76"/>
      <c r="Q23" s="1497" t="str">
        <f t="shared" si="8"/>
        <v>公共配套设施</v>
      </c>
      <c r="R23" s="710" t="s">
        <v>17</v>
      </c>
      <c r="S23" s="711">
        <f>F23</f>
        <v>100</v>
      </c>
      <c r="T23" s="710" t="s">
        <v>17</v>
      </c>
      <c r="U23" s="711">
        <f>H23</f>
        <v>100</v>
      </c>
      <c r="V23" s="710" t="s">
        <v>17</v>
      </c>
      <c r="W23" s="711">
        <f>J23</f>
        <v>100</v>
      </c>
      <c r="X23" s="712"/>
      <c r="Y23" s="3476"/>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76"/>
      <c r="Q24" s="1497"/>
      <c r="R24" s="710"/>
      <c r="S24" s="711"/>
      <c r="T24" s="710"/>
      <c r="U24" s="711"/>
      <c r="V24" s="710"/>
      <c r="W24" s="711"/>
      <c r="X24" s="712"/>
      <c r="Y24" s="3476"/>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76"/>
      <c r="Q25" s="1497" t="str">
        <f t="shared" ref="Q25" si="9">B25</f>
        <v>基础设施水平</v>
      </c>
      <c r="R25" s="710" t="s">
        <v>17</v>
      </c>
      <c r="S25" s="711">
        <f>F25</f>
        <v>100</v>
      </c>
      <c r="T25" s="710" t="s">
        <v>17</v>
      </c>
      <c r="U25" s="711">
        <f>H25</f>
        <v>100</v>
      </c>
      <c r="V25" s="710" t="s">
        <v>17</v>
      </c>
      <c r="W25" s="711">
        <f>J25</f>
        <v>100</v>
      </c>
      <c r="X25" s="712"/>
      <c r="Y25" s="3476"/>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76"/>
      <c r="Q26" s="1497"/>
      <c r="R26" s="710"/>
      <c r="S26" s="711"/>
      <c r="T26" s="710"/>
      <c r="U26" s="711"/>
      <c r="V26" s="710"/>
      <c r="W26" s="711"/>
      <c r="X26" s="712"/>
      <c r="Y26" s="3476"/>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7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6"/>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76"/>
      <c r="Q28" s="1506" t="str">
        <f t="shared" si="8"/>
        <v>毗邻道路的类型与等级</v>
      </c>
      <c r="R28" s="714" t="s">
        <v>17</v>
      </c>
      <c r="S28" s="715">
        <f t="shared" si="10"/>
        <v>100</v>
      </c>
      <c r="T28" s="714" t="s">
        <v>17</v>
      </c>
      <c r="U28" s="715">
        <f t="shared" si="11"/>
        <v>100</v>
      </c>
      <c r="V28" s="714" t="s">
        <v>17</v>
      </c>
      <c r="W28" s="715">
        <f t="shared" si="12"/>
        <v>100</v>
      </c>
      <c r="X28" s="1509"/>
      <c r="Y28" s="3476"/>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76"/>
      <c r="Q29" s="1506"/>
      <c r="R29" s="714"/>
      <c r="S29" s="715"/>
      <c r="T29" s="714"/>
      <c r="U29" s="715"/>
      <c r="V29" s="714"/>
      <c r="W29" s="715"/>
      <c r="X29" s="1509"/>
      <c r="Y29" s="3476"/>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76"/>
      <c r="Q30" s="1506" t="str">
        <f t="shared" si="8"/>
        <v>土地级别</v>
      </c>
      <c r="R30" s="714" t="s">
        <v>17</v>
      </c>
      <c r="S30" s="715">
        <f t="shared" si="10"/>
        <v>100</v>
      </c>
      <c r="T30" s="714" t="s">
        <v>17</v>
      </c>
      <c r="U30" s="715">
        <f t="shared" si="11"/>
        <v>100</v>
      </c>
      <c r="V30" s="714" t="s">
        <v>17</v>
      </c>
      <c r="W30" s="715">
        <f t="shared" si="12"/>
        <v>100</v>
      </c>
      <c r="X30" s="1509"/>
      <c r="Y30" s="347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76"/>
      <c r="Q31" s="1506">
        <f t="shared" si="8"/>
        <v>111</v>
      </c>
      <c r="R31" s="714" t="s">
        <v>17</v>
      </c>
      <c r="S31" s="715">
        <f t="shared" si="10"/>
        <v>100</v>
      </c>
      <c r="T31" s="714" t="s">
        <v>17</v>
      </c>
      <c r="U31" s="715">
        <f t="shared" si="11"/>
        <v>100</v>
      </c>
      <c r="V31" s="714" t="s">
        <v>17</v>
      </c>
      <c r="W31" s="715">
        <f t="shared" si="12"/>
        <v>100</v>
      </c>
      <c r="X31" s="1509"/>
      <c r="Y31" s="347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9" t="s">
        <v>2326</v>
      </c>
      <c r="Q32" s="1506">
        <f t="shared" si="8"/>
        <v>111</v>
      </c>
      <c r="R32" s="714" t="s">
        <v>17</v>
      </c>
      <c r="S32" s="715">
        <f t="shared" si="10"/>
        <v>100</v>
      </c>
      <c r="T32" s="714" t="s">
        <v>17</v>
      </c>
      <c r="U32" s="715">
        <f t="shared" si="11"/>
        <v>100</v>
      </c>
      <c r="V32" s="714" t="s">
        <v>17</v>
      </c>
      <c r="W32" s="715">
        <f t="shared" si="12"/>
        <v>100</v>
      </c>
      <c r="X32" s="1509"/>
      <c r="Y32" s="3480"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80"/>
      <c r="Q33" s="1506">
        <f t="shared" si="8"/>
        <v>111</v>
      </c>
      <c r="R33" s="717" t="s">
        <v>17</v>
      </c>
      <c r="S33" s="718">
        <f t="shared" si="10"/>
        <v>100</v>
      </c>
      <c r="T33" s="717" t="s">
        <v>17</v>
      </c>
      <c r="U33" s="718">
        <f t="shared" si="11"/>
        <v>100</v>
      </c>
      <c r="V33" s="717" t="s">
        <v>17</v>
      </c>
      <c r="W33" s="718">
        <f t="shared" si="12"/>
        <v>100</v>
      </c>
      <c r="X33" s="719"/>
      <c r="Y33" s="3480"/>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80"/>
      <c r="Q34" s="1506" t="str">
        <f>B34</f>
        <v>宗地面积</v>
      </c>
      <c r="R34" s="714" t="s">
        <v>17</v>
      </c>
      <c r="S34" s="715" t="e">
        <f t="shared" si="10"/>
        <v>#N/A</v>
      </c>
      <c r="T34" s="714" t="s">
        <v>17</v>
      </c>
      <c r="U34" s="715" t="e">
        <f t="shared" si="11"/>
        <v>#N/A</v>
      </c>
      <c r="V34" s="714" t="s">
        <v>17</v>
      </c>
      <c r="W34" s="715" t="e">
        <f t="shared" si="12"/>
        <v>#N/A</v>
      </c>
      <c r="X34" s="1509"/>
      <c r="Y34" s="3480"/>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80"/>
      <c r="Q35" s="1506" t="str">
        <f t="shared" ref="Q35:Q40" si="14">B35</f>
        <v>宗地形状</v>
      </c>
      <c r="R35" s="714" t="s">
        <v>17</v>
      </c>
      <c r="S35" s="715">
        <f t="shared" si="10"/>
        <v>100</v>
      </c>
      <c r="T35" s="714" t="s">
        <v>17</v>
      </c>
      <c r="U35" s="715">
        <f t="shared" si="11"/>
        <v>100</v>
      </c>
      <c r="V35" s="714" t="s">
        <v>17</v>
      </c>
      <c r="W35" s="715">
        <f t="shared" si="12"/>
        <v>100</v>
      </c>
      <c r="X35" s="1509"/>
      <c r="Y35" s="3480"/>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80"/>
      <c r="Q36" s="1506" t="str">
        <f t="shared" si="14"/>
        <v>宗地开发程度</v>
      </c>
      <c r="R36" s="710" t="s">
        <v>17</v>
      </c>
      <c r="S36" s="711">
        <f t="shared" si="10"/>
        <v>100</v>
      </c>
      <c r="T36" s="710" t="s">
        <v>17</v>
      </c>
      <c r="U36" s="711">
        <f t="shared" si="11"/>
        <v>100</v>
      </c>
      <c r="V36" s="710" t="s">
        <v>17</v>
      </c>
      <c r="W36" s="711">
        <f t="shared" si="12"/>
        <v>100</v>
      </c>
      <c r="X36" s="712"/>
      <c r="Y36" s="3480"/>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80" t="s">
        <v>2326</v>
      </c>
      <c r="Q37" s="1506" t="str">
        <f t="shared" si="14"/>
        <v>工程地质条件</v>
      </c>
      <c r="R37" s="714" t="s">
        <v>17</v>
      </c>
      <c r="S37" s="715">
        <f t="shared" si="10"/>
        <v>100</v>
      </c>
      <c r="T37" s="714" t="s">
        <v>17</v>
      </c>
      <c r="U37" s="715">
        <f t="shared" si="11"/>
        <v>100</v>
      </c>
      <c r="V37" s="714" t="s">
        <v>17</v>
      </c>
      <c r="W37" s="715">
        <f t="shared" si="12"/>
        <v>100</v>
      </c>
      <c r="X37" s="1509"/>
      <c r="Y37" s="3480"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80"/>
      <c r="Q38" s="1506">
        <f t="shared" si="14"/>
        <v>111</v>
      </c>
      <c r="R38" s="714" t="s">
        <v>17</v>
      </c>
      <c r="S38" s="715">
        <f t="shared" si="10"/>
        <v>100</v>
      </c>
      <c r="T38" s="714" t="s">
        <v>17</v>
      </c>
      <c r="U38" s="715">
        <f t="shared" si="11"/>
        <v>100</v>
      </c>
      <c r="V38" s="714" t="s">
        <v>17</v>
      </c>
      <c r="W38" s="715">
        <f t="shared" si="12"/>
        <v>100</v>
      </c>
      <c r="X38" s="1509"/>
      <c r="Y38" s="348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80"/>
      <c r="Q39" s="1506">
        <f t="shared" si="14"/>
        <v>111</v>
      </c>
      <c r="R39" s="714" t="s">
        <v>17</v>
      </c>
      <c r="S39" s="715">
        <f t="shared" si="10"/>
        <v>100</v>
      </c>
      <c r="T39" s="714" t="s">
        <v>17</v>
      </c>
      <c r="U39" s="715">
        <f t="shared" si="11"/>
        <v>100</v>
      </c>
      <c r="V39" s="714" t="s">
        <v>17</v>
      </c>
      <c r="W39" s="715">
        <f t="shared" si="12"/>
        <v>100</v>
      </c>
      <c r="X39" s="1509"/>
      <c r="Y39" s="348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80"/>
      <c r="Q40" s="1506">
        <f t="shared" si="14"/>
        <v>111</v>
      </c>
      <c r="R40" s="717" t="s">
        <v>17</v>
      </c>
      <c r="S40" s="718">
        <f t="shared" si="10"/>
        <v>100</v>
      </c>
      <c r="T40" s="717" t="s">
        <v>17</v>
      </c>
      <c r="U40" s="718">
        <f t="shared" si="11"/>
        <v>100</v>
      </c>
      <c r="V40" s="717" t="s">
        <v>17</v>
      </c>
      <c r="W40" s="718">
        <f t="shared" si="12"/>
        <v>100</v>
      </c>
      <c r="X40" s="719"/>
      <c r="Y40" s="3480"/>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73" t="str">
        <f>A41</f>
        <v>成交单价</v>
      </c>
      <c r="Q41" s="3473"/>
      <c r="R41" s="3468">
        <f>E41</f>
        <v>0</v>
      </c>
      <c r="S41" s="3468"/>
      <c r="T41" s="3468">
        <f>G41</f>
        <v>0</v>
      </c>
      <c r="U41" s="3468"/>
      <c r="V41" s="3468">
        <f>I41</f>
        <v>0</v>
      </c>
      <c r="W41" s="3468"/>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73" t="str">
        <f>A42</f>
        <v>比较价值（元/平方米）</v>
      </c>
      <c r="Q42" s="3473"/>
      <c r="R42" s="3501" t="e">
        <f>ROUND(PRODUCT(R41,AA7:AA40),0)</f>
        <v>#DIV/0!</v>
      </c>
      <c r="S42" s="3501"/>
      <c r="T42" s="3501" t="e">
        <f>ROUND(PRODUCT(T41,AB7:AB40),0)</f>
        <v>#DIV/0!</v>
      </c>
      <c r="U42" s="3501"/>
      <c r="V42" s="3501" t="e">
        <f>ROUND(PRODUCT(V41,AC7:AC40),0)</f>
        <v>#DIV/0!</v>
      </c>
      <c r="W42" s="3501"/>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70" t="str">
        <f>A43</f>
        <v>估价对象XX用房的比较价值（楼面单价，元/平方米）</v>
      </c>
      <c r="Q43" s="3471"/>
      <c r="R43" s="3502" t="e">
        <f>ROUND(IF(D42="简单平均",AVERAGE(R42:W42),R42*F42+T42*H42+V42*J42),0)</f>
        <v>#DIV/0!</v>
      </c>
      <c r="S43" s="3502"/>
      <c r="T43" s="3502"/>
      <c r="U43" s="3502"/>
      <c r="V43" s="3502"/>
      <c r="W43" s="350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56" t="s">
        <v>2525</v>
      </c>
      <c r="H50" s="3503"/>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38556.25</v>
      </c>
      <c r="F51" s="647" t="e">
        <f t="shared" ref="F51:F60" si="15">ROUND(B51*E51/10000,0)</f>
        <v>#DIV/0!</v>
      </c>
      <c r="G51" s="3455"/>
      <c r="H51" s="3473"/>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04"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04"/>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04"/>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04"/>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t="e">
        <f>IF(F3="宗地容积率",'数据-汇总表'!I4,IF(F3="估价对象容积率",'数据-汇总表'!I6,'数据-汇总表'!I7))</f>
        <v>#DIV/0!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8"/>
      <c r="B4" s="3529"/>
      <c r="C4" s="3529"/>
      <c r="D4" s="3530"/>
      <c r="E4" s="3530"/>
      <c r="F4" s="3530"/>
      <c r="G4" s="3530"/>
      <c r="H4" s="3530"/>
      <c r="I4" s="3530"/>
      <c r="J4" s="3531"/>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f>G2</f>
        <v>0</v>
      </c>
      <c r="Y7" s="1348" t="s">
        <v>2597</v>
      </c>
      <c r="Z7" s="1349" t="e">
        <f>G3</f>
        <v>#DIV/0!</v>
      </c>
      <c r="AA7" s="1350"/>
      <c r="AB7" s="1350"/>
      <c r="AC7" s="1351"/>
      <c r="AD7" s="1352"/>
      <c r="AE7" s="1352"/>
      <c r="AF7" s="1352"/>
      <c r="AG7" s="1352"/>
      <c r="AH7" s="1352"/>
      <c r="AI7" s="1352"/>
      <c r="AJ7" s="1353"/>
    </row>
    <row r="8" spans="1:36" ht="15">
      <c r="A8" s="3532"/>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5" t="s">
        <v>2601</v>
      </c>
      <c r="X8" s="3526"/>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32"/>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7"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2"/>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2"/>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7" t="s">
        <v>2625</v>
      </c>
      <c r="X11" s="1358" t="s">
        <v>2626</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09"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7"/>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3"/>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527"/>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33"/>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34"/>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9" t="s">
        <v>2644</v>
      </c>
      <c r="B16" s="2179" t="s">
        <v>2645</v>
      </c>
      <c r="C16" s="2341" t="e">
        <f>ROUND(IF(F17="与级别开发程度一致",0,(G17-E17)/C17),0)</f>
        <v>#DIV/0!</v>
      </c>
      <c r="D16" s="3522" t="s">
        <v>2649</v>
      </c>
      <c r="E16" s="3523"/>
      <c r="F16" s="3522" t="s">
        <v>2646</v>
      </c>
      <c r="G16" s="3523"/>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10"/>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44579</v>
      </c>
      <c r="H19" s="2222"/>
      <c r="I19" s="866" t="str">
        <f>IF(H19="季度增幅（自定义）",SUMIF(N21:N24,E2,O21:O24),"")</f>
        <v/>
      </c>
      <c r="J19" s="2219"/>
      <c r="K19" s="1259"/>
      <c r="L19" s="2223" t="s">
        <v>2655</v>
      </c>
      <c r="M19" s="1468">
        <f>ROUND(SUMIF(地价!B2:F2,E2,地价!B37:F37),0)</f>
        <v>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存贷款利率!E18/100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9"/>
      <c r="M22" s="2989"/>
      <c r="N22" s="2237" t="s">
        <v>2669</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9"/>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24"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0"/>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0"/>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2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1"/>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2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1" t="s">
        <v>2732</v>
      </c>
      <c r="B90" s="3511"/>
      <c r="C90" s="3511"/>
      <c r="D90" s="3511"/>
      <c r="E90" s="3511"/>
      <c r="F90" s="3511"/>
      <c r="G90" s="3511"/>
      <c r="H90" s="3511"/>
      <c r="I90" s="3511"/>
      <c r="J90" s="3511"/>
      <c r="K90" s="2313"/>
      <c r="L90" s="2313"/>
      <c r="M90" s="2313"/>
      <c r="N90" s="2313"/>
    </row>
    <row r="91" spans="1:37">
      <c r="A91" s="3513" t="s">
        <v>2733</v>
      </c>
      <c r="B91" s="3513" t="s">
        <v>2734</v>
      </c>
      <c r="C91" s="2267" t="s">
        <v>2735</v>
      </c>
      <c r="D91" s="2268"/>
      <c r="E91" s="2268"/>
      <c r="F91" s="2268"/>
      <c r="G91" s="2268"/>
      <c r="H91" s="2268"/>
      <c r="I91" s="2268"/>
      <c r="J91" s="2314"/>
      <c r="K91" s="2315"/>
      <c r="L91" s="2315"/>
      <c r="M91" s="2315"/>
      <c r="N91" s="2315"/>
    </row>
    <row r="92" spans="1:37">
      <c r="A92" s="3513"/>
      <c r="B92" s="3513"/>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4"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5"/>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4" t="s">
        <v>2737</v>
      </c>
      <c r="B101" s="2320" t="s">
        <v>2738</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15"/>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15"/>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15"/>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15"/>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15"/>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15"/>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15"/>
      <c r="B108" s="3517"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6"/>
      <c r="B109" s="3518"/>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12" t="s">
        <v>2740</v>
      </c>
      <c r="B110" s="3512"/>
      <c r="C110" s="3512"/>
      <c r="D110" s="3512"/>
      <c r="E110" s="3512"/>
      <c r="F110" s="3512"/>
      <c r="G110" s="3512"/>
      <c r="H110" s="3512"/>
      <c r="I110" s="3512"/>
      <c r="J110" s="3512"/>
      <c r="K110" s="2322"/>
      <c r="L110" s="2322"/>
      <c r="M110" s="2322"/>
      <c r="N110" s="2322"/>
    </row>
    <row r="112" spans="1:14" ht="13.5" thickBot="1"/>
    <row r="113" spans="1:13" ht="25.5" thickBot="1">
      <c r="A113" s="842" t="s">
        <v>2741</v>
      </c>
      <c r="B113" s="1197" t="e">
        <f>G3</f>
        <v>#DIV/0!</v>
      </c>
      <c r="C113" s="843" t="s">
        <v>2742</v>
      </c>
      <c r="D113" s="844" t="e">
        <f>SUMPRODUCT((A115:A118=F113)*(B114:M114=H113)*B115:M118)</f>
        <v>#DIV/0!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5" t="s">
        <v>183</v>
      </c>
      <c r="B18" s="821" t="s">
        <v>560</v>
      </c>
      <c r="C18" s="822" t="s">
        <v>561</v>
      </c>
      <c r="D18" s="823"/>
      <c r="E18" s="821">
        <v>1</v>
      </c>
      <c r="F18" s="824" t="s">
        <v>562</v>
      </c>
      <c r="G18" s="825"/>
      <c r="H18" s="817"/>
      <c r="I18" s="817"/>
    </row>
    <row r="19" spans="1:9" s="826" customFormat="1" ht="19.5" customHeight="1">
      <c r="A19" s="3535"/>
      <c r="B19" s="3535" t="s">
        <v>563</v>
      </c>
      <c r="C19" s="822" t="s">
        <v>564</v>
      </c>
      <c r="D19" s="823"/>
      <c r="E19" s="821">
        <v>0.9</v>
      </c>
      <c r="F19" s="824" t="s">
        <v>565</v>
      </c>
      <c r="G19" s="825"/>
      <c r="H19" s="817"/>
      <c r="I19" s="817"/>
    </row>
    <row r="20" spans="1:9" s="826" customFormat="1" ht="19.5" customHeight="1">
      <c r="A20" s="3535"/>
      <c r="B20" s="3535"/>
      <c r="C20" s="822" t="s">
        <v>566</v>
      </c>
      <c r="D20" s="823"/>
      <c r="E20" s="821">
        <v>1.1000000000000001</v>
      </c>
      <c r="F20" s="824" t="s">
        <v>567</v>
      </c>
      <c r="G20" s="825"/>
      <c r="H20" s="817"/>
      <c r="I20" s="817"/>
    </row>
    <row r="21" spans="1:9" s="826" customFormat="1" ht="19.5" customHeight="1">
      <c r="A21" s="3535"/>
      <c r="B21" s="3535"/>
      <c r="C21" s="822" t="s">
        <v>568</v>
      </c>
      <c r="D21" s="823"/>
      <c r="E21" s="821">
        <v>0.8</v>
      </c>
      <c r="F21" s="824" t="s">
        <v>569</v>
      </c>
      <c r="G21" s="825"/>
      <c r="H21" s="817"/>
      <c r="I21" s="817"/>
    </row>
    <row r="22" spans="1:9" s="826" customFormat="1" ht="19.5" customHeight="1">
      <c r="A22" s="3535"/>
      <c r="B22" s="3535"/>
      <c r="C22" s="822" t="s">
        <v>570</v>
      </c>
      <c r="D22" s="823"/>
      <c r="E22" s="821">
        <v>0.5</v>
      </c>
      <c r="F22" s="824"/>
      <c r="G22" s="825"/>
      <c r="H22" s="817"/>
      <c r="I22" s="817"/>
    </row>
    <row r="23" spans="1:9" s="826" customFormat="1" ht="19.5" customHeight="1">
      <c r="A23" s="3535" t="s">
        <v>184</v>
      </c>
      <c r="B23" s="821" t="s">
        <v>560</v>
      </c>
      <c r="C23" s="822" t="s">
        <v>571</v>
      </c>
      <c r="D23" s="823"/>
      <c r="E23" s="821">
        <v>1</v>
      </c>
      <c r="F23" s="824" t="s">
        <v>572</v>
      </c>
      <c r="G23" s="825"/>
      <c r="H23" s="817"/>
      <c r="I23" s="817"/>
    </row>
    <row r="24" spans="1:9" s="826" customFormat="1" ht="19.5" customHeight="1">
      <c r="A24" s="3535"/>
      <c r="B24" s="3535" t="s">
        <v>563</v>
      </c>
      <c r="C24" s="822" t="s">
        <v>573</v>
      </c>
      <c r="D24" s="823"/>
      <c r="E24" s="821">
        <v>0.5</v>
      </c>
      <c r="F24" s="824"/>
      <c r="G24" s="825"/>
      <c r="H24" s="817"/>
      <c r="I24" s="817"/>
    </row>
    <row r="25" spans="1:9" s="826" customFormat="1" ht="19.5" customHeight="1">
      <c r="A25" s="3535"/>
      <c r="B25" s="3535"/>
      <c r="C25" s="822" t="s">
        <v>574</v>
      </c>
      <c r="D25" s="823"/>
      <c r="E25" s="821">
        <v>1.1000000000000001</v>
      </c>
      <c r="F25" s="824"/>
      <c r="G25" s="825"/>
      <c r="H25" s="817"/>
      <c r="I25" s="817"/>
    </row>
    <row r="26" spans="1:9" s="826" customFormat="1" ht="19.5" customHeight="1">
      <c r="A26" s="3535"/>
      <c r="B26" s="3535"/>
      <c r="C26" s="822" t="s">
        <v>575</v>
      </c>
      <c r="D26" s="823"/>
      <c r="E26" s="821">
        <v>1.1000000000000001</v>
      </c>
      <c r="F26" s="824"/>
      <c r="G26" s="825"/>
      <c r="H26" s="817"/>
      <c r="I26" s="817"/>
    </row>
    <row r="27" spans="1:9" s="826" customFormat="1" ht="19.5" customHeight="1">
      <c r="A27" s="3535"/>
      <c r="B27" s="3535"/>
      <c r="C27" s="822" t="s">
        <v>576</v>
      </c>
      <c r="D27" s="823"/>
      <c r="E27" s="821">
        <v>0.9</v>
      </c>
      <c r="F27" s="824" t="s">
        <v>577</v>
      </c>
      <c r="G27" s="825"/>
      <c r="H27" s="817"/>
      <c r="I27" s="817"/>
    </row>
    <row r="28" spans="1:9" s="826" customFormat="1" ht="19.5" customHeight="1">
      <c r="A28" s="3535"/>
      <c r="B28" s="3535"/>
      <c r="C28" s="822" t="s">
        <v>578</v>
      </c>
      <c r="D28" s="823"/>
      <c r="E28" s="821">
        <v>0.9</v>
      </c>
      <c r="F28" s="824" t="s">
        <v>579</v>
      </c>
      <c r="G28" s="825"/>
      <c r="H28" s="817"/>
      <c r="I28" s="817"/>
    </row>
    <row r="29" spans="1:9" s="826" customFormat="1" ht="19.5" customHeight="1">
      <c r="A29" s="3535"/>
      <c r="B29" s="3535"/>
      <c r="C29" s="822" t="s">
        <v>580</v>
      </c>
      <c r="D29" s="823"/>
      <c r="E29" s="821">
        <v>0.9</v>
      </c>
      <c r="F29" s="824" t="s">
        <v>581</v>
      </c>
      <c r="G29" s="825"/>
      <c r="H29" s="817"/>
      <c r="I29" s="817"/>
    </row>
    <row r="30" spans="1:9" s="826" customFormat="1" ht="19.5" customHeight="1">
      <c r="A30" s="3535"/>
      <c r="B30" s="3535"/>
      <c r="C30" s="822" t="s">
        <v>582</v>
      </c>
      <c r="D30" s="823"/>
      <c r="E30" s="821">
        <v>0.9</v>
      </c>
      <c r="F30" s="824" t="s">
        <v>583</v>
      </c>
      <c r="G30" s="825"/>
      <c r="H30" s="817"/>
      <c r="I30" s="817"/>
    </row>
    <row r="31" spans="1:9" s="826" customFormat="1" ht="19.5" customHeight="1">
      <c r="A31" s="3535"/>
      <c r="B31" s="3535"/>
      <c r="C31" s="822" t="s">
        <v>584</v>
      </c>
      <c r="D31" s="823"/>
      <c r="E31" s="821">
        <v>0.8</v>
      </c>
      <c r="F31" s="824" t="s">
        <v>585</v>
      </c>
      <c r="G31" s="825"/>
      <c r="H31" s="817"/>
      <c r="I31" s="817"/>
    </row>
    <row r="32" spans="1:9" s="826" customFormat="1" ht="19.5" customHeight="1">
      <c r="A32" s="3535"/>
      <c r="B32" s="3535"/>
      <c r="C32" s="822" t="s">
        <v>586</v>
      </c>
      <c r="D32" s="823"/>
      <c r="E32" s="821">
        <v>0.8</v>
      </c>
      <c r="F32" s="824" t="s">
        <v>587</v>
      </c>
      <c r="G32" s="825"/>
      <c r="H32" s="817"/>
      <c r="I32" s="817"/>
    </row>
    <row r="33" spans="1:9" s="826" customFormat="1" ht="19.5" customHeight="1">
      <c r="A33" s="3535" t="s">
        <v>185</v>
      </c>
      <c r="B33" s="821" t="s">
        <v>560</v>
      </c>
      <c r="C33" s="822" t="s">
        <v>588</v>
      </c>
      <c r="D33" s="823"/>
      <c r="E33" s="821">
        <v>1</v>
      </c>
      <c r="F33" s="824" t="s">
        <v>589</v>
      </c>
      <c r="G33" s="825"/>
      <c r="H33" s="817"/>
      <c r="I33" s="817"/>
    </row>
    <row r="34" spans="1:9" s="826" customFormat="1" ht="19.5" customHeight="1">
      <c r="A34" s="3535"/>
      <c r="B34" s="821" t="s">
        <v>563</v>
      </c>
      <c r="C34" s="822" t="s">
        <v>590</v>
      </c>
      <c r="D34" s="823"/>
      <c r="E34" s="821">
        <v>1.5</v>
      </c>
      <c r="F34" s="824" t="s">
        <v>591</v>
      </c>
      <c r="G34" s="825"/>
      <c r="H34" s="817"/>
      <c r="I34" s="817"/>
    </row>
    <row r="35" spans="1:9" s="826" customFormat="1" ht="19.5" customHeight="1">
      <c r="A35" s="3535" t="s">
        <v>186</v>
      </c>
      <c r="B35" s="821" t="s">
        <v>560</v>
      </c>
      <c r="C35" s="822" t="s">
        <v>592</v>
      </c>
      <c r="D35" s="823"/>
      <c r="E35" s="821">
        <v>1</v>
      </c>
      <c r="F35" s="824" t="s">
        <v>593</v>
      </c>
      <c r="G35" s="825"/>
      <c r="H35" s="817"/>
      <c r="I35" s="817"/>
    </row>
    <row r="36" spans="1:9" s="826" customFormat="1" ht="19.5" customHeight="1">
      <c r="A36" s="3535"/>
      <c r="B36" s="3535" t="s">
        <v>563</v>
      </c>
      <c r="C36" s="822" t="s">
        <v>594</v>
      </c>
      <c r="D36" s="823"/>
      <c r="E36" s="821">
        <v>1</v>
      </c>
      <c r="F36" s="824" t="s">
        <v>595</v>
      </c>
      <c r="G36" s="825"/>
      <c r="H36" s="817"/>
      <c r="I36" s="817"/>
    </row>
    <row r="37" spans="1:9" s="826" customFormat="1" ht="19.5" customHeight="1">
      <c r="A37" s="3535"/>
      <c r="B37" s="3535"/>
      <c r="C37" s="822" t="s">
        <v>596</v>
      </c>
      <c r="D37" s="823"/>
      <c r="E37" s="821">
        <v>1.5</v>
      </c>
      <c r="F37" s="824" t="s">
        <v>597</v>
      </c>
      <c r="G37" s="825"/>
      <c r="H37" s="817"/>
      <c r="I37" s="817"/>
    </row>
    <row r="38" spans="1:9" s="826" customFormat="1" ht="19.5" customHeight="1">
      <c r="A38" s="3535"/>
      <c r="B38" s="3535"/>
      <c r="C38" s="822" t="s">
        <v>598</v>
      </c>
      <c r="D38" s="823"/>
      <c r="E38" s="821">
        <v>1</v>
      </c>
      <c r="F38" s="824" t="s">
        <v>599</v>
      </c>
      <c r="G38" s="825"/>
      <c r="H38" s="817"/>
      <c r="I38" s="817"/>
    </row>
    <row r="39" spans="1:9" s="826" customFormat="1" ht="19.5" customHeight="1">
      <c r="A39" s="3535"/>
      <c r="B39" s="353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5" t="s">
        <v>614</v>
      </c>
      <c r="C61" s="757" t="s">
        <v>615</v>
      </c>
      <c r="D61" s="757" t="s">
        <v>616</v>
      </c>
      <c r="E61" s="834">
        <v>0.5</v>
      </c>
      <c r="F61" s="821">
        <v>80</v>
      </c>
    </row>
    <row r="62" spans="1:8" s="817" customFormat="1" ht="24">
      <c r="A62" s="821">
        <v>2</v>
      </c>
      <c r="B62" s="3535"/>
      <c r="C62" s="757" t="s">
        <v>617</v>
      </c>
      <c r="D62" s="757" t="s">
        <v>618</v>
      </c>
      <c r="E62" s="834">
        <v>0.5</v>
      </c>
      <c r="F62" s="821">
        <v>80</v>
      </c>
    </row>
    <row r="63" spans="1:8" s="817" customFormat="1" ht="36">
      <c r="A63" s="821">
        <v>3</v>
      </c>
      <c r="B63" s="3535"/>
      <c r="C63" s="757" t="s">
        <v>619</v>
      </c>
      <c r="D63" s="757" t="s">
        <v>620</v>
      </c>
      <c r="E63" s="834">
        <v>0.5</v>
      </c>
      <c r="F63" s="821">
        <v>80</v>
      </c>
    </row>
    <row r="64" spans="1:8" s="817" customFormat="1" ht="36">
      <c r="A64" s="821">
        <v>4</v>
      </c>
      <c r="B64" s="3535"/>
      <c r="C64" s="757" t="s">
        <v>621</v>
      </c>
      <c r="D64" s="757" t="s">
        <v>622</v>
      </c>
      <c r="E64" s="834">
        <v>0.4</v>
      </c>
      <c r="F64" s="821">
        <v>60</v>
      </c>
    </row>
    <row r="65" spans="1:6" s="817" customFormat="1" ht="36">
      <c r="A65" s="821">
        <v>5</v>
      </c>
      <c r="B65" s="3535"/>
      <c r="C65" s="757" t="s">
        <v>623</v>
      </c>
      <c r="D65" s="757" t="s">
        <v>624</v>
      </c>
      <c r="E65" s="834">
        <v>0.2</v>
      </c>
      <c r="F65" s="821">
        <v>30</v>
      </c>
    </row>
    <row r="66" spans="1:6" s="817" customFormat="1" ht="36">
      <c r="A66" s="821">
        <v>6</v>
      </c>
      <c r="B66" s="3535"/>
      <c r="C66" s="757" t="s">
        <v>625</v>
      </c>
      <c r="D66" s="757" t="s">
        <v>626</v>
      </c>
      <c r="E66" s="834">
        <v>0.3</v>
      </c>
      <c r="F66" s="821">
        <v>50</v>
      </c>
    </row>
    <row r="67" spans="1:6" s="817" customFormat="1" ht="36">
      <c r="A67" s="821">
        <v>7</v>
      </c>
      <c r="B67" s="3535"/>
      <c r="C67" s="757" t="s">
        <v>627</v>
      </c>
      <c r="D67" s="757" t="s">
        <v>628</v>
      </c>
      <c r="E67" s="834">
        <v>0.2</v>
      </c>
      <c r="F67" s="821">
        <v>30</v>
      </c>
    </row>
    <row r="68" spans="1:6" s="817" customFormat="1" ht="36">
      <c r="A68" s="821">
        <v>8</v>
      </c>
      <c r="B68" s="3535"/>
      <c r="C68" s="757" t="s">
        <v>629</v>
      </c>
      <c r="D68" s="757" t="s">
        <v>630</v>
      </c>
      <c r="E68" s="834">
        <v>0.2</v>
      </c>
      <c r="F68" s="821">
        <v>30</v>
      </c>
    </row>
    <row r="69" spans="1:6" s="817" customFormat="1" ht="36">
      <c r="A69" s="821">
        <v>9</v>
      </c>
      <c r="B69" s="3535"/>
      <c r="C69" s="757" t="s">
        <v>631</v>
      </c>
      <c r="D69" s="757" t="s">
        <v>632</v>
      </c>
      <c r="E69" s="834">
        <v>0.2</v>
      </c>
      <c r="F69" s="821">
        <v>30</v>
      </c>
    </row>
    <row r="70" spans="1:6" s="817" customFormat="1" ht="48">
      <c r="A70" s="821">
        <v>10</v>
      </c>
      <c r="B70" s="3535"/>
      <c r="C70" s="757" t="s">
        <v>633</v>
      </c>
      <c r="D70" s="757" t="s">
        <v>634</v>
      </c>
      <c r="E70" s="834">
        <v>0.2</v>
      </c>
      <c r="F70" s="821">
        <v>30</v>
      </c>
    </row>
    <row r="71" spans="1:6" s="817" customFormat="1" ht="48">
      <c r="A71" s="821">
        <v>11</v>
      </c>
      <c r="B71" s="3535"/>
      <c r="C71" s="757" t="s">
        <v>635</v>
      </c>
      <c r="D71" s="757" t="s">
        <v>636</v>
      </c>
      <c r="E71" s="834">
        <v>0.2</v>
      </c>
      <c r="F71" s="821">
        <v>30</v>
      </c>
    </row>
    <row r="72" spans="1:6" s="817" customFormat="1" ht="36">
      <c r="A72" s="821">
        <v>12</v>
      </c>
      <c r="B72" s="3535"/>
      <c r="C72" s="757" t="s">
        <v>637</v>
      </c>
      <c r="D72" s="757" t="s">
        <v>638</v>
      </c>
      <c r="E72" s="834">
        <v>0.5</v>
      </c>
      <c r="F72" s="821">
        <v>80</v>
      </c>
    </row>
    <row r="73" spans="1:6" s="817" customFormat="1" ht="24">
      <c r="A73" s="821">
        <v>13</v>
      </c>
      <c r="B73" s="3535"/>
      <c r="C73" s="757" t="s">
        <v>639</v>
      </c>
      <c r="D73" s="757" t="s">
        <v>640</v>
      </c>
      <c r="E73" s="834">
        <v>0.4</v>
      </c>
      <c r="F73" s="821">
        <v>60</v>
      </c>
    </row>
    <row r="74" spans="1:6" s="817" customFormat="1" ht="24">
      <c r="A74" s="821">
        <v>14</v>
      </c>
      <c r="B74" s="3535"/>
      <c r="C74" s="757" t="s">
        <v>641</v>
      </c>
      <c r="D74" s="757" t="s">
        <v>642</v>
      </c>
      <c r="E74" s="834">
        <v>0.2</v>
      </c>
      <c r="F74" s="821">
        <v>30</v>
      </c>
    </row>
    <row r="75" spans="1:6" s="817" customFormat="1" ht="24">
      <c r="A75" s="821">
        <v>15</v>
      </c>
      <c r="B75" s="3535"/>
      <c r="C75" s="757" t="s">
        <v>643</v>
      </c>
      <c r="D75" s="757" t="s">
        <v>644</v>
      </c>
      <c r="E75" s="834">
        <v>0.2</v>
      </c>
      <c r="F75" s="821">
        <v>30</v>
      </c>
    </row>
    <row r="76" spans="1:6" s="817" customFormat="1" ht="24">
      <c r="A76" s="821">
        <v>16</v>
      </c>
      <c r="B76" s="3535" t="s">
        <v>645</v>
      </c>
      <c r="C76" s="757" t="s">
        <v>646</v>
      </c>
      <c r="D76" s="757" t="s">
        <v>647</v>
      </c>
      <c r="E76" s="834">
        <v>0.5</v>
      </c>
      <c r="F76" s="821">
        <v>80</v>
      </c>
    </row>
    <row r="77" spans="1:6" s="817" customFormat="1" ht="24">
      <c r="A77" s="821">
        <v>17</v>
      </c>
      <c r="B77" s="3535"/>
      <c r="C77" s="757" t="s">
        <v>648</v>
      </c>
      <c r="D77" s="757" t="s">
        <v>649</v>
      </c>
      <c r="E77" s="834">
        <v>0.5</v>
      </c>
      <c r="F77" s="821">
        <v>80</v>
      </c>
    </row>
    <row r="78" spans="1:6" s="817" customFormat="1" ht="24">
      <c r="A78" s="821">
        <v>18</v>
      </c>
      <c r="B78" s="3535"/>
      <c r="C78" s="757" t="s">
        <v>650</v>
      </c>
      <c r="D78" s="757" t="s">
        <v>651</v>
      </c>
      <c r="E78" s="834">
        <v>0.2</v>
      </c>
      <c r="F78" s="821">
        <v>30</v>
      </c>
    </row>
    <row r="79" spans="1:6" s="817" customFormat="1" ht="24">
      <c r="A79" s="821">
        <v>19</v>
      </c>
      <c r="B79" s="3535"/>
      <c r="C79" s="757" t="s">
        <v>652</v>
      </c>
      <c r="D79" s="757" t="s">
        <v>653</v>
      </c>
      <c r="E79" s="834">
        <v>0.5</v>
      </c>
      <c r="F79" s="821">
        <v>80</v>
      </c>
    </row>
    <row r="80" spans="1:6" s="817" customFormat="1" ht="36">
      <c r="A80" s="821">
        <v>20</v>
      </c>
      <c r="B80" s="3535"/>
      <c r="C80" s="757" t="s">
        <v>654</v>
      </c>
      <c r="D80" s="757" t="s">
        <v>655</v>
      </c>
      <c r="E80" s="834">
        <v>0.2</v>
      </c>
      <c r="F80" s="821">
        <v>30</v>
      </c>
    </row>
    <row r="81" spans="1:6" s="817" customFormat="1" ht="36">
      <c r="A81" s="821">
        <v>21</v>
      </c>
      <c r="B81" s="3535"/>
      <c r="C81" s="757" t="s">
        <v>656</v>
      </c>
      <c r="D81" s="757" t="s">
        <v>657</v>
      </c>
      <c r="E81" s="834">
        <v>0.2</v>
      </c>
      <c r="F81" s="821">
        <v>30</v>
      </c>
    </row>
    <row r="82" spans="1:6" s="817" customFormat="1" ht="48">
      <c r="A82" s="821">
        <v>22</v>
      </c>
      <c r="B82" s="3535"/>
      <c r="C82" s="757" t="s">
        <v>658</v>
      </c>
      <c r="D82" s="757" t="s">
        <v>659</v>
      </c>
      <c r="E82" s="834">
        <v>0.2</v>
      </c>
      <c r="F82" s="821">
        <v>30</v>
      </c>
    </row>
    <row r="83" spans="1:6" s="817" customFormat="1" ht="48">
      <c r="A83" s="821">
        <v>23</v>
      </c>
      <c r="B83" s="3535"/>
      <c r="C83" s="757" t="s">
        <v>660</v>
      </c>
      <c r="D83" s="757" t="s">
        <v>661</v>
      </c>
      <c r="E83" s="834">
        <v>0.2</v>
      </c>
      <c r="F83" s="821">
        <v>30</v>
      </c>
    </row>
    <row r="84" spans="1:6" s="817" customFormat="1" ht="36">
      <c r="A84" s="821">
        <v>24</v>
      </c>
      <c r="B84" s="3535"/>
      <c r="C84" s="757" t="s">
        <v>662</v>
      </c>
      <c r="D84" s="757" t="s">
        <v>663</v>
      </c>
      <c r="E84" s="834">
        <v>0.2</v>
      </c>
      <c r="F84" s="821">
        <v>30</v>
      </c>
    </row>
    <row r="85" spans="1:6" s="817" customFormat="1" ht="36">
      <c r="A85" s="821">
        <v>25</v>
      </c>
      <c r="B85" s="3535"/>
      <c r="C85" s="757" t="s">
        <v>664</v>
      </c>
      <c r="D85" s="757" t="s">
        <v>665</v>
      </c>
      <c r="E85" s="834">
        <v>0.5</v>
      </c>
      <c r="F85" s="821">
        <v>80</v>
      </c>
    </row>
    <row r="86" spans="1:6" s="817" customFormat="1" ht="36">
      <c r="A86" s="821">
        <v>26</v>
      </c>
      <c r="B86" s="3535"/>
      <c r="C86" s="757" t="s">
        <v>666</v>
      </c>
      <c r="D86" s="757" t="s">
        <v>667</v>
      </c>
      <c r="E86" s="834">
        <v>0.2</v>
      </c>
      <c r="F86" s="821">
        <v>30</v>
      </c>
    </row>
    <row r="87" spans="1:6" s="817" customFormat="1" ht="36">
      <c r="A87" s="821">
        <v>27</v>
      </c>
      <c r="B87" s="3535"/>
      <c r="C87" s="757" t="s">
        <v>668</v>
      </c>
      <c r="D87" s="757" t="s">
        <v>669</v>
      </c>
      <c r="E87" s="834">
        <v>0.2</v>
      </c>
      <c r="F87" s="821">
        <v>30</v>
      </c>
    </row>
    <row r="88" spans="1:6" s="817" customFormat="1" ht="36">
      <c r="A88" s="821">
        <v>28</v>
      </c>
      <c r="B88" s="3535"/>
      <c r="C88" s="757" t="s">
        <v>670</v>
      </c>
      <c r="D88" s="757" t="s">
        <v>671</v>
      </c>
      <c r="E88" s="834">
        <v>0.2</v>
      </c>
      <c r="F88" s="821">
        <v>30</v>
      </c>
    </row>
    <row r="89" spans="1:6" s="817" customFormat="1" ht="24">
      <c r="A89" s="821">
        <v>29</v>
      </c>
      <c r="B89" s="3535"/>
      <c r="C89" s="757" t="s">
        <v>672</v>
      </c>
      <c r="D89" s="757" t="s">
        <v>673</v>
      </c>
      <c r="E89" s="834">
        <v>0.2</v>
      </c>
      <c r="F89" s="821">
        <v>30</v>
      </c>
    </row>
    <row r="90" spans="1:6" s="817" customFormat="1" ht="24">
      <c r="A90" s="821">
        <v>30</v>
      </c>
      <c r="B90" s="3535"/>
      <c r="C90" s="757" t="s">
        <v>674</v>
      </c>
      <c r="D90" s="757" t="s">
        <v>675</v>
      </c>
      <c r="E90" s="834">
        <v>0.2</v>
      </c>
      <c r="F90" s="821">
        <v>30</v>
      </c>
    </row>
    <row r="91" spans="1:6" s="817" customFormat="1" ht="36">
      <c r="A91" s="821">
        <v>31</v>
      </c>
      <c r="B91" s="3535"/>
      <c r="C91" s="757" t="s">
        <v>676</v>
      </c>
      <c r="D91" s="757" t="s">
        <v>677</v>
      </c>
      <c r="E91" s="834">
        <v>0.2</v>
      </c>
      <c r="F91" s="821">
        <v>30</v>
      </c>
    </row>
    <row r="92" spans="1:6" s="817" customFormat="1" ht="24">
      <c r="A92" s="821">
        <v>32</v>
      </c>
      <c r="B92" s="3535" t="s">
        <v>678</v>
      </c>
      <c r="C92" s="821" t="s">
        <v>679</v>
      </c>
      <c r="D92" s="757" t="s">
        <v>680</v>
      </c>
      <c r="E92" s="834">
        <v>0.2</v>
      </c>
      <c r="F92" s="821">
        <v>30</v>
      </c>
    </row>
    <row r="93" spans="1:6" s="817" customFormat="1" ht="36">
      <c r="A93" s="821">
        <v>33</v>
      </c>
      <c r="B93" s="3535"/>
      <c r="C93" s="821" t="s">
        <v>681</v>
      </c>
      <c r="D93" s="757" t="s">
        <v>682</v>
      </c>
      <c r="E93" s="834">
        <v>0.2</v>
      </c>
      <c r="F93" s="821">
        <v>30</v>
      </c>
    </row>
    <row r="94" spans="1:6" s="817" customFormat="1" ht="48">
      <c r="A94" s="821">
        <v>34</v>
      </c>
      <c r="B94" s="3535"/>
      <c r="C94" s="821" t="s">
        <v>683</v>
      </c>
      <c r="D94" s="757" t="s">
        <v>684</v>
      </c>
      <c r="E94" s="834">
        <v>0.2</v>
      </c>
      <c r="F94" s="821">
        <v>30</v>
      </c>
    </row>
    <row r="95" spans="1:6" s="817" customFormat="1" ht="36">
      <c r="A95" s="821">
        <v>35</v>
      </c>
      <c r="B95" s="3535"/>
      <c r="C95" s="821" t="s">
        <v>685</v>
      </c>
      <c r="D95" s="757" t="s">
        <v>686</v>
      </c>
      <c r="E95" s="834">
        <v>0.2</v>
      </c>
      <c r="F95" s="821">
        <v>30</v>
      </c>
    </row>
    <row r="96" spans="1:6" s="817" customFormat="1" ht="48">
      <c r="A96" s="821">
        <v>36</v>
      </c>
      <c r="B96" s="3535"/>
      <c r="C96" s="757" t="s">
        <v>687</v>
      </c>
      <c r="D96" s="757" t="s">
        <v>688</v>
      </c>
      <c r="E96" s="834">
        <v>0.2</v>
      </c>
      <c r="F96" s="821">
        <v>30</v>
      </c>
    </row>
    <row r="97" spans="1:6" s="817" customFormat="1" ht="36">
      <c r="A97" s="821">
        <v>37</v>
      </c>
      <c r="B97" s="3535"/>
      <c r="C97" s="821" t="s">
        <v>689</v>
      </c>
      <c r="D97" s="757" t="s">
        <v>690</v>
      </c>
      <c r="E97" s="834">
        <v>0.2</v>
      </c>
      <c r="F97" s="821">
        <v>30</v>
      </c>
    </row>
    <row r="98" spans="1:6" s="817" customFormat="1" ht="36">
      <c r="A98" s="821">
        <v>38</v>
      </c>
      <c r="B98" s="3535"/>
      <c r="C98" s="821" t="s">
        <v>691</v>
      </c>
      <c r="D98" s="757" t="s">
        <v>692</v>
      </c>
      <c r="E98" s="834">
        <v>0.2</v>
      </c>
      <c r="F98" s="821">
        <v>30</v>
      </c>
    </row>
    <row r="99" spans="1:6" s="817" customFormat="1" ht="36">
      <c r="A99" s="821">
        <v>39</v>
      </c>
      <c r="B99" s="3535" t="s">
        <v>693</v>
      </c>
      <c r="C99" s="821" t="s">
        <v>694</v>
      </c>
      <c r="D99" s="757" t="s">
        <v>695</v>
      </c>
      <c r="E99" s="834">
        <v>0.3</v>
      </c>
      <c r="F99" s="821">
        <v>50</v>
      </c>
    </row>
    <row r="100" spans="1:6" s="817" customFormat="1" ht="24">
      <c r="A100" s="821">
        <v>40</v>
      </c>
      <c r="B100" s="3535"/>
      <c r="C100" s="821" t="s">
        <v>696</v>
      </c>
      <c r="D100" s="757" t="s">
        <v>697</v>
      </c>
      <c r="E100" s="834">
        <v>0.2</v>
      </c>
      <c r="F100" s="821">
        <v>30</v>
      </c>
    </row>
    <row r="101" spans="1:6" s="817" customFormat="1" ht="36">
      <c r="A101" s="821">
        <v>41</v>
      </c>
      <c r="B101" s="353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5" t="s">
        <v>708</v>
      </c>
      <c r="C105" s="821" t="s">
        <v>709</v>
      </c>
      <c r="D105" s="757" t="s">
        <v>710</v>
      </c>
      <c r="E105" s="834">
        <v>0.2</v>
      </c>
      <c r="F105" s="821">
        <v>30</v>
      </c>
    </row>
    <row r="106" spans="1:6" s="817" customFormat="1" ht="36">
      <c r="A106" s="821">
        <v>46</v>
      </c>
      <c r="B106" s="3535"/>
      <c r="C106" s="821" t="s">
        <v>711</v>
      </c>
      <c r="D106" s="757" t="s">
        <v>712</v>
      </c>
      <c r="E106" s="834">
        <v>0.2</v>
      </c>
      <c r="F106" s="821">
        <v>30</v>
      </c>
    </row>
    <row r="107" spans="1:6" s="817" customFormat="1" ht="36">
      <c r="A107" s="821">
        <v>47</v>
      </c>
      <c r="B107" s="3535" t="s">
        <v>713</v>
      </c>
      <c r="C107" s="821" t="s">
        <v>714</v>
      </c>
      <c r="D107" s="757" t="s">
        <v>715</v>
      </c>
      <c r="E107" s="834">
        <v>0.3</v>
      </c>
      <c r="F107" s="821">
        <v>50</v>
      </c>
    </row>
    <row r="108" spans="1:6" s="817" customFormat="1" ht="36">
      <c r="A108" s="821">
        <v>48</v>
      </c>
      <c r="B108" s="353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5" t="s">
        <v>724</v>
      </c>
      <c r="C111" s="821" t="s">
        <v>725</v>
      </c>
      <c r="D111" s="757" t="s">
        <v>726</v>
      </c>
      <c r="E111" s="834">
        <v>0.2</v>
      </c>
      <c r="F111" s="821">
        <v>30</v>
      </c>
    </row>
    <row r="112" spans="1:6" s="817" customFormat="1" ht="24">
      <c r="A112" s="821">
        <v>52</v>
      </c>
      <c r="B112" s="3535"/>
      <c r="C112" s="821" t="s">
        <v>727</v>
      </c>
      <c r="D112" s="757" t="s">
        <v>728</v>
      </c>
      <c r="E112" s="834">
        <v>0.2</v>
      </c>
      <c r="F112" s="821">
        <v>30</v>
      </c>
    </row>
    <row r="113" spans="1:6" s="817" customFormat="1" ht="24">
      <c r="A113" s="821">
        <v>53</v>
      </c>
      <c r="B113" s="353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5" t="s">
        <v>737</v>
      </c>
      <c r="C116" s="821" t="s">
        <v>738</v>
      </c>
      <c r="D116" s="757" t="s">
        <v>739</v>
      </c>
      <c r="E116" s="834">
        <v>0.2</v>
      </c>
      <c r="F116" s="821">
        <v>30</v>
      </c>
    </row>
    <row r="117" spans="1:6" ht="36">
      <c r="A117" s="821">
        <v>57</v>
      </c>
      <c r="B117" s="353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1" t="s">
        <v>1058</v>
      </c>
      <c r="C1" s="3541"/>
      <c r="D1" s="3541"/>
      <c r="E1" s="3541"/>
      <c r="F1" s="3541"/>
      <c r="G1" s="3537" t="s">
        <v>1059</v>
      </c>
      <c r="H1" s="3537"/>
      <c r="I1" s="3537"/>
      <c r="J1" s="3537"/>
      <c r="K1" s="3537"/>
      <c r="L1" s="3537"/>
      <c r="N1" s="3537" t="s">
        <v>1060</v>
      </c>
      <c r="O1" s="3537"/>
      <c r="P1" s="3537"/>
      <c r="Q1" s="3537"/>
      <c r="S1" s="3537" t="s">
        <v>1061</v>
      </c>
      <c r="T1" s="3537"/>
      <c r="U1" s="3537"/>
      <c r="V1" s="3537"/>
      <c r="X1" s="3536" t="s">
        <v>1062</v>
      </c>
      <c r="Y1" s="3537"/>
      <c r="Z1" s="3537"/>
      <c r="AA1" s="3537"/>
      <c r="AB1" s="3537"/>
      <c r="AD1" s="3536" t="s">
        <v>1063</v>
      </c>
      <c r="AE1" s="3537"/>
      <c r="AF1" s="3537"/>
      <c r="AG1" s="3537"/>
      <c r="AH1" s="353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9">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9"/>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9"/>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4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9"/>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9"/>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9"/>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9"/>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0"/>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8">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9"/>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9"/>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0"/>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8">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9"/>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9"/>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0"/>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8">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9"/>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9"/>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0"/>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8">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9">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9">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0">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8">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9">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9">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0">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8">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9">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9">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0">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8">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9">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9">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0">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8">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9">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9">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0">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8">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9">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9">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0">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8">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9">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9">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0">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8">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9">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9">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0">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8">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9">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9">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0">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8">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9">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9">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0">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50" t="s">
        <v>2766</v>
      </c>
      <c r="D1" s="3551"/>
      <c r="E1" s="3551"/>
      <c r="F1" s="3551"/>
      <c r="G1" s="3551"/>
      <c r="H1" s="3551"/>
      <c r="I1" s="3551"/>
      <c r="J1" s="3551"/>
      <c r="K1" s="3551"/>
      <c r="L1" s="3551"/>
      <c r="M1" s="3551"/>
      <c r="N1" s="3551"/>
      <c r="O1" s="3551"/>
      <c r="P1" s="3551"/>
      <c r="Q1" s="3551"/>
      <c r="R1" s="3551"/>
      <c r="S1" s="3552"/>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47" t="s">
        <v>33</v>
      </c>
      <c r="D22" s="3548"/>
      <c r="E22" s="3548"/>
      <c r="F22" s="3548"/>
      <c r="G22" s="3548"/>
      <c r="H22" s="3548"/>
      <c r="I22" s="3548"/>
      <c r="J22" s="3548"/>
      <c r="K22" s="3548"/>
      <c r="L22" s="3548"/>
      <c r="M22" s="3548"/>
      <c r="N22" s="3548"/>
      <c r="O22" s="3548"/>
      <c r="P22" s="3548"/>
      <c r="Q22" s="3549"/>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8">
      <c r="A3" s="3226" t="str">
        <f>IF(项目基本情况!B9="房地产市场价值","估价结果一览表（市场价值不需“结果表-1”）","估价结果一览表")</f>
        <v>估价结果一览表</v>
      </c>
      <c r="B3" s="3226"/>
      <c r="C3" s="3226"/>
      <c r="D3" s="3226"/>
      <c r="E3" s="3226"/>
    </row>
    <row r="4" spans="1:5" ht="19.5" thickBot="1">
      <c r="A4" s="1648"/>
      <c r="B4" s="3224" t="s">
        <v>1535</v>
      </c>
      <c r="C4" s="3224"/>
      <c r="D4" s="3224"/>
      <c r="E4" s="1648"/>
    </row>
    <row r="5" spans="1:5" ht="16.5" thickTop="1">
      <c r="A5" s="1646"/>
      <c r="B5" s="3222" t="s">
        <v>1527</v>
      </c>
      <c r="C5" s="1649" t="s">
        <v>1528</v>
      </c>
      <c r="D5" s="959" t="e">
        <f ca="1">结果表!H101</f>
        <v>#REF!</v>
      </c>
      <c r="E5" s="1646"/>
    </row>
    <row r="6" spans="1:5" ht="15.75">
      <c r="A6" s="1646"/>
      <c r="B6" s="3222"/>
      <c r="C6" s="1649" t="s">
        <v>1529</v>
      </c>
      <c r="D6" s="959" t="e">
        <f ca="1">NUMBERSTRING(INT(D5*10000),2)&amp;"元整"</f>
        <v>#REF!</v>
      </c>
      <c r="E6" s="1646"/>
    </row>
    <row r="7" spans="1:5" ht="15.75">
      <c r="A7" s="1646"/>
      <c r="B7" s="3227"/>
      <c r="C7" s="1650" t="s">
        <v>1530</v>
      </c>
      <c r="D7" s="960" t="e">
        <f ca="1">结果表!H102</f>
        <v>#REF!</v>
      </c>
      <c r="E7" s="1646"/>
    </row>
    <row r="8" spans="1:5" ht="15.75">
      <c r="A8" s="1646"/>
      <c r="B8" s="3228" t="str">
        <f>结果表!E103</f>
        <v>2.估价师知悉的法定优先受偿款</v>
      </c>
      <c r="C8" s="1651" t="s">
        <v>1531</v>
      </c>
      <c r="D8" s="960">
        <f>结果表!H103</f>
        <v>0</v>
      </c>
      <c r="E8" s="1646"/>
    </row>
    <row r="9" spans="1:5" ht="15.75">
      <c r="A9" s="1646"/>
      <c r="B9" s="323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1" t="str">
        <f>结果表!E107</f>
        <v>3.房地产抵押价值</v>
      </c>
      <c r="C13" s="1654" t="s">
        <v>1528</v>
      </c>
      <c r="D13" s="962" t="str">
        <f ca="1">结果表!H107</f>
        <v>——</v>
      </c>
      <c r="E13" s="1646"/>
    </row>
    <row r="14" spans="1:5" ht="15.75">
      <c r="A14" s="1646"/>
      <c r="B14" s="3222"/>
      <c r="C14" s="1649" t="s">
        <v>1529</v>
      </c>
      <c r="D14" s="959" t="e">
        <f ca="1">NUMBERSTRING(INT(D13*10000),2)&amp;"元整"</f>
        <v>#VALUE!</v>
      </c>
      <c r="E14" s="1646"/>
    </row>
    <row r="15" spans="1:5" ht="15">
      <c r="A15" s="1646"/>
      <c r="B15" s="3227"/>
      <c r="C15" s="1650" t="s">
        <v>1539</v>
      </c>
      <c r="D15" s="968" t="e">
        <f ca="1">结果表!H108</f>
        <v>#VALUE!</v>
      </c>
      <c r="E15" s="1646"/>
    </row>
    <row r="16" spans="1:5" ht="15">
      <c r="A16" s="1646"/>
      <c r="B16" s="3228" t="str">
        <f>结果表!E109</f>
        <v>——</v>
      </c>
      <c r="C16" s="1654" t="s">
        <v>1540</v>
      </c>
      <c r="D16" s="1655" t="str">
        <f>结果表!H109</f>
        <v>——</v>
      </c>
      <c r="E16" s="1646"/>
    </row>
    <row r="17" spans="1:5" ht="15.75">
      <c r="A17" s="1646"/>
      <c r="B17" s="3229"/>
      <c r="C17" s="1649" t="s">
        <v>1541</v>
      </c>
      <c r="D17" s="959" t="e">
        <f>NUMBERSTRING(INT(D16*10000),2)&amp;"元整"</f>
        <v>#VALUE!</v>
      </c>
      <c r="E17" s="1646"/>
    </row>
    <row r="18" spans="1:5" ht="15">
      <c r="A18" s="1646"/>
      <c r="B18" s="3230"/>
      <c r="C18" s="1650" t="s">
        <v>1530</v>
      </c>
      <c r="D18" s="968" t="str">
        <f>结果表!H110</f>
        <v>——</v>
      </c>
      <c r="E18" s="1646"/>
    </row>
    <row r="19" spans="1:5" ht="15.75">
      <c r="A19" s="1646"/>
      <c r="B19" s="3221" t="str">
        <f>结果表!E111</f>
        <v>4.抵押净值</v>
      </c>
      <c r="C19" s="1654" t="s">
        <v>1528</v>
      </c>
      <c r="D19" s="960" t="str">
        <f ca="1">结果表!H111</f>
        <v>——</v>
      </c>
      <c r="E19" s="1646"/>
    </row>
    <row r="20" spans="1:5" ht="15.75">
      <c r="A20" s="1646"/>
      <c r="B20" s="3222"/>
      <c r="C20" s="1649" t="s">
        <v>1541</v>
      </c>
      <c r="D20" s="959" t="e">
        <f ca="1">NUMBERSTRING(INT(D19*10000),2)&amp;"元整"</f>
        <v>#VALUE!</v>
      </c>
      <c r="E20" s="1646"/>
    </row>
    <row r="21" spans="1:5" ht="15.75" thickBot="1">
      <c r="A21" s="1646"/>
      <c r="B21" s="3223"/>
      <c r="C21" s="1656" t="s">
        <v>1539</v>
      </c>
      <c r="D21" s="969" t="str">
        <f ca="1">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42522</v>
      </c>
      <c r="C2" s="2" t="s">
        <v>133</v>
      </c>
      <c r="D2" s="205"/>
      <c r="E2" s="205"/>
      <c r="F2" s="205"/>
      <c r="G2" s="205"/>
    </row>
    <row r="3" spans="1:7" s="206" customFormat="1" ht="18" customHeight="1" thickBot="1">
      <c r="A3" s="209" t="s">
        <v>85</v>
      </c>
      <c r="B3" s="210">
        <f ca="1">ROUND(B2*10000/'数据-汇总表'!E3,0)</f>
        <v>11029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617</v>
      </c>
      <c r="D9" s="954">
        <f>'数据-汇总表'!E5</f>
        <v>38556.25</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771</v>
      </c>
      <c r="D19" s="958">
        <f>'数据-汇总表'!E3</f>
        <v>38556.25</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2941</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2808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105</v>
      </c>
      <c r="D24" s="244"/>
      <c r="E24" s="244"/>
      <c r="F24" s="245"/>
      <c r="G24" s="246" t="s">
        <v>109</v>
      </c>
    </row>
    <row r="25" spans="1:7" s="220" customFormat="1" ht="24">
      <c r="A25" s="888" t="s">
        <v>793</v>
      </c>
      <c r="B25" s="221" t="s">
        <v>1026</v>
      </c>
      <c r="C25" s="1237">
        <f ca="1">ROUND(IF('数据-取费表'!B22&lt;=1,C20*F22*'数据-取费表'!B23/2,C20*(POWER((1+F22),'数据-取费表'!B23/2)-1)),0)</f>
        <v>28</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3271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3271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30379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9215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7711</v>
      </c>
      <c r="D34" s="223"/>
      <c r="E34" s="226"/>
      <c r="F34" s="263">
        <f>IF('数据-取费表'!B24=0,1,'数据-取费表'!N16)</f>
        <v>1</v>
      </c>
      <c r="G34" s="225" t="s">
        <v>116</v>
      </c>
    </row>
    <row r="35" spans="1:7" ht="13.5" customHeight="1">
      <c r="A35" s="888" t="s">
        <v>796</v>
      </c>
      <c r="B35" s="221" t="s">
        <v>60</v>
      </c>
      <c r="C35" s="226">
        <f>ROUND(C34*F35,0)</f>
        <v>231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386</v>
      </c>
      <c r="D36" s="226"/>
      <c r="E36" s="226"/>
      <c r="F36" s="265">
        <f>'数据-取费表'!B34</f>
        <v>0.05</v>
      </c>
      <c r="G36" s="266" t="s">
        <v>62</v>
      </c>
    </row>
    <row r="37" spans="1:7" s="264" customFormat="1" ht="13.5" customHeight="1">
      <c r="A37" s="888" t="s">
        <v>798</v>
      </c>
      <c r="B37" s="221" t="s">
        <v>118</v>
      </c>
      <c r="C37" s="255">
        <f>ROUND(E37*D37*F34/10000,0)</f>
        <v>771</v>
      </c>
      <c r="D37" s="223">
        <f>'数据-汇总表'!E3</f>
        <v>38556.25</v>
      </c>
      <c r="E37" s="255">
        <f>'数据-取费表'!B35</f>
        <v>200</v>
      </c>
      <c r="F37" s="265"/>
      <c r="G37" s="267" t="s">
        <v>119</v>
      </c>
    </row>
    <row r="38" spans="1:7" ht="13.5" customHeight="1">
      <c r="A38" s="888" t="s">
        <v>799</v>
      </c>
      <c r="B38" s="221" t="s">
        <v>63</v>
      </c>
      <c r="C38" s="226">
        <f>ROUND(C34*F38,0)</f>
        <v>116</v>
      </c>
      <c r="D38" s="226"/>
      <c r="E38" s="226"/>
      <c r="F38" s="265">
        <f>'数据-取费表'!B36</f>
        <v>1.4999999999999999E-2</v>
      </c>
      <c r="G38" s="225" t="s">
        <v>117</v>
      </c>
    </row>
    <row r="39" spans="1:7" s="220" customFormat="1" ht="13.5" customHeight="1">
      <c r="A39" s="885" t="s">
        <v>783</v>
      </c>
      <c r="B39" s="216" t="s">
        <v>104</v>
      </c>
      <c r="C39" s="238">
        <f>ROUND(C33*F20,0)</f>
        <v>184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620</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608</v>
      </c>
      <c r="D42" s="244"/>
      <c r="E42" s="244"/>
      <c r="F42" s="245"/>
      <c r="G42" s="3409" t="s">
        <v>121</v>
      </c>
    </row>
    <row r="43" spans="1:7" ht="13.5" customHeight="1">
      <c r="A43" s="888" t="s">
        <v>792</v>
      </c>
      <c r="B43" s="221" t="s">
        <v>1032</v>
      </c>
      <c r="C43" s="244">
        <f ca="1">ROUND(IF('数据-取费表'!B22&lt;=1,C39*F22*'数据-取费表'!B21/2,C39*(POWER((1+F22),'数据-取费表'!B21/2)-1)),0)</f>
        <v>12</v>
      </c>
      <c r="D43" s="244"/>
      <c r="E43" s="244"/>
      <c r="F43" s="245"/>
      <c r="G43" s="3410"/>
    </row>
    <row r="44" spans="1:7" ht="13.5" customHeight="1">
      <c r="A44" s="888" t="s">
        <v>793</v>
      </c>
      <c r="B44" s="221" t="s">
        <v>1034</v>
      </c>
      <c r="C44" s="244">
        <f ca="1">ROUND(IF('数据-取费表'!B22&lt;=1,C40*F22*'数据-取费表'!B21/2,C40*(POWER((1+F22),'数据-取费表'!B21/2)-1)),4)</f>
        <v>1.2999999999999999E-3</v>
      </c>
      <c r="D44" s="244"/>
      <c r="E44" s="244"/>
      <c r="F44" s="245"/>
      <c r="G44" s="3411"/>
    </row>
    <row r="45" spans="1:7" s="220" customFormat="1" ht="13.5" customHeight="1">
      <c r="A45" s="885" t="s">
        <v>786</v>
      </c>
      <c r="B45" s="250" t="s">
        <v>112</v>
      </c>
      <c r="C45" s="251">
        <f>C46</f>
        <v>1410</v>
      </c>
      <c r="D45" s="241">
        <f>C47</f>
        <v>3.0000000000000001E-3</v>
      </c>
      <c r="E45" s="242" t="s">
        <v>129</v>
      </c>
      <c r="F45" s="252"/>
      <c r="G45" s="253" t="s">
        <v>1040</v>
      </c>
    </row>
    <row r="46" spans="1:7" s="220" customFormat="1" ht="13.5" customHeight="1">
      <c r="A46" s="888" t="s">
        <v>794</v>
      </c>
      <c r="B46" s="254" t="s">
        <v>1033</v>
      </c>
      <c r="C46" s="255">
        <f>ROUND((C33+C39)*F27,0)</f>
        <v>1410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12391</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12143</v>
      </c>
      <c r="D51" s="238"/>
      <c r="E51" s="238"/>
      <c r="F51" s="270"/>
      <c r="G51" s="240" t="s">
        <v>64</v>
      </c>
    </row>
    <row r="52" spans="1:7" s="214" customFormat="1" ht="16.5" thickBot="1">
      <c r="A52" s="271" t="s">
        <v>65</v>
      </c>
      <c r="B52" s="272"/>
      <c r="C52" s="273">
        <f ca="1">C31+C51</f>
        <v>42522</v>
      </c>
      <c r="D52" s="272"/>
      <c r="E52" s="272"/>
      <c r="F52" s="272"/>
      <c r="G52" s="274"/>
    </row>
    <row r="55" spans="1:7" ht="15">
      <c r="B55" s="276" t="s">
        <v>66</v>
      </c>
      <c r="C55" s="277"/>
    </row>
    <row r="56" spans="1:7">
      <c r="B56" s="279" t="s">
        <v>67</v>
      </c>
      <c r="C56" s="280">
        <f ca="1">ROUND(C51/C52,3)</f>
        <v>0.28599999999999998</v>
      </c>
    </row>
    <row r="57" spans="1:7">
      <c r="B57" s="279" t="s">
        <v>68</v>
      </c>
      <c r="C57" s="281">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3" t="s">
        <v>156</v>
      </c>
      <c r="B1" s="3553"/>
      <c r="C1" s="3553"/>
      <c r="D1" s="3553"/>
      <c r="E1" s="3553"/>
      <c r="F1" s="355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4" t="s">
        <v>169</v>
      </c>
      <c r="B2" s="3554"/>
      <c r="C2" s="3554"/>
      <c r="D2" s="3554"/>
      <c r="E2" s="3554"/>
      <c r="F2" s="355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3" t="s">
        <v>839</v>
      </c>
      <c r="B1" s="355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7" sqref="C7:Q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44579</v>
      </c>
      <c r="D1" s="1442" t="s">
        <v>1209</v>
      </c>
      <c r="E1" s="1437">
        <f>'数据-取费表'!B22</f>
        <v>3</v>
      </c>
      <c r="F1" s="1442" t="s">
        <v>1210</v>
      </c>
      <c r="G1" s="1438">
        <f ca="1">INDIRECT("d"&amp;$K$1)/100</f>
        <v>3.85E-2</v>
      </c>
      <c r="H1" s="1442" t="s">
        <v>1240</v>
      </c>
      <c r="I1" s="1438">
        <f ca="1">F4/100</f>
        <v>1.4999999999999999E-2</v>
      </c>
      <c r="J1" s="1443">
        <f>IF(C1&gt;C13,0,MATCH(C1,C$13:C$105,-1))+IF(SUMIF(C13:C105,C1,D13:D105)=0,13,12)</f>
        <v>13</v>
      </c>
      <c r="K1" s="1443">
        <f ca="1">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3001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2" sqref="T32"/>
    </sheetView>
  </sheetViews>
  <sheetFormatPr defaultRowHeight="13.5"/>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workbookViewId="0">
      <selection activeCell="A47" sqref="A47:XFD47"/>
    </sheetView>
  </sheetViews>
  <sheetFormatPr defaultRowHeight="12"/>
  <cols>
    <col min="1" max="2" width="20" style="3209" customWidth="1"/>
    <col min="3" max="4" width="20" style="3209" hidden="1" customWidth="1"/>
    <col min="5" max="5" width="15.375" style="3209" customWidth="1"/>
    <col min="6" max="7" width="20" style="3209" hidden="1" customWidth="1"/>
    <col min="8" max="8" width="9" style="3209" customWidth="1"/>
    <col min="9" max="9" width="10.125" style="3209" customWidth="1"/>
    <col min="10" max="10" width="20" style="3209" customWidth="1"/>
    <col min="11" max="11" width="20" style="3209" hidden="1" customWidth="1"/>
    <col min="12" max="12" width="20" style="3209" customWidth="1"/>
    <col min="13" max="26" width="20" style="3209" hidden="1" customWidth="1"/>
    <col min="27" max="27" width="11" style="3209" customWidth="1"/>
    <col min="28" max="29" width="20" style="3209" hidden="1" customWidth="1"/>
    <col min="30" max="30" width="20" style="3209" customWidth="1"/>
    <col min="31" max="34" width="20" style="3209" hidden="1" customWidth="1"/>
    <col min="35" max="35" width="9.625" style="3209" customWidth="1"/>
    <col min="36" max="36" width="20" style="3209" hidden="1" customWidth="1"/>
    <col min="37" max="37" width="6.25" style="3209" customWidth="1"/>
    <col min="38" max="38" width="20" style="3209" hidden="1" customWidth="1"/>
    <col min="39" max="39" width="7.875" style="3209" customWidth="1"/>
    <col min="40" max="41" width="20" style="3209" hidden="1" customWidth="1"/>
    <col min="42" max="42" width="9.375" style="3209" customWidth="1"/>
    <col min="43" max="43" width="14.875" style="3209" hidden="1" customWidth="1"/>
    <col min="44" max="45" width="20" style="3209" hidden="1" customWidth="1"/>
    <col min="46" max="46" width="20" style="3209" customWidth="1"/>
    <col min="47" max="16384" width="9" style="3209"/>
  </cols>
  <sheetData>
    <row r="1" spans="1:45">
      <c r="A1" s="3208" t="s">
        <v>3142</v>
      </c>
      <c r="B1" s="3208" t="s">
        <v>3143</v>
      </c>
      <c r="C1" s="3208" t="s">
        <v>3144</v>
      </c>
      <c r="D1" s="3208" t="s">
        <v>3145</v>
      </c>
      <c r="E1" s="3208" t="s">
        <v>3146</v>
      </c>
      <c r="F1" s="3208" t="s">
        <v>3147</v>
      </c>
      <c r="G1" s="3208" t="s">
        <v>3148</v>
      </c>
      <c r="H1" s="3208" t="s">
        <v>3149</v>
      </c>
      <c r="I1" s="3208" t="s">
        <v>3150</v>
      </c>
      <c r="J1" s="3208" t="s">
        <v>3151</v>
      </c>
      <c r="K1" s="3208" t="s">
        <v>3152</v>
      </c>
      <c r="L1" s="3208" t="s">
        <v>3153</v>
      </c>
      <c r="M1" s="3208" t="s">
        <v>3154</v>
      </c>
      <c r="N1" s="3208" t="s">
        <v>3155</v>
      </c>
      <c r="O1" s="3208" t="s">
        <v>3156</v>
      </c>
      <c r="P1" s="3208" t="s">
        <v>3157</v>
      </c>
      <c r="Q1" s="3208" t="s">
        <v>3158</v>
      </c>
      <c r="R1" s="3208" t="s">
        <v>3159</v>
      </c>
      <c r="S1" s="3208" t="s">
        <v>3160</v>
      </c>
      <c r="T1" s="3208" t="s">
        <v>3161</v>
      </c>
      <c r="U1" s="3208" t="s">
        <v>3162</v>
      </c>
      <c r="V1" s="3208" t="s">
        <v>3163</v>
      </c>
      <c r="W1" s="3208" t="s">
        <v>3164</v>
      </c>
      <c r="X1" s="3208" t="s">
        <v>3165</v>
      </c>
      <c r="Y1" s="3208" t="s">
        <v>3166</v>
      </c>
      <c r="Z1" s="3208" t="s">
        <v>3167</v>
      </c>
      <c r="AA1" s="3208" t="s">
        <v>3168</v>
      </c>
      <c r="AB1" s="3208" t="s">
        <v>3169</v>
      </c>
      <c r="AC1" s="3208" t="s">
        <v>3170</v>
      </c>
      <c r="AD1" s="3208" t="s">
        <v>3171</v>
      </c>
      <c r="AE1" s="3208" t="s">
        <v>3172</v>
      </c>
      <c r="AF1" s="3208" t="s">
        <v>3173</v>
      </c>
      <c r="AG1" s="3208" t="s">
        <v>3174</v>
      </c>
      <c r="AH1" s="3208" t="s">
        <v>3175</v>
      </c>
      <c r="AI1" s="3208" t="s">
        <v>3176</v>
      </c>
      <c r="AJ1" s="3208" t="s">
        <v>3177</v>
      </c>
      <c r="AK1" s="3208" t="s">
        <v>3178</v>
      </c>
      <c r="AL1" s="3208" t="s">
        <v>3179</v>
      </c>
      <c r="AM1" s="3208" t="s">
        <v>3180</v>
      </c>
      <c r="AN1" s="3208" t="s">
        <v>3181</v>
      </c>
      <c r="AO1" s="3208" t="s">
        <v>3182</v>
      </c>
      <c r="AP1" s="3208" t="s">
        <v>3183</v>
      </c>
      <c r="AQ1" s="3208" t="s">
        <v>3184</v>
      </c>
      <c r="AR1" s="3208" t="s">
        <v>3185</v>
      </c>
      <c r="AS1" s="3208" t="s">
        <v>3186</v>
      </c>
    </row>
    <row r="2" spans="1:45">
      <c r="A2" s="3208" t="s">
        <v>3187</v>
      </c>
      <c r="B2" s="3208" t="s">
        <v>3188</v>
      </c>
      <c r="C2" s="3208" t="s">
        <v>3189</v>
      </c>
      <c r="D2" s="3208" t="s">
        <v>3190</v>
      </c>
      <c r="E2" s="3208" t="s">
        <v>3191</v>
      </c>
      <c r="F2" s="3208" t="s">
        <v>3192</v>
      </c>
      <c r="G2" s="3208" t="s">
        <v>3193</v>
      </c>
      <c r="H2" s="3208">
        <v>6896.9</v>
      </c>
      <c r="I2" s="3208">
        <v>20690.7</v>
      </c>
      <c r="J2" s="3208" t="s">
        <v>3194</v>
      </c>
      <c r="K2" s="3208" t="s">
        <v>3195</v>
      </c>
      <c r="L2" s="3208" t="s">
        <v>3196</v>
      </c>
      <c r="M2" s="3208" t="s">
        <v>3197</v>
      </c>
      <c r="N2" s="3208" t="s">
        <v>3198</v>
      </c>
      <c r="O2" s="3208" t="s">
        <v>3199</v>
      </c>
      <c r="P2" s="3208">
        <v>60</v>
      </c>
      <c r="Q2" s="3208" t="s">
        <v>3200</v>
      </c>
      <c r="R2" s="3208" t="s">
        <v>3200</v>
      </c>
      <c r="S2" s="3208" t="s">
        <v>3200</v>
      </c>
      <c r="T2" s="3208" t="s">
        <v>3200</v>
      </c>
      <c r="U2" s="3208" t="s">
        <v>3200</v>
      </c>
      <c r="V2" s="3208" t="s">
        <v>3200</v>
      </c>
      <c r="W2" s="3208" t="s">
        <v>3200</v>
      </c>
      <c r="X2" s="3210">
        <v>44532.000497685185</v>
      </c>
      <c r="Y2" s="3210">
        <v>44553.000497685185</v>
      </c>
      <c r="Z2" s="3210">
        <v>44553.000497685185</v>
      </c>
      <c r="AA2" s="3210">
        <v>44553.000497685185</v>
      </c>
      <c r="AB2" s="3208" t="s">
        <v>3201</v>
      </c>
      <c r="AC2" s="3208" t="s">
        <v>3202</v>
      </c>
      <c r="AD2" s="3208" t="s">
        <v>3203</v>
      </c>
      <c r="AE2" s="3208" t="s">
        <v>3200</v>
      </c>
      <c r="AF2" s="3208">
        <v>2855.32</v>
      </c>
      <c r="AG2" s="3208">
        <v>1714</v>
      </c>
      <c r="AH2" s="3210">
        <v>44552.708831018521</v>
      </c>
      <c r="AI2" s="3208">
        <v>2896.69</v>
      </c>
      <c r="AJ2" s="3208">
        <v>276</v>
      </c>
      <c r="AK2" s="3208">
        <v>280</v>
      </c>
      <c r="AL2" s="3208">
        <v>1380</v>
      </c>
      <c r="AM2" s="3208">
        <v>1400</v>
      </c>
      <c r="AN2" s="3208" t="s">
        <v>3200</v>
      </c>
      <c r="AO2" s="3208" t="s">
        <v>3200</v>
      </c>
      <c r="AP2" s="3208">
        <v>1.45</v>
      </c>
      <c r="AQ2" s="3208" t="s">
        <v>3204</v>
      </c>
      <c r="AR2" s="3208" t="s">
        <v>3205</v>
      </c>
      <c r="AS2" s="3208" t="s">
        <v>3205</v>
      </c>
    </row>
    <row r="3" spans="1:45">
      <c r="A3" s="3208" t="s">
        <v>3206</v>
      </c>
      <c r="B3" s="3208" t="s">
        <v>3207</v>
      </c>
      <c r="C3" s="3208" t="s">
        <v>3189</v>
      </c>
      <c r="D3" s="3208" t="s">
        <v>3190</v>
      </c>
      <c r="E3" s="3208" t="s">
        <v>3208</v>
      </c>
      <c r="F3" s="3208" t="s">
        <v>3209</v>
      </c>
      <c r="G3" s="3208" t="s">
        <v>3193</v>
      </c>
      <c r="H3" s="3208">
        <v>40296.120000000003</v>
      </c>
      <c r="I3" s="3208">
        <v>104769.91</v>
      </c>
      <c r="J3" s="3208" t="s">
        <v>3210</v>
      </c>
      <c r="K3" s="3208" t="s">
        <v>3195</v>
      </c>
      <c r="L3" s="3208" t="s">
        <v>3196</v>
      </c>
      <c r="M3" s="3208" t="s">
        <v>3197</v>
      </c>
      <c r="N3" s="3208" t="s">
        <v>3198</v>
      </c>
      <c r="O3" s="3208" t="s">
        <v>3211</v>
      </c>
      <c r="P3" s="3208">
        <v>60</v>
      </c>
      <c r="Q3" s="3208" t="s">
        <v>3200</v>
      </c>
      <c r="R3" s="3208" t="s">
        <v>3200</v>
      </c>
      <c r="S3" s="3208" t="s">
        <v>3200</v>
      </c>
      <c r="T3" s="3208" t="s">
        <v>3200</v>
      </c>
      <c r="U3" s="3208" t="s">
        <v>3200</v>
      </c>
      <c r="V3" s="3208" t="s">
        <v>3200</v>
      </c>
      <c r="W3" s="3208" t="s">
        <v>3200</v>
      </c>
      <c r="X3" s="3210">
        <v>44532.000497685185</v>
      </c>
      <c r="Y3" s="3210">
        <v>44553.000497685185</v>
      </c>
      <c r="Z3" s="3210">
        <v>44553.000497685185</v>
      </c>
      <c r="AA3" s="3210">
        <v>44553.000497685185</v>
      </c>
      <c r="AB3" s="3208" t="s">
        <v>3201</v>
      </c>
      <c r="AC3" s="3208" t="s">
        <v>3202</v>
      </c>
      <c r="AD3" s="3208" t="s">
        <v>3212</v>
      </c>
      <c r="AE3" s="3208" t="s">
        <v>3200</v>
      </c>
      <c r="AF3" s="3208">
        <v>5198.1899999999996</v>
      </c>
      <c r="AG3" s="3208">
        <v>1040</v>
      </c>
      <c r="AH3" s="3210">
        <v>44552.708831018521</v>
      </c>
      <c r="AI3" s="3208">
        <v>5439.97</v>
      </c>
      <c r="AJ3" s="3208">
        <v>86</v>
      </c>
      <c r="AK3" s="3208">
        <v>90</v>
      </c>
      <c r="AL3" s="3208">
        <v>496</v>
      </c>
      <c r="AM3" s="3208">
        <v>519</v>
      </c>
      <c r="AN3" s="3208" t="s">
        <v>3200</v>
      </c>
      <c r="AO3" s="3208" t="s">
        <v>3200</v>
      </c>
      <c r="AP3" s="3208">
        <v>4.6500000000000004</v>
      </c>
      <c r="AQ3" s="3208" t="s">
        <v>3204</v>
      </c>
      <c r="AR3" s="3208" t="s">
        <v>3205</v>
      </c>
      <c r="AS3" s="3208" t="s">
        <v>3205</v>
      </c>
    </row>
    <row r="4" spans="1:45" s="3213" customFormat="1">
      <c r="A4" s="3211" t="s">
        <v>3213</v>
      </c>
      <c r="B4" s="3211" t="s">
        <v>3214</v>
      </c>
      <c r="C4" s="3211" t="s">
        <v>3189</v>
      </c>
      <c r="D4" s="3211" t="s">
        <v>3190</v>
      </c>
      <c r="E4" s="3211" t="s">
        <v>3215</v>
      </c>
      <c r="F4" s="3211" t="s">
        <v>3216</v>
      </c>
      <c r="G4" s="3211" t="s">
        <v>3193</v>
      </c>
      <c r="H4" s="3211">
        <v>13841.92</v>
      </c>
      <c r="I4" s="3211">
        <v>27683.84</v>
      </c>
      <c r="J4" s="3211" t="s">
        <v>3217</v>
      </c>
      <c r="K4" s="3211" t="s">
        <v>3195</v>
      </c>
      <c r="L4" s="3211" t="s">
        <v>3196</v>
      </c>
      <c r="M4" s="3211" t="s">
        <v>3197</v>
      </c>
      <c r="N4" s="3211" t="s">
        <v>3198</v>
      </c>
      <c r="O4" s="3211" t="s">
        <v>3218</v>
      </c>
      <c r="P4" s="3211" t="s">
        <v>3219</v>
      </c>
      <c r="Q4" s="3211" t="s">
        <v>3200</v>
      </c>
      <c r="R4" s="3211" t="s">
        <v>3200</v>
      </c>
      <c r="S4" s="3211" t="s">
        <v>3200</v>
      </c>
      <c r="T4" s="3211" t="s">
        <v>3200</v>
      </c>
      <c r="U4" s="3211" t="s">
        <v>3200</v>
      </c>
      <c r="V4" s="3211" t="s">
        <v>3200</v>
      </c>
      <c r="W4" s="3211" t="s">
        <v>3200</v>
      </c>
      <c r="X4" s="3212">
        <v>44484.000497685185</v>
      </c>
      <c r="Y4" s="3212">
        <v>44505.000497685185</v>
      </c>
      <c r="Z4" s="3212">
        <v>44505.000497685185</v>
      </c>
      <c r="AA4" s="3212">
        <v>44505.000497685185</v>
      </c>
      <c r="AB4" s="3211" t="s">
        <v>3220</v>
      </c>
      <c r="AC4" s="3211" t="s">
        <v>3202</v>
      </c>
      <c r="AD4" s="3211" t="s">
        <v>3221</v>
      </c>
      <c r="AE4" s="3211" t="s">
        <v>3200</v>
      </c>
      <c r="AF4" s="3211">
        <v>2719.94</v>
      </c>
      <c r="AG4" s="3211">
        <v>1632</v>
      </c>
      <c r="AH4" s="3212">
        <v>44504.708831018521</v>
      </c>
      <c r="AI4" s="3211">
        <v>2802.98</v>
      </c>
      <c r="AJ4" s="3211">
        <v>131</v>
      </c>
      <c r="AK4" s="3211">
        <v>135</v>
      </c>
      <c r="AL4" s="3211">
        <v>983</v>
      </c>
      <c r="AM4" s="3211">
        <v>1013</v>
      </c>
      <c r="AN4" s="3211" t="s">
        <v>3200</v>
      </c>
      <c r="AO4" s="3211" t="s">
        <v>3200</v>
      </c>
      <c r="AP4" s="3211">
        <v>3.05</v>
      </c>
      <c r="AQ4" s="3211" t="s">
        <v>3204</v>
      </c>
      <c r="AR4" s="3211" t="s">
        <v>3205</v>
      </c>
      <c r="AS4" s="3211" t="s">
        <v>3205</v>
      </c>
    </row>
    <row r="5" spans="1:45">
      <c r="A5" s="3208" t="s">
        <v>3222</v>
      </c>
      <c r="B5" s="3208" t="s">
        <v>3223</v>
      </c>
      <c r="C5" s="3208" t="s">
        <v>3189</v>
      </c>
      <c r="D5" s="3208" t="s">
        <v>3190</v>
      </c>
      <c r="E5" s="3208" t="s">
        <v>3224</v>
      </c>
      <c r="F5" s="3208" t="s">
        <v>3225</v>
      </c>
      <c r="G5" s="3208" t="s">
        <v>3193</v>
      </c>
      <c r="H5" s="3208">
        <v>32364.71</v>
      </c>
      <c r="I5" s="3208">
        <v>77675.3</v>
      </c>
      <c r="J5" s="3208" t="s">
        <v>3226</v>
      </c>
      <c r="K5" s="3208" t="s">
        <v>3195</v>
      </c>
      <c r="L5" s="3208" t="s">
        <v>3196</v>
      </c>
      <c r="M5" s="3208" t="s">
        <v>3197</v>
      </c>
      <c r="N5" s="3208" t="s">
        <v>3198</v>
      </c>
      <c r="O5" s="3208" t="s">
        <v>3211</v>
      </c>
      <c r="P5" s="3208" t="s">
        <v>3227</v>
      </c>
      <c r="Q5" s="3208" t="s">
        <v>3200</v>
      </c>
      <c r="R5" s="3208" t="s">
        <v>3200</v>
      </c>
      <c r="S5" s="3208" t="s">
        <v>3200</v>
      </c>
      <c r="T5" s="3208" t="s">
        <v>3200</v>
      </c>
      <c r="U5" s="3208" t="s">
        <v>3200</v>
      </c>
      <c r="V5" s="3208" t="s">
        <v>3200</v>
      </c>
      <c r="W5" s="3208" t="s">
        <v>3200</v>
      </c>
      <c r="X5" s="3210">
        <v>44481.000497685185</v>
      </c>
      <c r="Y5" s="3210">
        <v>44502.000497685185</v>
      </c>
      <c r="Z5" s="3210">
        <v>44502.000497685185</v>
      </c>
      <c r="AA5" s="3210">
        <v>44502.000497685185</v>
      </c>
      <c r="AB5" s="3208" t="s">
        <v>3228</v>
      </c>
      <c r="AC5" s="3208" t="s">
        <v>3202</v>
      </c>
      <c r="AD5" s="3208" t="s">
        <v>3229</v>
      </c>
      <c r="AE5" s="3208" t="s">
        <v>3230</v>
      </c>
      <c r="AF5" s="3208">
        <v>11165.81</v>
      </c>
      <c r="AG5" s="3208">
        <v>6700</v>
      </c>
      <c r="AH5" s="3210">
        <v>44501.708831018521</v>
      </c>
      <c r="AI5" s="3208">
        <v>12913.52</v>
      </c>
      <c r="AJ5" s="3208">
        <v>230</v>
      </c>
      <c r="AK5" s="3208">
        <v>266</v>
      </c>
      <c r="AL5" s="3208">
        <v>1437</v>
      </c>
      <c r="AM5" s="3208">
        <v>1663</v>
      </c>
      <c r="AN5" s="3208" t="s">
        <v>3200</v>
      </c>
      <c r="AO5" s="3208" t="s">
        <v>3200</v>
      </c>
      <c r="AP5" s="3208">
        <v>15.65</v>
      </c>
      <c r="AQ5" s="3208" t="s">
        <v>3204</v>
      </c>
      <c r="AR5" s="3208" t="s">
        <v>3205</v>
      </c>
      <c r="AS5" s="3208" t="s">
        <v>3205</v>
      </c>
    </row>
    <row r="6" spans="1:45">
      <c r="A6" s="3208" t="s">
        <v>3231</v>
      </c>
      <c r="B6" s="3208" t="s">
        <v>3232</v>
      </c>
      <c r="C6" s="3208" t="s">
        <v>3189</v>
      </c>
      <c r="D6" s="3208" t="s">
        <v>3190</v>
      </c>
      <c r="E6" s="3208" t="s">
        <v>3233</v>
      </c>
      <c r="F6" s="3208" t="s">
        <v>3234</v>
      </c>
      <c r="G6" s="3208" t="s">
        <v>3193</v>
      </c>
      <c r="H6" s="3208">
        <v>16980.2</v>
      </c>
      <c r="I6" s="3208">
        <v>43588.17</v>
      </c>
      <c r="J6" s="3208" t="s">
        <v>3235</v>
      </c>
      <c r="K6" s="3208" t="s">
        <v>3195</v>
      </c>
      <c r="L6" s="3208" t="s">
        <v>3196</v>
      </c>
      <c r="M6" s="3208" t="s">
        <v>3197</v>
      </c>
      <c r="N6" s="3208" t="s">
        <v>3198</v>
      </c>
      <c r="O6" s="3208" t="s">
        <v>3236</v>
      </c>
      <c r="P6" s="3208" t="s">
        <v>3200</v>
      </c>
      <c r="Q6" s="3208" t="s">
        <v>3200</v>
      </c>
      <c r="R6" s="3208" t="s">
        <v>3200</v>
      </c>
      <c r="S6" s="3208" t="s">
        <v>3200</v>
      </c>
      <c r="T6" s="3208" t="s">
        <v>3200</v>
      </c>
      <c r="U6" s="3208" t="s">
        <v>3200</v>
      </c>
      <c r="V6" s="3208" t="s">
        <v>3200</v>
      </c>
      <c r="W6" s="3208" t="s">
        <v>3200</v>
      </c>
      <c r="X6" s="3210">
        <v>44350.000497685185</v>
      </c>
      <c r="Y6" s="3210">
        <v>44490.000497685185</v>
      </c>
      <c r="Z6" s="3210">
        <v>44490.000497685185</v>
      </c>
      <c r="AA6" s="3210">
        <v>44490.000497685185</v>
      </c>
      <c r="AB6" s="3208" t="s">
        <v>3237</v>
      </c>
      <c r="AC6" s="3208" t="s">
        <v>3202</v>
      </c>
      <c r="AD6" s="3208" t="s">
        <v>3238</v>
      </c>
      <c r="AE6" s="3208" t="s">
        <v>3200</v>
      </c>
      <c r="AF6" s="3208">
        <v>1095.22</v>
      </c>
      <c r="AG6" s="3208">
        <v>537</v>
      </c>
      <c r="AH6" s="3210">
        <v>44489.708831018521</v>
      </c>
      <c r="AI6" s="3208">
        <v>1197.0899999999999</v>
      </c>
      <c r="AJ6" s="3208">
        <v>43</v>
      </c>
      <c r="AK6" s="3208">
        <v>47</v>
      </c>
      <c r="AL6" s="3208">
        <v>251</v>
      </c>
      <c r="AM6" s="3208">
        <v>275</v>
      </c>
      <c r="AN6" s="3208" t="s">
        <v>3200</v>
      </c>
      <c r="AO6" s="3208" t="s">
        <v>3200</v>
      </c>
      <c r="AP6" s="3208">
        <v>9.3000000000000007</v>
      </c>
      <c r="AQ6" s="3208" t="s">
        <v>3204</v>
      </c>
      <c r="AR6" s="3208" t="s">
        <v>3205</v>
      </c>
      <c r="AS6" s="3208" t="s">
        <v>3205</v>
      </c>
    </row>
    <row r="7" spans="1:45">
      <c r="A7" s="3208" t="s">
        <v>3239</v>
      </c>
      <c r="B7" s="3208" t="s">
        <v>3240</v>
      </c>
      <c r="C7" s="3208" t="s">
        <v>3189</v>
      </c>
      <c r="D7" s="3208" t="s">
        <v>3190</v>
      </c>
      <c r="E7" s="3208" t="s">
        <v>3191</v>
      </c>
      <c r="F7" s="3208" t="s">
        <v>3241</v>
      </c>
      <c r="G7" s="3208" t="s">
        <v>3193</v>
      </c>
      <c r="H7" s="3208">
        <v>28239.85</v>
      </c>
      <c r="I7" s="3208">
        <v>98811.24</v>
      </c>
      <c r="J7" s="3208" t="s">
        <v>3242</v>
      </c>
      <c r="K7" s="3208" t="s">
        <v>3195</v>
      </c>
      <c r="L7" s="3208" t="s">
        <v>3196</v>
      </c>
      <c r="M7" s="3208" t="s">
        <v>3197</v>
      </c>
      <c r="N7" s="3208" t="s">
        <v>3198</v>
      </c>
      <c r="O7" s="3208" t="s">
        <v>3243</v>
      </c>
      <c r="P7" s="3208" t="s">
        <v>3200</v>
      </c>
      <c r="Q7" s="3208" t="s">
        <v>3200</v>
      </c>
      <c r="R7" s="3208" t="s">
        <v>3200</v>
      </c>
      <c r="S7" s="3208" t="s">
        <v>3200</v>
      </c>
      <c r="T7" s="3208" t="s">
        <v>3200</v>
      </c>
      <c r="U7" s="3208" t="s">
        <v>3200</v>
      </c>
      <c r="V7" s="3208" t="s">
        <v>3200</v>
      </c>
      <c r="W7" s="3208" t="s">
        <v>3200</v>
      </c>
      <c r="X7" s="3210">
        <v>44463.000497685185</v>
      </c>
      <c r="Y7" s="3210">
        <v>44484.000497685185</v>
      </c>
      <c r="Z7" s="3210">
        <v>44484.000497685185</v>
      </c>
      <c r="AA7" s="3210">
        <v>44484.000497685185</v>
      </c>
      <c r="AB7" s="3208" t="s">
        <v>3244</v>
      </c>
      <c r="AC7" s="3208" t="s">
        <v>3202</v>
      </c>
      <c r="AD7" s="3208" t="s">
        <v>3245</v>
      </c>
      <c r="AE7" s="3208" t="s">
        <v>3200</v>
      </c>
      <c r="AF7" s="3208">
        <v>3388.78</v>
      </c>
      <c r="AG7" s="3208">
        <v>1645</v>
      </c>
      <c r="AH7" s="3210">
        <v>44483.708831018521</v>
      </c>
      <c r="AI7" s="3208">
        <v>3558.21</v>
      </c>
      <c r="AJ7" s="3208">
        <v>80</v>
      </c>
      <c r="AK7" s="3208">
        <v>84</v>
      </c>
      <c r="AL7" s="3208">
        <v>343</v>
      </c>
      <c r="AM7" s="3208">
        <v>360</v>
      </c>
      <c r="AN7" s="3208" t="s">
        <v>3200</v>
      </c>
      <c r="AO7" s="3208" t="s">
        <v>3200</v>
      </c>
      <c r="AP7" s="3208">
        <v>5</v>
      </c>
      <c r="AQ7" s="3208" t="s">
        <v>3204</v>
      </c>
      <c r="AR7" s="3208" t="s">
        <v>3205</v>
      </c>
      <c r="AS7" s="3208" t="s">
        <v>3205</v>
      </c>
    </row>
    <row r="8" spans="1:45">
      <c r="A8" s="3208" t="s">
        <v>3246</v>
      </c>
      <c r="B8" s="3208" t="s">
        <v>3247</v>
      </c>
      <c r="C8" s="3208" t="s">
        <v>3189</v>
      </c>
      <c r="D8" s="3208" t="s">
        <v>3190</v>
      </c>
      <c r="E8" s="3208" t="s">
        <v>3233</v>
      </c>
      <c r="F8" s="3208" t="s">
        <v>3248</v>
      </c>
      <c r="G8" s="3208" t="s">
        <v>3193</v>
      </c>
      <c r="H8" s="3208">
        <v>48938.3</v>
      </c>
      <c r="I8" s="3208">
        <v>102770.43</v>
      </c>
      <c r="J8" s="3208" t="s">
        <v>3249</v>
      </c>
      <c r="K8" s="3208" t="s">
        <v>3195</v>
      </c>
      <c r="L8" s="3208" t="s">
        <v>3196</v>
      </c>
      <c r="M8" s="3208" t="s">
        <v>3197</v>
      </c>
      <c r="N8" s="3208" t="s">
        <v>3198</v>
      </c>
      <c r="O8" s="3208" t="s">
        <v>3250</v>
      </c>
      <c r="P8" s="3208" t="s">
        <v>3251</v>
      </c>
      <c r="Q8" s="3208" t="s">
        <v>3200</v>
      </c>
      <c r="R8" s="3208" t="s">
        <v>3200</v>
      </c>
      <c r="S8" s="3208" t="s">
        <v>3200</v>
      </c>
      <c r="T8" s="3208" t="s">
        <v>3200</v>
      </c>
      <c r="U8" s="3208" t="s">
        <v>3200</v>
      </c>
      <c r="V8" s="3208" t="s">
        <v>3200</v>
      </c>
      <c r="W8" s="3208" t="s">
        <v>3200</v>
      </c>
      <c r="X8" s="3210">
        <v>44379.000497685185</v>
      </c>
      <c r="Y8" s="3210">
        <v>44403.000497685185</v>
      </c>
      <c r="Z8" s="3210">
        <v>44403.000497685185</v>
      </c>
      <c r="AA8" s="3210">
        <v>44403.000497685185</v>
      </c>
      <c r="AB8" s="3208" t="s">
        <v>3252</v>
      </c>
      <c r="AC8" s="3208" t="s">
        <v>3202</v>
      </c>
      <c r="AD8" s="3208" t="s">
        <v>3253</v>
      </c>
      <c r="AE8" s="3208" t="s">
        <v>3254</v>
      </c>
      <c r="AF8" s="3208">
        <v>16883.7</v>
      </c>
      <c r="AG8" s="3208">
        <v>3377</v>
      </c>
      <c r="AH8" s="3210">
        <v>44400.708831018521</v>
      </c>
      <c r="AI8" s="3208">
        <v>17324.150000000001</v>
      </c>
      <c r="AJ8" s="3208">
        <v>230</v>
      </c>
      <c r="AK8" s="3208">
        <v>236</v>
      </c>
      <c r="AL8" s="3208">
        <v>1643</v>
      </c>
      <c r="AM8" s="3208">
        <v>1686</v>
      </c>
      <c r="AN8" s="3208" t="s">
        <v>3200</v>
      </c>
      <c r="AO8" s="3208" t="s">
        <v>3200</v>
      </c>
      <c r="AP8" s="3208">
        <v>2.61</v>
      </c>
      <c r="AQ8" s="3208" t="s">
        <v>3204</v>
      </c>
      <c r="AR8" s="3208" t="s">
        <v>3205</v>
      </c>
      <c r="AS8" s="3208" t="s">
        <v>3205</v>
      </c>
    </row>
    <row r="9" spans="1:45">
      <c r="A9" s="3208" t="s">
        <v>3255</v>
      </c>
      <c r="B9" s="3208" t="s">
        <v>3256</v>
      </c>
      <c r="C9" s="3208" t="s">
        <v>3189</v>
      </c>
      <c r="D9" s="3208" t="s">
        <v>3190</v>
      </c>
      <c r="E9" s="3208" t="s">
        <v>3233</v>
      </c>
      <c r="F9" s="3208" t="s">
        <v>3257</v>
      </c>
      <c r="G9" s="3208" t="s">
        <v>3193</v>
      </c>
      <c r="H9" s="3208">
        <v>23013.62</v>
      </c>
      <c r="I9" s="3208">
        <v>73643.58</v>
      </c>
      <c r="J9" s="3208" t="s">
        <v>3258</v>
      </c>
      <c r="K9" s="3208" t="s">
        <v>3195</v>
      </c>
      <c r="L9" s="3208" t="s">
        <v>3196</v>
      </c>
      <c r="M9" s="3208" t="s">
        <v>3197</v>
      </c>
      <c r="N9" s="3208" t="s">
        <v>3198</v>
      </c>
      <c r="O9" s="3208" t="s">
        <v>3211</v>
      </c>
      <c r="P9" s="3208" t="s">
        <v>3259</v>
      </c>
      <c r="Q9" s="3208" t="s">
        <v>3200</v>
      </c>
      <c r="R9" s="3208" t="s">
        <v>3200</v>
      </c>
      <c r="S9" s="3208" t="s">
        <v>3200</v>
      </c>
      <c r="T9" s="3208" t="s">
        <v>3200</v>
      </c>
      <c r="U9" s="3208" t="s">
        <v>3200</v>
      </c>
      <c r="V9" s="3208" t="s">
        <v>3200</v>
      </c>
      <c r="W9" s="3208" t="s">
        <v>3200</v>
      </c>
      <c r="X9" s="3210">
        <v>44365.000497685185</v>
      </c>
      <c r="Y9" s="3210">
        <v>44386.000497685185</v>
      </c>
      <c r="Z9" s="3210">
        <v>44386.000497685185</v>
      </c>
      <c r="AA9" s="3210">
        <v>44386.000497685185</v>
      </c>
      <c r="AB9" s="3208" t="s">
        <v>3260</v>
      </c>
      <c r="AC9" s="3208" t="s">
        <v>3202</v>
      </c>
      <c r="AD9" s="3208" t="s">
        <v>3261</v>
      </c>
      <c r="AE9" s="3208" t="s">
        <v>3262</v>
      </c>
      <c r="AF9" s="3208">
        <v>10632.29</v>
      </c>
      <c r="AG9" s="3208">
        <v>2003</v>
      </c>
      <c r="AH9" s="3210">
        <v>44385.708831018521</v>
      </c>
      <c r="AI9" s="3208">
        <v>10632.29</v>
      </c>
      <c r="AJ9" s="3208">
        <v>308</v>
      </c>
      <c r="AK9" s="3208">
        <v>308</v>
      </c>
      <c r="AL9" s="3208">
        <v>1444</v>
      </c>
      <c r="AM9" s="3208">
        <v>1444</v>
      </c>
      <c r="AN9" s="3208" t="s">
        <v>3200</v>
      </c>
      <c r="AO9" s="3208" t="s">
        <v>3200</v>
      </c>
      <c r="AP9" s="3208">
        <v>0</v>
      </c>
      <c r="AQ9" s="3208" t="s">
        <v>3204</v>
      </c>
      <c r="AR9" s="3208" t="s">
        <v>3205</v>
      </c>
      <c r="AS9" s="3208" t="s">
        <v>3205</v>
      </c>
    </row>
    <row r="10" spans="1:45">
      <c r="A10" s="3208" t="s">
        <v>3263</v>
      </c>
      <c r="B10" s="3208" t="s">
        <v>3264</v>
      </c>
      <c r="C10" s="3208" t="s">
        <v>3189</v>
      </c>
      <c r="D10" s="3208" t="s">
        <v>3190</v>
      </c>
      <c r="E10" s="3208" t="s">
        <v>3224</v>
      </c>
      <c r="F10" s="3208" t="s">
        <v>3265</v>
      </c>
      <c r="G10" s="3208" t="s">
        <v>3193</v>
      </c>
      <c r="H10" s="3208">
        <v>31057.07</v>
      </c>
      <c r="I10" s="3208">
        <v>108699.75</v>
      </c>
      <c r="J10" s="3208" t="s">
        <v>3266</v>
      </c>
      <c r="K10" s="3208" t="s">
        <v>3195</v>
      </c>
      <c r="L10" s="3208" t="s">
        <v>3196</v>
      </c>
      <c r="M10" s="3208" t="s">
        <v>3197</v>
      </c>
      <c r="N10" s="3208" t="s">
        <v>3198</v>
      </c>
      <c r="O10" s="3208" t="s">
        <v>3267</v>
      </c>
      <c r="P10" s="3208" t="s">
        <v>3259</v>
      </c>
      <c r="Q10" s="3208" t="s">
        <v>3200</v>
      </c>
      <c r="R10" s="3208" t="s">
        <v>3200</v>
      </c>
      <c r="S10" s="3208" t="s">
        <v>3200</v>
      </c>
      <c r="T10" s="3208" t="s">
        <v>3200</v>
      </c>
      <c r="U10" s="3208" t="s">
        <v>3200</v>
      </c>
      <c r="V10" s="3208" t="s">
        <v>3200</v>
      </c>
      <c r="W10" s="3208" t="s">
        <v>3200</v>
      </c>
      <c r="X10" s="3210">
        <v>44362.000497685185</v>
      </c>
      <c r="Y10" s="3210">
        <v>44383.000497685185</v>
      </c>
      <c r="Z10" s="3210">
        <v>44383.000497685185</v>
      </c>
      <c r="AA10" s="3210">
        <v>44383.000497685185</v>
      </c>
      <c r="AB10" s="3208" t="s">
        <v>3268</v>
      </c>
      <c r="AC10" s="3208" t="s">
        <v>3202</v>
      </c>
      <c r="AD10" s="3208" t="s">
        <v>3269</v>
      </c>
      <c r="AE10" s="3208" t="s">
        <v>3270</v>
      </c>
      <c r="AF10" s="3208">
        <v>16306.5</v>
      </c>
      <c r="AG10" s="3208">
        <v>3262</v>
      </c>
      <c r="AH10" s="3210">
        <v>44382.708831018521</v>
      </c>
      <c r="AI10" s="3208">
        <v>17000</v>
      </c>
      <c r="AJ10" s="3208">
        <v>350.03</v>
      </c>
      <c r="AK10" s="3208">
        <v>364.92</v>
      </c>
      <c r="AL10" s="3208">
        <v>1500</v>
      </c>
      <c r="AM10" s="3208">
        <v>1564</v>
      </c>
      <c r="AN10" s="3208" t="s">
        <v>3200</v>
      </c>
      <c r="AO10" s="3208" t="s">
        <v>3200</v>
      </c>
      <c r="AP10" s="3208">
        <v>4.25</v>
      </c>
      <c r="AQ10" s="3208" t="s">
        <v>3204</v>
      </c>
      <c r="AR10" s="3208" t="s">
        <v>3205</v>
      </c>
      <c r="AS10" s="3208" t="s">
        <v>3205</v>
      </c>
    </row>
    <row r="11" spans="1:45">
      <c r="A11" s="3208" t="s">
        <v>3271</v>
      </c>
      <c r="B11" s="3208" t="s">
        <v>3272</v>
      </c>
      <c r="C11" s="3208" t="s">
        <v>3189</v>
      </c>
      <c r="D11" s="3208" t="s">
        <v>3190</v>
      </c>
      <c r="E11" s="3208" t="s">
        <v>3208</v>
      </c>
      <c r="F11" s="3208" t="s">
        <v>3273</v>
      </c>
      <c r="G11" s="3208" t="s">
        <v>3193</v>
      </c>
      <c r="H11" s="3208">
        <v>22089.17</v>
      </c>
      <c r="I11" s="3208">
        <v>121490.44</v>
      </c>
      <c r="J11" s="3208" t="s">
        <v>3274</v>
      </c>
      <c r="K11" s="3208" t="s">
        <v>3195</v>
      </c>
      <c r="L11" s="3208" t="s">
        <v>3196</v>
      </c>
      <c r="M11" s="3208" t="s">
        <v>3197</v>
      </c>
      <c r="N11" s="3208" t="s">
        <v>3198</v>
      </c>
      <c r="O11" s="3208" t="s">
        <v>3275</v>
      </c>
      <c r="P11" s="3208" t="s">
        <v>3276</v>
      </c>
      <c r="Q11" s="3208" t="s">
        <v>3200</v>
      </c>
      <c r="R11" s="3208" t="s">
        <v>3200</v>
      </c>
      <c r="S11" s="3208" t="s">
        <v>3200</v>
      </c>
      <c r="T11" s="3208" t="s">
        <v>3200</v>
      </c>
      <c r="U11" s="3208" t="s">
        <v>3200</v>
      </c>
      <c r="V11" s="3208" t="s">
        <v>3200</v>
      </c>
      <c r="W11" s="3208" t="s">
        <v>3200</v>
      </c>
      <c r="X11" s="3210">
        <v>44362.000497685185</v>
      </c>
      <c r="Y11" s="3210">
        <v>44383.000497685185</v>
      </c>
      <c r="Z11" s="3210">
        <v>44383.000497685185</v>
      </c>
      <c r="AA11" s="3210">
        <v>44383.000497685185</v>
      </c>
      <c r="AB11" s="3208" t="s">
        <v>3268</v>
      </c>
      <c r="AC11" s="3208" t="s">
        <v>3202</v>
      </c>
      <c r="AD11" s="3208" t="s">
        <v>3277</v>
      </c>
      <c r="AE11" s="3208" t="s">
        <v>3278</v>
      </c>
      <c r="AF11" s="3208">
        <v>12590.92</v>
      </c>
      <c r="AG11" s="3208">
        <v>2519</v>
      </c>
      <c r="AH11" s="3210">
        <v>44382.708831018521</v>
      </c>
      <c r="AI11" s="3208">
        <v>13500</v>
      </c>
      <c r="AJ11" s="3208">
        <v>380</v>
      </c>
      <c r="AK11" s="3208">
        <v>407.44</v>
      </c>
      <c r="AL11" s="3208">
        <v>1036</v>
      </c>
      <c r="AM11" s="3208">
        <v>1111</v>
      </c>
      <c r="AN11" s="3208" t="s">
        <v>3200</v>
      </c>
      <c r="AO11" s="3208" t="s">
        <v>3200</v>
      </c>
      <c r="AP11" s="3208">
        <v>7.22</v>
      </c>
      <c r="AQ11" s="3208" t="s">
        <v>3204</v>
      </c>
      <c r="AR11" s="3208" t="s">
        <v>3205</v>
      </c>
      <c r="AS11" s="3208" t="s">
        <v>3205</v>
      </c>
    </row>
    <row r="12" spans="1:45">
      <c r="A12" s="3208" t="s">
        <v>3279</v>
      </c>
      <c r="B12" s="3208" t="s">
        <v>3280</v>
      </c>
      <c r="C12" s="3208" t="s">
        <v>3189</v>
      </c>
      <c r="D12" s="3208" t="s">
        <v>3190</v>
      </c>
      <c r="E12" s="3208" t="s">
        <v>3191</v>
      </c>
      <c r="F12" s="3208" t="s">
        <v>3281</v>
      </c>
      <c r="G12" s="3208" t="s">
        <v>3193</v>
      </c>
      <c r="H12" s="3208">
        <v>85643.49</v>
      </c>
      <c r="I12" s="3208">
        <v>222673.07</v>
      </c>
      <c r="J12" s="3208" t="s">
        <v>3282</v>
      </c>
      <c r="K12" s="3208" t="s">
        <v>3195</v>
      </c>
      <c r="L12" s="3208" t="s">
        <v>3196</v>
      </c>
      <c r="M12" s="3208" t="s">
        <v>3197</v>
      </c>
      <c r="N12" s="3208" t="s">
        <v>3198</v>
      </c>
      <c r="O12" s="3208" t="s">
        <v>3211</v>
      </c>
      <c r="P12" s="3208" t="s">
        <v>3259</v>
      </c>
      <c r="Q12" s="3208" t="s">
        <v>3200</v>
      </c>
      <c r="R12" s="3208" t="s">
        <v>3200</v>
      </c>
      <c r="S12" s="3208" t="s">
        <v>3200</v>
      </c>
      <c r="T12" s="3208" t="s">
        <v>3200</v>
      </c>
      <c r="U12" s="3208" t="s">
        <v>3200</v>
      </c>
      <c r="V12" s="3208" t="s">
        <v>3200</v>
      </c>
      <c r="W12" s="3208" t="s">
        <v>3200</v>
      </c>
      <c r="X12" s="3210">
        <v>44344.000497685185</v>
      </c>
      <c r="Y12" s="3210">
        <v>44365.000497685185</v>
      </c>
      <c r="Z12" s="3210">
        <v>44365.000497685185</v>
      </c>
      <c r="AA12" s="3210">
        <v>44365.000497685185</v>
      </c>
      <c r="AB12" s="3208" t="s">
        <v>3283</v>
      </c>
      <c r="AC12" s="3208" t="s">
        <v>3202</v>
      </c>
      <c r="AD12" s="3208" t="s">
        <v>3284</v>
      </c>
      <c r="AE12" s="3208" t="s">
        <v>3285</v>
      </c>
      <c r="AF12" s="3208">
        <v>30317.79</v>
      </c>
      <c r="AG12" s="3208">
        <v>6064</v>
      </c>
      <c r="AH12" s="3210">
        <v>44364.708831018521</v>
      </c>
      <c r="AI12" s="3208">
        <v>32116.31</v>
      </c>
      <c r="AJ12" s="3208">
        <v>236</v>
      </c>
      <c r="AK12" s="3208">
        <v>250</v>
      </c>
      <c r="AL12" s="3208">
        <v>1362</v>
      </c>
      <c r="AM12" s="3208">
        <v>1442</v>
      </c>
      <c r="AN12" s="3208" t="s">
        <v>3200</v>
      </c>
      <c r="AO12" s="3208" t="s">
        <v>3200</v>
      </c>
      <c r="AP12" s="3208">
        <v>5.93</v>
      </c>
      <c r="AQ12" s="3208" t="s">
        <v>3204</v>
      </c>
      <c r="AR12" s="3208" t="s">
        <v>3205</v>
      </c>
      <c r="AS12" s="3208" t="s">
        <v>3205</v>
      </c>
    </row>
    <row r="13" spans="1:45">
      <c r="A13" s="3208" t="s">
        <v>3286</v>
      </c>
      <c r="B13" s="3208" t="s">
        <v>3287</v>
      </c>
      <c r="C13" s="3208" t="s">
        <v>3189</v>
      </c>
      <c r="D13" s="3208" t="s">
        <v>3190</v>
      </c>
      <c r="E13" s="3208" t="s">
        <v>3208</v>
      </c>
      <c r="F13" s="3208" t="s">
        <v>3288</v>
      </c>
      <c r="G13" s="3208" t="s">
        <v>3193</v>
      </c>
      <c r="H13" s="3208">
        <v>15024</v>
      </c>
      <c r="I13" s="3208">
        <v>52584</v>
      </c>
      <c r="J13" s="3208" t="s">
        <v>3266</v>
      </c>
      <c r="K13" s="3208" t="s">
        <v>3195</v>
      </c>
      <c r="L13" s="3208" t="s">
        <v>3196</v>
      </c>
      <c r="M13" s="3208" t="s">
        <v>3197</v>
      </c>
      <c r="N13" s="3208" t="s">
        <v>3198</v>
      </c>
      <c r="O13" s="3208" t="s">
        <v>3218</v>
      </c>
      <c r="P13" s="3208" t="s">
        <v>3289</v>
      </c>
      <c r="Q13" s="3208" t="s">
        <v>3200</v>
      </c>
      <c r="R13" s="3208" t="s">
        <v>3200</v>
      </c>
      <c r="S13" s="3208" t="s">
        <v>3200</v>
      </c>
      <c r="T13" s="3208" t="s">
        <v>3200</v>
      </c>
      <c r="U13" s="3208" t="s">
        <v>3200</v>
      </c>
      <c r="V13" s="3208" t="s">
        <v>3200</v>
      </c>
      <c r="W13" s="3208" t="s">
        <v>3200</v>
      </c>
      <c r="X13" s="3210">
        <v>44336.000497685185</v>
      </c>
      <c r="Y13" s="3210">
        <v>44357.000497685185</v>
      </c>
      <c r="Z13" s="3210">
        <v>44357.000497685185</v>
      </c>
      <c r="AA13" s="3210">
        <v>44356.000497685185</v>
      </c>
      <c r="AB13" s="3208" t="s">
        <v>3290</v>
      </c>
      <c r="AC13" s="3208" t="s">
        <v>3202</v>
      </c>
      <c r="AD13" s="3208" t="s">
        <v>3291</v>
      </c>
      <c r="AE13" s="3208" t="s">
        <v>3200</v>
      </c>
      <c r="AF13" s="3208">
        <v>7436.88</v>
      </c>
      <c r="AG13" s="3208">
        <v>1487</v>
      </c>
      <c r="AH13" s="3210">
        <v>44356.708831018521</v>
      </c>
      <c r="AI13" s="3208">
        <v>7977.73</v>
      </c>
      <c r="AJ13" s="3208">
        <v>330</v>
      </c>
      <c r="AK13" s="3208">
        <v>354</v>
      </c>
      <c r="AL13" s="3208">
        <v>1414</v>
      </c>
      <c r="AM13" s="3208">
        <v>1517</v>
      </c>
      <c r="AN13" s="3208" t="s">
        <v>3200</v>
      </c>
      <c r="AO13" s="3208" t="s">
        <v>3200</v>
      </c>
      <c r="AP13" s="3208">
        <v>7.27</v>
      </c>
      <c r="AQ13" s="3208" t="s">
        <v>3204</v>
      </c>
      <c r="AR13" s="3208" t="s">
        <v>3205</v>
      </c>
      <c r="AS13" s="3208" t="s">
        <v>3205</v>
      </c>
    </row>
    <row r="14" spans="1:45">
      <c r="A14" s="3208" t="s">
        <v>3292</v>
      </c>
      <c r="B14" s="3208" t="s">
        <v>3293</v>
      </c>
      <c r="C14" s="3208" t="s">
        <v>3189</v>
      </c>
      <c r="D14" s="3208" t="s">
        <v>3190</v>
      </c>
      <c r="E14" s="3208" t="s">
        <v>3233</v>
      </c>
      <c r="F14" s="3208" t="s">
        <v>3294</v>
      </c>
      <c r="G14" s="3208" t="s">
        <v>3193</v>
      </c>
      <c r="H14" s="3208">
        <v>9709.89</v>
      </c>
      <c r="I14" s="3208">
        <v>42830.32</v>
      </c>
      <c r="J14" s="3208" t="s">
        <v>3295</v>
      </c>
      <c r="K14" s="3208" t="s">
        <v>3195</v>
      </c>
      <c r="L14" s="3208" t="s">
        <v>3196</v>
      </c>
      <c r="M14" s="3208" t="s">
        <v>3197</v>
      </c>
      <c r="N14" s="3208" t="s">
        <v>3198</v>
      </c>
      <c r="O14" s="3208" t="s">
        <v>3296</v>
      </c>
      <c r="P14" s="3208" t="s">
        <v>3297</v>
      </c>
      <c r="Q14" s="3208" t="s">
        <v>3200</v>
      </c>
      <c r="R14" s="3208" t="s">
        <v>3200</v>
      </c>
      <c r="S14" s="3208" t="s">
        <v>3200</v>
      </c>
      <c r="T14" s="3208" t="s">
        <v>3200</v>
      </c>
      <c r="U14" s="3208" t="s">
        <v>3200</v>
      </c>
      <c r="V14" s="3208" t="s">
        <v>3200</v>
      </c>
      <c r="W14" s="3208" t="s">
        <v>3200</v>
      </c>
      <c r="X14" s="3210">
        <v>44327.000497685185</v>
      </c>
      <c r="Y14" s="3210">
        <v>44348.000497685185</v>
      </c>
      <c r="Z14" s="3210">
        <v>44348.000497685185</v>
      </c>
      <c r="AA14" s="3210">
        <v>44348.000497685185</v>
      </c>
      <c r="AB14" s="3208" t="s">
        <v>3298</v>
      </c>
      <c r="AC14" s="3208" t="s">
        <v>3202</v>
      </c>
      <c r="AD14" s="3208" t="s">
        <v>3299</v>
      </c>
      <c r="AE14" s="3208" t="s">
        <v>3200</v>
      </c>
      <c r="AF14" s="3208">
        <v>873.88</v>
      </c>
      <c r="AG14" s="3208">
        <v>429</v>
      </c>
      <c r="AH14" s="3210">
        <v>44347.708831018521</v>
      </c>
      <c r="AI14" s="3208">
        <v>961.27</v>
      </c>
      <c r="AJ14" s="3208">
        <v>60</v>
      </c>
      <c r="AK14" s="3208">
        <v>66</v>
      </c>
      <c r="AL14" s="3208">
        <v>204</v>
      </c>
      <c r="AM14" s="3208">
        <v>224</v>
      </c>
      <c r="AN14" s="3208" t="s">
        <v>3200</v>
      </c>
      <c r="AO14" s="3208" t="s">
        <v>3200</v>
      </c>
      <c r="AP14" s="3208">
        <v>10</v>
      </c>
      <c r="AQ14" s="3208" t="s">
        <v>3204</v>
      </c>
      <c r="AR14" s="3208" t="s">
        <v>3205</v>
      </c>
      <c r="AS14" s="3208" t="s">
        <v>3205</v>
      </c>
    </row>
    <row r="15" spans="1:45" s="3219" customFormat="1">
      <c r="A15" s="3217" t="s">
        <v>3300</v>
      </c>
      <c r="B15" s="3217" t="s">
        <v>3301</v>
      </c>
      <c r="C15" s="3217" t="s">
        <v>3189</v>
      </c>
      <c r="D15" s="3217" t="s">
        <v>3190</v>
      </c>
      <c r="E15" s="3217" t="s">
        <v>3215</v>
      </c>
      <c r="F15" s="3217" t="s">
        <v>3302</v>
      </c>
      <c r="G15" s="3217" t="s">
        <v>3193</v>
      </c>
      <c r="H15" s="3217">
        <v>27355.65</v>
      </c>
      <c r="I15" s="3217">
        <v>71124.69</v>
      </c>
      <c r="J15" s="3217" t="s">
        <v>3303</v>
      </c>
      <c r="K15" s="3217" t="s">
        <v>3195</v>
      </c>
      <c r="L15" s="3217" t="s">
        <v>3196</v>
      </c>
      <c r="M15" s="3217" t="s">
        <v>3197</v>
      </c>
      <c r="N15" s="3217" t="s">
        <v>3198</v>
      </c>
      <c r="O15" s="3217" t="s">
        <v>3211</v>
      </c>
      <c r="P15" s="3217" t="s">
        <v>3227</v>
      </c>
      <c r="Q15" s="3217" t="s">
        <v>3200</v>
      </c>
      <c r="R15" s="3217" t="s">
        <v>3200</v>
      </c>
      <c r="S15" s="3217" t="s">
        <v>3200</v>
      </c>
      <c r="T15" s="3217" t="s">
        <v>3200</v>
      </c>
      <c r="U15" s="3217" t="s">
        <v>3200</v>
      </c>
      <c r="V15" s="3217" t="s">
        <v>3200</v>
      </c>
      <c r="W15" s="3217" t="s">
        <v>3200</v>
      </c>
      <c r="X15" s="3218">
        <v>44324.000497685185</v>
      </c>
      <c r="Y15" s="3218">
        <v>44347.000497685185</v>
      </c>
      <c r="Z15" s="3218">
        <v>44347.000497685185</v>
      </c>
      <c r="AA15" s="3218">
        <v>44347.000497685185</v>
      </c>
      <c r="AB15" s="3217" t="s">
        <v>3304</v>
      </c>
      <c r="AC15" s="3217" t="s">
        <v>3202</v>
      </c>
      <c r="AD15" s="3217" t="s">
        <v>3305</v>
      </c>
      <c r="AE15" s="3217" t="s">
        <v>3306</v>
      </c>
      <c r="AF15" s="3217" t="s">
        <v>3200</v>
      </c>
      <c r="AG15" s="3217">
        <v>2627</v>
      </c>
      <c r="AH15" s="3218">
        <v>44344.708831018521</v>
      </c>
      <c r="AI15" s="3217">
        <v>15592.71</v>
      </c>
      <c r="AJ15" s="3217" t="s">
        <v>3200</v>
      </c>
      <c r="AK15" s="3217">
        <v>380</v>
      </c>
      <c r="AL15" s="3217" t="s">
        <v>3200</v>
      </c>
      <c r="AM15" s="3217">
        <v>2192</v>
      </c>
      <c r="AN15" s="3217" t="s">
        <v>3200</v>
      </c>
      <c r="AO15" s="3217" t="s">
        <v>3200</v>
      </c>
      <c r="AP15" s="3217">
        <v>0</v>
      </c>
      <c r="AQ15" s="3217" t="s">
        <v>3204</v>
      </c>
      <c r="AR15" s="3217" t="s">
        <v>3205</v>
      </c>
      <c r="AS15" s="3217" t="s">
        <v>3205</v>
      </c>
    </row>
    <row r="16" spans="1:45" s="3219" customFormat="1">
      <c r="A16" s="3217" t="s">
        <v>3307</v>
      </c>
      <c r="B16" s="3217" t="s">
        <v>3308</v>
      </c>
      <c r="C16" s="3217" t="s">
        <v>3189</v>
      </c>
      <c r="D16" s="3217" t="s">
        <v>3190</v>
      </c>
      <c r="E16" s="3217" t="s">
        <v>3215</v>
      </c>
      <c r="F16" s="3217" t="s">
        <v>3309</v>
      </c>
      <c r="G16" s="3217" t="s">
        <v>3193</v>
      </c>
      <c r="H16" s="3217">
        <v>40693.4</v>
      </c>
      <c r="I16" s="3217">
        <v>105802.84</v>
      </c>
      <c r="J16" s="3217" t="s">
        <v>3303</v>
      </c>
      <c r="K16" s="3217" t="s">
        <v>3195</v>
      </c>
      <c r="L16" s="3217" t="s">
        <v>3196</v>
      </c>
      <c r="M16" s="3217" t="s">
        <v>3197</v>
      </c>
      <c r="N16" s="3217" t="s">
        <v>3198</v>
      </c>
      <c r="O16" s="3217" t="s">
        <v>3211</v>
      </c>
      <c r="P16" s="3217" t="s">
        <v>3227</v>
      </c>
      <c r="Q16" s="3217" t="s">
        <v>3200</v>
      </c>
      <c r="R16" s="3217" t="s">
        <v>3200</v>
      </c>
      <c r="S16" s="3217" t="s">
        <v>3200</v>
      </c>
      <c r="T16" s="3217" t="s">
        <v>3200</v>
      </c>
      <c r="U16" s="3217" t="s">
        <v>3200</v>
      </c>
      <c r="V16" s="3217" t="s">
        <v>3200</v>
      </c>
      <c r="W16" s="3217" t="s">
        <v>3200</v>
      </c>
      <c r="X16" s="3218">
        <v>44324.000497685185</v>
      </c>
      <c r="Y16" s="3218">
        <v>44347.000497685185</v>
      </c>
      <c r="Z16" s="3218">
        <v>44347.000497685185</v>
      </c>
      <c r="AA16" s="3218">
        <v>44347.000497685185</v>
      </c>
      <c r="AB16" s="3217" t="s">
        <v>3304</v>
      </c>
      <c r="AC16" s="3217" t="s">
        <v>3202</v>
      </c>
      <c r="AD16" s="3217" t="s">
        <v>3310</v>
      </c>
      <c r="AE16" s="3217" t="s">
        <v>3311</v>
      </c>
      <c r="AF16" s="3217" t="s">
        <v>3200</v>
      </c>
      <c r="AG16" s="3217">
        <v>3907</v>
      </c>
      <c r="AH16" s="3218">
        <v>44344.708831018521</v>
      </c>
      <c r="AI16" s="3217">
        <v>26003.08</v>
      </c>
      <c r="AJ16" s="3217" t="s">
        <v>3200</v>
      </c>
      <c r="AK16" s="3217">
        <v>426</v>
      </c>
      <c r="AL16" s="3217" t="s">
        <v>3200</v>
      </c>
      <c r="AM16" s="3217">
        <v>2458</v>
      </c>
      <c r="AN16" s="3217" t="s">
        <v>3200</v>
      </c>
      <c r="AO16" s="3217" t="s">
        <v>3200</v>
      </c>
      <c r="AP16" s="3217">
        <v>0</v>
      </c>
      <c r="AQ16" s="3217" t="s">
        <v>3204</v>
      </c>
      <c r="AR16" s="3217" t="s">
        <v>3205</v>
      </c>
      <c r="AS16" s="3217" t="s">
        <v>3205</v>
      </c>
    </row>
    <row r="17" spans="1:45">
      <c r="A17" s="3208" t="s">
        <v>3312</v>
      </c>
      <c r="B17" s="3208" t="s">
        <v>3313</v>
      </c>
      <c r="C17" s="3208" t="s">
        <v>3189</v>
      </c>
      <c r="D17" s="3208" t="s">
        <v>3190</v>
      </c>
      <c r="E17" s="3208" t="s">
        <v>3208</v>
      </c>
      <c r="F17" s="3208" t="s">
        <v>3314</v>
      </c>
      <c r="G17" s="3208" t="s">
        <v>3315</v>
      </c>
      <c r="H17" s="3208">
        <v>2934.25</v>
      </c>
      <c r="I17" s="3208">
        <v>10269.879999999999</v>
      </c>
      <c r="J17" s="3208" t="s">
        <v>3266</v>
      </c>
      <c r="K17" s="3208" t="s">
        <v>3195</v>
      </c>
      <c r="L17" s="3208" t="s">
        <v>3196</v>
      </c>
      <c r="M17" s="3208" t="s">
        <v>3197</v>
      </c>
      <c r="N17" s="3208" t="s">
        <v>3198</v>
      </c>
      <c r="O17" s="3208" t="s">
        <v>3250</v>
      </c>
      <c r="P17" s="3208" t="s">
        <v>3289</v>
      </c>
      <c r="Q17" s="3208" t="s">
        <v>3200</v>
      </c>
      <c r="R17" s="3208" t="s">
        <v>3200</v>
      </c>
      <c r="S17" s="3208" t="s">
        <v>3200</v>
      </c>
      <c r="T17" s="3208" t="s">
        <v>3200</v>
      </c>
      <c r="U17" s="3208" t="s">
        <v>3200</v>
      </c>
      <c r="V17" s="3208" t="s">
        <v>3200</v>
      </c>
      <c r="W17" s="3208" t="s">
        <v>3200</v>
      </c>
      <c r="X17" s="3210">
        <v>44286.000497685185</v>
      </c>
      <c r="Y17" s="3210">
        <v>44344.000497685185</v>
      </c>
      <c r="Z17" s="3210">
        <v>44344.000497685185</v>
      </c>
      <c r="AA17" s="3210">
        <v>44344.000497685185</v>
      </c>
      <c r="AB17" s="3208" t="s">
        <v>3316</v>
      </c>
      <c r="AC17" s="3208" t="s">
        <v>3202</v>
      </c>
      <c r="AD17" s="3208" t="s">
        <v>3317</v>
      </c>
      <c r="AE17" s="3208" t="s">
        <v>3200</v>
      </c>
      <c r="AF17" s="3208">
        <v>1540.48</v>
      </c>
      <c r="AG17" s="3208">
        <v>309</v>
      </c>
      <c r="AH17" s="3210">
        <v>44306.708831018521</v>
      </c>
      <c r="AI17" s="3208">
        <v>1654.92</v>
      </c>
      <c r="AJ17" s="3208">
        <v>350</v>
      </c>
      <c r="AK17" s="3208">
        <v>376</v>
      </c>
      <c r="AL17" s="3208">
        <v>1500</v>
      </c>
      <c r="AM17" s="3208">
        <v>1611</v>
      </c>
      <c r="AN17" s="3208" t="s">
        <v>3200</v>
      </c>
      <c r="AO17" s="3208" t="s">
        <v>3200</v>
      </c>
      <c r="AP17" s="3208">
        <v>7.43</v>
      </c>
      <c r="AQ17" s="3208" t="s">
        <v>3204</v>
      </c>
      <c r="AR17" s="3208" t="s">
        <v>3205</v>
      </c>
      <c r="AS17" s="3208" t="s">
        <v>3205</v>
      </c>
    </row>
    <row r="18" spans="1:45">
      <c r="A18" s="3208" t="s">
        <v>3286</v>
      </c>
      <c r="B18" s="3208" t="s">
        <v>3287</v>
      </c>
      <c r="C18" s="3208" t="s">
        <v>3189</v>
      </c>
      <c r="D18" s="3208" t="s">
        <v>3190</v>
      </c>
      <c r="E18" s="3208" t="s">
        <v>3208</v>
      </c>
      <c r="F18" s="3208" t="s">
        <v>3288</v>
      </c>
      <c r="G18" s="3208" t="s">
        <v>3193</v>
      </c>
      <c r="H18" s="3208">
        <v>15023.98</v>
      </c>
      <c r="I18" s="3208">
        <v>52583.93</v>
      </c>
      <c r="J18" s="3208" t="s">
        <v>3266</v>
      </c>
      <c r="K18" s="3208" t="s">
        <v>3195</v>
      </c>
      <c r="L18" s="3208" t="s">
        <v>3196</v>
      </c>
      <c r="M18" s="3208" t="s">
        <v>3197</v>
      </c>
      <c r="N18" s="3208" t="s">
        <v>3198</v>
      </c>
      <c r="O18" s="3208" t="s">
        <v>3218</v>
      </c>
      <c r="P18" s="3208" t="s">
        <v>3289</v>
      </c>
      <c r="Q18" s="3208" t="s">
        <v>3200</v>
      </c>
      <c r="R18" s="3208" t="s">
        <v>3200</v>
      </c>
      <c r="S18" s="3208" t="s">
        <v>3200</v>
      </c>
      <c r="T18" s="3208" t="s">
        <v>3200</v>
      </c>
      <c r="U18" s="3208" t="s">
        <v>3200</v>
      </c>
      <c r="V18" s="3208" t="s">
        <v>3200</v>
      </c>
      <c r="W18" s="3208" t="s">
        <v>3200</v>
      </c>
      <c r="X18" s="3210">
        <v>44308.000497685185</v>
      </c>
      <c r="Y18" s="3210">
        <v>44329.000497685185</v>
      </c>
      <c r="Z18" s="3210">
        <v>44329.000497685185</v>
      </c>
      <c r="AA18" s="3210">
        <v>44329.000497685185</v>
      </c>
      <c r="AB18" s="3208" t="s">
        <v>3318</v>
      </c>
      <c r="AC18" s="3208" t="s">
        <v>3202</v>
      </c>
      <c r="AD18" s="3208" t="s">
        <v>3291</v>
      </c>
      <c r="AE18" s="3208" t="s">
        <v>3200</v>
      </c>
      <c r="AF18" s="3208">
        <v>7436.88</v>
      </c>
      <c r="AG18" s="3208">
        <v>1487</v>
      </c>
      <c r="AH18" s="3210">
        <v>44328.708831018521</v>
      </c>
      <c r="AI18" s="3208">
        <v>7977.73</v>
      </c>
      <c r="AJ18" s="3208">
        <v>330</v>
      </c>
      <c r="AK18" s="3208">
        <v>354</v>
      </c>
      <c r="AL18" s="3208">
        <v>1414</v>
      </c>
      <c r="AM18" s="3208">
        <v>1517</v>
      </c>
      <c r="AN18" s="3208" t="s">
        <v>3200</v>
      </c>
      <c r="AO18" s="3208" t="s">
        <v>3200</v>
      </c>
      <c r="AP18" s="3208">
        <v>7.27</v>
      </c>
      <c r="AQ18" s="3208" t="s">
        <v>3204</v>
      </c>
      <c r="AR18" s="3208" t="s">
        <v>3205</v>
      </c>
      <c r="AS18" s="3208" t="s">
        <v>3205</v>
      </c>
    </row>
    <row r="19" spans="1:45">
      <c r="A19" s="3208" t="s">
        <v>3319</v>
      </c>
      <c r="B19" s="3208" t="s">
        <v>3320</v>
      </c>
      <c r="C19" s="3208" t="s">
        <v>3189</v>
      </c>
      <c r="D19" s="3208" t="s">
        <v>3190</v>
      </c>
      <c r="E19" s="3208" t="s">
        <v>3208</v>
      </c>
      <c r="F19" s="3208" t="s">
        <v>3321</v>
      </c>
      <c r="G19" s="3208" t="s">
        <v>3193</v>
      </c>
      <c r="H19" s="3208">
        <v>33457.51</v>
      </c>
      <c r="I19" s="3208">
        <v>100372.53</v>
      </c>
      <c r="J19" s="3208" t="s">
        <v>3322</v>
      </c>
      <c r="K19" s="3208" t="s">
        <v>3195</v>
      </c>
      <c r="L19" s="3208" t="s">
        <v>3196</v>
      </c>
      <c r="M19" s="3208" t="s">
        <v>3197</v>
      </c>
      <c r="N19" s="3208" t="s">
        <v>3198</v>
      </c>
      <c r="O19" s="3208" t="s">
        <v>3267</v>
      </c>
      <c r="P19" s="3208" t="s">
        <v>3259</v>
      </c>
      <c r="Q19" s="3208" t="s">
        <v>3200</v>
      </c>
      <c r="R19" s="3208" t="s">
        <v>3200</v>
      </c>
      <c r="S19" s="3208" t="s">
        <v>3200</v>
      </c>
      <c r="T19" s="3208" t="s">
        <v>3200</v>
      </c>
      <c r="U19" s="3208" t="s">
        <v>3200</v>
      </c>
      <c r="V19" s="3208" t="s">
        <v>3200</v>
      </c>
      <c r="W19" s="3208" t="s">
        <v>3200</v>
      </c>
      <c r="X19" s="3210">
        <v>44308.000497685185</v>
      </c>
      <c r="Y19" s="3210">
        <v>44329.000497685185</v>
      </c>
      <c r="Z19" s="3210">
        <v>44329.000497685185</v>
      </c>
      <c r="AA19" s="3210">
        <v>44329.000497685185</v>
      </c>
      <c r="AB19" s="3208" t="s">
        <v>3323</v>
      </c>
      <c r="AC19" s="3208" t="s">
        <v>3202</v>
      </c>
      <c r="AD19" s="3208" t="s">
        <v>3324</v>
      </c>
      <c r="AE19" s="3208" t="s">
        <v>3325</v>
      </c>
      <c r="AF19" s="3208">
        <v>11994.52</v>
      </c>
      <c r="AG19" s="3208">
        <v>2399</v>
      </c>
      <c r="AH19" s="3210">
        <v>44328.708831018521</v>
      </c>
      <c r="AI19" s="3208">
        <v>12295.62</v>
      </c>
      <c r="AJ19" s="3208">
        <v>239</v>
      </c>
      <c r="AK19" s="3208">
        <v>245</v>
      </c>
      <c r="AL19" s="3208">
        <v>1195</v>
      </c>
      <c r="AM19" s="3208">
        <v>1225</v>
      </c>
      <c r="AN19" s="3208" t="s">
        <v>3200</v>
      </c>
      <c r="AO19" s="3208" t="s">
        <v>3200</v>
      </c>
      <c r="AP19" s="3208">
        <v>2.5099999999999998</v>
      </c>
      <c r="AQ19" s="3208" t="s">
        <v>3204</v>
      </c>
      <c r="AR19" s="3208" t="s">
        <v>3205</v>
      </c>
      <c r="AS19" s="3208" t="s">
        <v>3205</v>
      </c>
    </row>
    <row r="20" spans="1:45">
      <c r="A20" s="3208" t="s">
        <v>3326</v>
      </c>
      <c r="B20" s="3208" t="s">
        <v>3327</v>
      </c>
      <c r="C20" s="3208" t="s">
        <v>3189</v>
      </c>
      <c r="D20" s="3208" t="s">
        <v>3190</v>
      </c>
      <c r="E20" s="3208" t="s">
        <v>3208</v>
      </c>
      <c r="F20" s="3208" t="s">
        <v>3328</v>
      </c>
      <c r="G20" s="3208" t="s">
        <v>3193</v>
      </c>
      <c r="H20" s="3208">
        <v>14706.2</v>
      </c>
      <c r="I20" s="3208">
        <v>33824.26</v>
      </c>
      <c r="J20" s="3208" t="s">
        <v>3329</v>
      </c>
      <c r="K20" s="3208" t="s">
        <v>3195</v>
      </c>
      <c r="L20" s="3208" t="s">
        <v>3196</v>
      </c>
      <c r="M20" s="3208" t="s">
        <v>3197</v>
      </c>
      <c r="N20" s="3208" t="s">
        <v>3198</v>
      </c>
      <c r="O20" s="3208" t="s">
        <v>3330</v>
      </c>
      <c r="P20" s="3208" t="s">
        <v>3331</v>
      </c>
      <c r="Q20" s="3208" t="s">
        <v>3200</v>
      </c>
      <c r="R20" s="3208" t="s">
        <v>3200</v>
      </c>
      <c r="S20" s="3208" t="s">
        <v>3200</v>
      </c>
      <c r="T20" s="3208" t="s">
        <v>3200</v>
      </c>
      <c r="U20" s="3208" t="s">
        <v>3200</v>
      </c>
      <c r="V20" s="3208" t="s">
        <v>3200</v>
      </c>
      <c r="W20" s="3208" t="s">
        <v>3200</v>
      </c>
      <c r="X20" s="3210">
        <v>44299.000497685185</v>
      </c>
      <c r="Y20" s="3210">
        <v>44323.000497685185</v>
      </c>
      <c r="Z20" s="3210">
        <v>44323.000497685185</v>
      </c>
      <c r="AA20" s="3210">
        <v>44323.000497685185</v>
      </c>
      <c r="AB20" s="3208" t="s">
        <v>3332</v>
      </c>
      <c r="AC20" s="3208" t="s">
        <v>3202</v>
      </c>
      <c r="AD20" s="3208" t="s">
        <v>3333</v>
      </c>
      <c r="AE20" s="3208" t="s">
        <v>3200</v>
      </c>
      <c r="AF20" s="3208">
        <v>753.76</v>
      </c>
      <c r="AG20" s="3208">
        <v>603</v>
      </c>
      <c r="AH20" s="3210">
        <v>44322.708831018521</v>
      </c>
      <c r="AI20" s="3208">
        <v>819.94</v>
      </c>
      <c r="AJ20" s="3208">
        <v>34.17</v>
      </c>
      <c r="AK20" s="3208">
        <v>37.17</v>
      </c>
      <c r="AL20" s="3208">
        <v>223</v>
      </c>
      <c r="AM20" s="3208">
        <v>242</v>
      </c>
      <c r="AN20" s="3208" t="s">
        <v>3200</v>
      </c>
      <c r="AO20" s="3208" t="s">
        <v>3200</v>
      </c>
      <c r="AP20" s="3208">
        <v>8.7799999999999994</v>
      </c>
      <c r="AQ20" s="3208" t="s">
        <v>3204</v>
      </c>
      <c r="AR20" s="3208" t="s">
        <v>3205</v>
      </c>
      <c r="AS20" s="3208" t="s">
        <v>3205</v>
      </c>
    </row>
    <row r="21" spans="1:45">
      <c r="A21" s="3208" t="s">
        <v>3334</v>
      </c>
      <c r="B21" s="3208" t="s">
        <v>3335</v>
      </c>
      <c r="C21" s="3208" t="s">
        <v>3189</v>
      </c>
      <c r="D21" s="3208" t="s">
        <v>3190</v>
      </c>
      <c r="E21" s="3208" t="s">
        <v>3233</v>
      </c>
      <c r="F21" s="3208" t="s">
        <v>3336</v>
      </c>
      <c r="G21" s="3208" t="s">
        <v>3193</v>
      </c>
      <c r="H21" s="3208">
        <v>24860.63</v>
      </c>
      <c r="I21" s="3208">
        <v>60461.05</v>
      </c>
      <c r="J21" s="3208" t="s">
        <v>3337</v>
      </c>
      <c r="K21" s="3208" t="s">
        <v>3195</v>
      </c>
      <c r="L21" s="3208" t="s">
        <v>3196</v>
      </c>
      <c r="M21" s="3208" t="s">
        <v>3197</v>
      </c>
      <c r="N21" s="3208" t="s">
        <v>3198</v>
      </c>
      <c r="O21" s="3208" t="s">
        <v>3338</v>
      </c>
      <c r="P21" s="3208" t="s">
        <v>3339</v>
      </c>
      <c r="Q21" s="3208" t="s">
        <v>3200</v>
      </c>
      <c r="R21" s="3208" t="s">
        <v>3200</v>
      </c>
      <c r="S21" s="3208" t="s">
        <v>3200</v>
      </c>
      <c r="T21" s="3208" t="s">
        <v>3200</v>
      </c>
      <c r="U21" s="3208" t="s">
        <v>3200</v>
      </c>
      <c r="V21" s="3208" t="s">
        <v>3200</v>
      </c>
      <c r="W21" s="3208" t="s">
        <v>3200</v>
      </c>
      <c r="X21" s="3210">
        <v>44299.000497685185</v>
      </c>
      <c r="Y21" s="3210">
        <v>44323.000497685185</v>
      </c>
      <c r="Z21" s="3210">
        <v>44323.000497685185</v>
      </c>
      <c r="AA21" s="3210">
        <v>44323.000497685185</v>
      </c>
      <c r="AB21" s="3208" t="s">
        <v>3332</v>
      </c>
      <c r="AC21" s="3208" t="s">
        <v>3202</v>
      </c>
      <c r="AD21" s="3208" t="s">
        <v>3340</v>
      </c>
      <c r="AE21" s="3208" t="s">
        <v>3200</v>
      </c>
      <c r="AF21" s="3208">
        <v>1901.83</v>
      </c>
      <c r="AG21" s="3208">
        <v>946</v>
      </c>
      <c r="AH21" s="3210">
        <v>44322.708831018521</v>
      </c>
      <c r="AI21" s="3208">
        <v>1976.42</v>
      </c>
      <c r="AJ21" s="3208">
        <v>51</v>
      </c>
      <c r="AK21" s="3208">
        <v>53</v>
      </c>
      <c r="AL21" s="3208">
        <v>315</v>
      </c>
      <c r="AM21" s="3208">
        <v>327</v>
      </c>
      <c r="AN21" s="3208" t="s">
        <v>3200</v>
      </c>
      <c r="AO21" s="3208" t="s">
        <v>3200</v>
      </c>
      <c r="AP21" s="3208">
        <v>3.92</v>
      </c>
      <c r="AQ21" s="3208" t="s">
        <v>3204</v>
      </c>
      <c r="AR21" s="3208" t="s">
        <v>3205</v>
      </c>
      <c r="AS21" s="3208" t="s">
        <v>3205</v>
      </c>
    </row>
    <row r="22" spans="1:45">
      <c r="A22" s="3208" t="s">
        <v>3341</v>
      </c>
      <c r="B22" s="3208" t="s">
        <v>3342</v>
      </c>
      <c r="C22" s="3208" t="s">
        <v>3189</v>
      </c>
      <c r="D22" s="3208" t="s">
        <v>3190</v>
      </c>
      <c r="E22" s="3208" t="s">
        <v>3233</v>
      </c>
      <c r="F22" s="3208" t="s">
        <v>3343</v>
      </c>
      <c r="G22" s="3208" t="s">
        <v>3193</v>
      </c>
      <c r="H22" s="3208">
        <v>61649.760000000002</v>
      </c>
      <c r="I22" s="3208">
        <v>197279.23</v>
      </c>
      <c r="J22" s="3208" t="s">
        <v>3344</v>
      </c>
      <c r="K22" s="3208" t="s">
        <v>3195</v>
      </c>
      <c r="L22" s="3208" t="s">
        <v>3196</v>
      </c>
      <c r="M22" s="3208" t="s">
        <v>3197</v>
      </c>
      <c r="N22" s="3208" t="s">
        <v>3198</v>
      </c>
      <c r="O22" s="3208" t="s">
        <v>3267</v>
      </c>
      <c r="P22" s="3208" t="s">
        <v>3259</v>
      </c>
      <c r="Q22" s="3208" t="s">
        <v>3200</v>
      </c>
      <c r="R22" s="3208" t="s">
        <v>3200</v>
      </c>
      <c r="S22" s="3208" t="s">
        <v>3200</v>
      </c>
      <c r="T22" s="3208" t="s">
        <v>3200</v>
      </c>
      <c r="U22" s="3208" t="s">
        <v>3200</v>
      </c>
      <c r="V22" s="3208" t="s">
        <v>3200</v>
      </c>
      <c r="W22" s="3208" t="s">
        <v>3200</v>
      </c>
      <c r="X22" s="3210">
        <v>44299.000497685185</v>
      </c>
      <c r="Y22" s="3210">
        <v>44323.000497685185</v>
      </c>
      <c r="Z22" s="3210">
        <v>44323.000497685185</v>
      </c>
      <c r="AA22" s="3210">
        <v>44323.000497685185</v>
      </c>
      <c r="AB22" s="3208" t="s">
        <v>3332</v>
      </c>
      <c r="AC22" s="3208" t="s">
        <v>3202</v>
      </c>
      <c r="AD22" s="3208" t="s">
        <v>3345</v>
      </c>
      <c r="AE22" s="3208" t="s">
        <v>3200</v>
      </c>
      <c r="AF22" s="3208">
        <v>4438.7700000000004</v>
      </c>
      <c r="AG22" s="3208">
        <v>2220</v>
      </c>
      <c r="AH22" s="3210">
        <v>44322.708831018521</v>
      </c>
      <c r="AI22" s="3208">
        <v>4623.72</v>
      </c>
      <c r="AJ22" s="3208">
        <v>48</v>
      </c>
      <c r="AK22" s="3208">
        <v>50</v>
      </c>
      <c r="AL22" s="3208">
        <v>225</v>
      </c>
      <c r="AM22" s="3208">
        <v>234</v>
      </c>
      <c r="AN22" s="3208" t="s">
        <v>3200</v>
      </c>
      <c r="AO22" s="3208" t="s">
        <v>3200</v>
      </c>
      <c r="AP22" s="3208">
        <v>4.17</v>
      </c>
      <c r="AQ22" s="3208" t="s">
        <v>3204</v>
      </c>
      <c r="AR22" s="3208" t="s">
        <v>3205</v>
      </c>
      <c r="AS22" s="3208" t="s">
        <v>3205</v>
      </c>
    </row>
    <row r="23" spans="1:45">
      <c r="A23" s="3208" t="s">
        <v>3346</v>
      </c>
      <c r="B23" s="3208" t="s">
        <v>3347</v>
      </c>
      <c r="C23" s="3208" t="s">
        <v>3189</v>
      </c>
      <c r="D23" s="3208" t="s">
        <v>3190</v>
      </c>
      <c r="E23" s="3208" t="s">
        <v>3233</v>
      </c>
      <c r="F23" s="3208" t="s">
        <v>3348</v>
      </c>
      <c r="G23" s="3208" t="s">
        <v>3193</v>
      </c>
      <c r="H23" s="3208">
        <v>10612.86</v>
      </c>
      <c r="I23" s="3208">
        <v>31827.97</v>
      </c>
      <c r="J23" s="3208" t="s">
        <v>3349</v>
      </c>
      <c r="K23" s="3208" t="s">
        <v>3195</v>
      </c>
      <c r="L23" s="3208" t="s">
        <v>3196</v>
      </c>
      <c r="M23" s="3208" t="s">
        <v>3197</v>
      </c>
      <c r="N23" s="3208" t="s">
        <v>3198</v>
      </c>
      <c r="O23" s="3208" t="s">
        <v>3350</v>
      </c>
      <c r="P23" s="3208" t="s">
        <v>3259</v>
      </c>
      <c r="Q23" s="3208" t="s">
        <v>3200</v>
      </c>
      <c r="R23" s="3208" t="s">
        <v>3200</v>
      </c>
      <c r="S23" s="3208" t="s">
        <v>3200</v>
      </c>
      <c r="T23" s="3208" t="s">
        <v>3200</v>
      </c>
      <c r="U23" s="3208" t="s">
        <v>3200</v>
      </c>
      <c r="V23" s="3208" t="s">
        <v>3200</v>
      </c>
      <c r="W23" s="3208" t="s">
        <v>3200</v>
      </c>
      <c r="X23" s="3210">
        <v>44299.000497685185</v>
      </c>
      <c r="Y23" s="3210">
        <v>44323.000497685185</v>
      </c>
      <c r="Z23" s="3210">
        <v>44323.000497685185</v>
      </c>
      <c r="AA23" s="3210">
        <v>44323.000497685185</v>
      </c>
      <c r="AB23" s="3208" t="s">
        <v>3332</v>
      </c>
      <c r="AC23" s="3208" t="s">
        <v>3202</v>
      </c>
      <c r="AD23" s="3208" t="s">
        <v>3351</v>
      </c>
      <c r="AE23" s="3208" t="s">
        <v>3352</v>
      </c>
      <c r="AF23" s="3208">
        <v>2069.5100000000002</v>
      </c>
      <c r="AG23" s="3208">
        <v>1003</v>
      </c>
      <c r="AH23" s="3210">
        <v>44322.708831018521</v>
      </c>
      <c r="AI23" s="3208">
        <v>2133.17</v>
      </c>
      <c r="AJ23" s="3208">
        <v>130</v>
      </c>
      <c r="AK23" s="3208">
        <v>134</v>
      </c>
      <c r="AL23" s="3208">
        <v>650</v>
      </c>
      <c r="AM23" s="3208">
        <v>670</v>
      </c>
      <c r="AN23" s="3208" t="s">
        <v>3200</v>
      </c>
      <c r="AO23" s="3208" t="s">
        <v>3200</v>
      </c>
      <c r="AP23" s="3208">
        <v>3.08</v>
      </c>
      <c r="AQ23" s="3208" t="s">
        <v>3204</v>
      </c>
      <c r="AR23" s="3208" t="s">
        <v>3205</v>
      </c>
      <c r="AS23" s="3208" t="s">
        <v>3205</v>
      </c>
    </row>
    <row r="24" spans="1:45" s="3213" customFormat="1">
      <c r="A24" s="3211" t="s">
        <v>3353</v>
      </c>
      <c r="B24" s="3211" t="s">
        <v>3354</v>
      </c>
      <c r="C24" s="3211" t="s">
        <v>3189</v>
      </c>
      <c r="D24" s="3211" t="s">
        <v>3190</v>
      </c>
      <c r="E24" s="3211" t="s">
        <v>3215</v>
      </c>
      <c r="F24" s="3211" t="s">
        <v>3355</v>
      </c>
      <c r="G24" s="3211" t="s">
        <v>3193</v>
      </c>
      <c r="H24" s="3211">
        <v>37477.440000000002</v>
      </c>
      <c r="I24" s="3211">
        <v>112432.32000000001</v>
      </c>
      <c r="J24" s="3211" t="s">
        <v>3356</v>
      </c>
      <c r="K24" s="3211" t="s">
        <v>3195</v>
      </c>
      <c r="L24" s="3211" t="s">
        <v>3196</v>
      </c>
      <c r="M24" s="3211" t="s">
        <v>3197</v>
      </c>
      <c r="N24" s="3211" t="s">
        <v>3198</v>
      </c>
      <c r="O24" s="3211" t="s">
        <v>3250</v>
      </c>
      <c r="P24" s="3211" t="s">
        <v>3289</v>
      </c>
      <c r="Q24" s="3211" t="s">
        <v>3200</v>
      </c>
      <c r="R24" s="3211" t="s">
        <v>3200</v>
      </c>
      <c r="S24" s="3211" t="s">
        <v>3200</v>
      </c>
      <c r="T24" s="3211" t="s">
        <v>3200</v>
      </c>
      <c r="U24" s="3211" t="s">
        <v>3200</v>
      </c>
      <c r="V24" s="3211" t="s">
        <v>3200</v>
      </c>
      <c r="W24" s="3211" t="s">
        <v>3200</v>
      </c>
      <c r="X24" s="3212">
        <v>44295.000497685185</v>
      </c>
      <c r="Y24" s="3212">
        <v>44316.000497685185</v>
      </c>
      <c r="Z24" s="3212">
        <v>44316.000497685185</v>
      </c>
      <c r="AA24" s="3212">
        <v>44315.000497685185</v>
      </c>
      <c r="AB24" s="3211" t="s">
        <v>3357</v>
      </c>
      <c r="AC24" s="3211" t="s">
        <v>3202</v>
      </c>
      <c r="AD24" s="3211" t="s">
        <v>3358</v>
      </c>
      <c r="AE24" s="3211" t="s">
        <v>3359</v>
      </c>
      <c r="AF24" s="3211" t="s">
        <v>3200</v>
      </c>
      <c r="AG24" s="3211">
        <v>8233</v>
      </c>
      <c r="AH24" s="3212">
        <v>44315.708831018521</v>
      </c>
      <c r="AI24" s="3211">
        <v>17174.09</v>
      </c>
      <c r="AJ24" s="3211" t="s">
        <v>3200</v>
      </c>
      <c r="AK24" s="3211">
        <v>305.5</v>
      </c>
      <c r="AL24" s="3211" t="s">
        <v>3200</v>
      </c>
      <c r="AM24" s="3211">
        <v>1528</v>
      </c>
      <c r="AN24" s="3211" t="s">
        <v>3200</v>
      </c>
      <c r="AO24" s="3211" t="s">
        <v>3200</v>
      </c>
      <c r="AP24" s="3211">
        <v>0</v>
      </c>
      <c r="AQ24" s="3211" t="s">
        <v>3204</v>
      </c>
      <c r="AR24" s="3211" t="s">
        <v>3205</v>
      </c>
      <c r="AS24" s="3211" t="s">
        <v>3205</v>
      </c>
    </row>
    <row r="25" spans="1:45" s="3213" customFormat="1">
      <c r="A25" s="3211" t="s">
        <v>3360</v>
      </c>
      <c r="B25" s="3211" t="s">
        <v>3361</v>
      </c>
      <c r="C25" s="3211" t="s">
        <v>3189</v>
      </c>
      <c r="D25" s="3211" t="s">
        <v>3190</v>
      </c>
      <c r="E25" s="3211" t="s">
        <v>3233</v>
      </c>
      <c r="F25" s="3211" t="s">
        <v>3362</v>
      </c>
      <c r="G25" s="3211" t="s">
        <v>3193</v>
      </c>
      <c r="H25" s="3211">
        <v>36725.660000000003</v>
      </c>
      <c r="I25" s="3211">
        <v>102831.85</v>
      </c>
      <c r="J25" s="3211" t="s">
        <v>3363</v>
      </c>
      <c r="K25" s="3211" t="s">
        <v>3195</v>
      </c>
      <c r="L25" s="3211" t="s">
        <v>3196</v>
      </c>
      <c r="M25" s="3211" t="s">
        <v>3197</v>
      </c>
      <c r="N25" s="3211" t="s">
        <v>3198</v>
      </c>
      <c r="O25" s="3211" t="s">
        <v>3267</v>
      </c>
      <c r="P25" s="3211" t="s">
        <v>3297</v>
      </c>
      <c r="Q25" s="3211" t="s">
        <v>3200</v>
      </c>
      <c r="R25" s="3211" t="s">
        <v>3200</v>
      </c>
      <c r="S25" s="3211" t="s">
        <v>3200</v>
      </c>
      <c r="T25" s="3211" t="s">
        <v>3200</v>
      </c>
      <c r="U25" s="3211" t="s">
        <v>3200</v>
      </c>
      <c r="V25" s="3211" t="s">
        <v>3200</v>
      </c>
      <c r="W25" s="3211" t="s">
        <v>3200</v>
      </c>
      <c r="X25" s="3212">
        <v>44281.000497685185</v>
      </c>
      <c r="Y25" s="3212">
        <v>44302.000497685185</v>
      </c>
      <c r="Z25" s="3212">
        <v>44302.000497685185</v>
      </c>
      <c r="AA25" s="3212">
        <v>44302.000497685185</v>
      </c>
      <c r="AB25" s="3211" t="s">
        <v>3364</v>
      </c>
      <c r="AC25" s="3211" t="s">
        <v>3202</v>
      </c>
      <c r="AD25" s="3211" t="s">
        <v>3365</v>
      </c>
      <c r="AE25" s="3211" t="s">
        <v>3352</v>
      </c>
      <c r="AF25" s="3211" t="s">
        <v>3200</v>
      </c>
      <c r="AG25" s="3211">
        <v>3306</v>
      </c>
      <c r="AH25" s="3212">
        <v>44301.708831018521</v>
      </c>
      <c r="AI25" s="3211">
        <v>21044.38</v>
      </c>
      <c r="AJ25" s="3211" t="s">
        <v>3200</v>
      </c>
      <c r="AK25" s="3211">
        <v>382.01</v>
      </c>
      <c r="AL25" s="3211" t="s">
        <v>3200</v>
      </c>
      <c r="AM25" s="3211">
        <v>2046</v>
      </c>
      <c r="AN25" s="3211" t="s">
        <v>3200</v>
      </c>
      <c r="AO25" s="3211" t="s">
        <v>3200</v>
      </c>
      <c r="AP25" s="3211">
        <v>0</v>
      </c>
      <c r="AQ25" s="3211" t="s">
        <v>3204</v>
      </c>
      <c r="AR25" s="3211" t="s">
        <v>3205</v>
      </c>
      <c r="AS25" s="3211" t="s">
        <v>3205</v>
      </c>
    </row>
    <row r="26" spans="1:45">
      <c r="A26" s="3208" t="s">
        <v>3366</v>
      </c>
      <c r="B26" s="3208" t="s">
        <v>3367</v>
      </c>
      <c r="C26" s="3208" t="s">
        <v>3189</v>
      </c>
      <c r="D26" s="3208" t="s">
        <v>3190</v>
      </c>
      <c r="E26" s="3208" t="s">
        <v>3224</v>
      </c>
      <c r="F26" s="3208" t="s">
        <v>3368</v>
      </c>
      <c r="G26" s="3208" t="s">
        <v>3193</v>
      </c>
      <c r="H26" s="3208">
        <v>26524.09</v>
      </c>
      <c r="I26" s="3208">
        <v>84877.09</v>
      </c>
      <c r="J26" s="3208" t="s">
        <v>3344</v>
      </c>
      <c r="K26" s="3208" t="s">
        <v>3195</v>
      </c>
      <c r="L26" s="3208" t="s">
        <v>3196</v>
      </c>
      <c r="M26" s="3208" t="s">
        <v>3197</v>
      </c>
      <c r="N26" s="3208" t="s">
        <v>3198</v>
      </c>
      <c r="O26" s="3208" t="s">
        <v>3211</v>
      </c>
      <c r="P26" s="3208" t="s">
        <v>3259</v>
      </c>
      <c r="Q26" s="3208" t="s">
        <v>3200</v>
      </c>
      <c r="R26" s="3208" t="s">
        <v>3200</v>
      </c>
      <c r="S26" s="3208" t="s">
        <v>3200</v>
      </c>
      <c r="T26" s="3208" t="s">
        <v>3200</v>
      </c>
      <c r="U26" s="3208" t="s">
        <v>3200</v>
      </c>
      <c r="V26" s="3208" t="s">
        <v>3200</v>
      </c>
      <c r="W26" s="3208" t="s">
        <v>3200</v>
      </c>
      <c r="X26" s="3210">
        <v>44195.000497685185</v>
      </c>
      <c r="Y26" s="3210">
        <v>44216.000497685185</v>
      </c>
      <c r="Z26" s="3210">
        <v>44216.000497685185</v>
      </c>
      <c r="AA26" s="3210">
        <v>44216.000497685185</v>
      </c>
      <c r="AB26" s="3208" t="s">
        <v>3369</v>
      </c>
      <c r="AC26" s="3208" t="s">
        <v>3202</v>
      </c>
      <c r="AD26" s="3208" t="s">
        <v>3370</v>
      </c>
      <c r="AE26" s="3208" t="s">
        <v>3371</v>
      </c>
      <c r="AF26" s="3208" t="s">
        <v>3200</v>
      </c>
      <c r="AG26" s="3208">
        <v>2309</v>
      </c>
      <c r="AH26" s="3210">
        <v>44215.708831018521</v>
      </c>
      <c r="AI26" s="3208">
        <v>12254.12</v>
      </c>
      <c r="AJ26" s="3208" t="s">
        <v>3200</v>
      </c>
      <c r="AK26" s="3208">
        <v>308</v>
      </c>
      <c r="AL26" s="3208" t="s">
        <v>3200</v>
      </c>
      <c r="AM26" s="3208">
        <v>1444</v>
      </c>
      <c r="AN26" s="3208" t="s">
        <v>3200</v>
      </c>
      <c r="AO26" s="3208" t="s">
        <v>3200</v>
      </c>
      <c r="AP26" s="3208">
        <v>0</v>
      </c>
      <c r="AQ26" s="3208" t="s">
        <v>3204</v>
      </c>
      <c r="AR26" s="3208" t="s">
        <v>3205</v>
      </c>
      <c r="AS26" s="3208" t="s">
        <v>3205</v>
      </c>
    </row>
    <row r="27" spans="1:45">
      <c r="A27" s="3208" t="s">
        <v>3372</v>
      </c>
      <c r="B27" s="3208" t="s">
        <v>3373</v>
      </c>
      <c r="C27" s="3208" t="s">
        <v>3189</v>
      </c>
      <c r="D27" s="3208" t="s">
        <v>3190</v>
      </c>
      <c r="E27" s="3208" t="s">
        <v>3224</v>
      </c>
      <c r="F27" s="3208" t="s">
        <v>3374</v>
      </c>
      <c r="G27" s="3208" t="s">
        <v>3193</v>
      </c>
      <c r="H27" s="3208">
        <v>28195.09</v>
      </c>
      <c r="I27" s="3208">
        <v>90224.29</v>
      </c>
      <c r="J27" s="3208" t="s">
        <v>3344</v>
      </c>
      <c r="K27" s="3208" t="s">
        <v>3195</v>
      </c>
      <c r="L27" s="3208" t="s">
        <v>3196</v>
      </c>
      <c r="M27" s="3208" t="s">
        <v>3197</v>
      </c>
      <c r="N27" s="3208" t="s">
        <v>3198</v>
      </c>
      <c r="O27" s="3208" t="s">
        <v>3211</v>
      </c>
      <c r="P27" s="3208" t="s">
        <v>3259</v>
      </c>
      <c r="Q27" s="3208" t="s">
        <v>3200</v>
      </c>
      <c r="R27" s="3208" t="s">
        <v>3200</v>
      </c>
      <c r="S27" s="3208" t="s">
        <v>3200</v>
      </c>
      <c r="T27" s="3208" t="s">
        <v>3200</v>
      </c>
      <c r="U27" s="3208" t="s">
        <v>3200</v>
      </c>
      <c r="V27" s="3208" t="s">
        <v>3200</v>
      </c>
      <c r="W27" s="3208" t="s">
        <v>3200</v>
      </c>
      <c r="X27" s="3210">
        <v>44195.000497685185</v>
      </c>
      <c r="Y27" s="3210">
        <v>44216.000497685185</v>
      </c>
      <c r="Z27" s="3210">
        <v>44216.000497685185</v>
      </c>
      <c r="AA27" s="3210">
        <v>44216.000497685185</v>
      </c>
      <c r="AB27" s="3208" t="s">
        <v>3369</v>
      </c>
      <c r="AC27" s="3208" t="s">
        <v>3202</v>
      </c>
      <c r="AD27" s="3208" t="s">
        <v>3370</v>
      </c>
      <c r="AE27" s="3208" t="s">
        <v>3371</v>
      </c>
      <c r="AF27" s="3208" t="s">
        <v>3200</v>
      </c>
      <c r="AG27" s="3208">
        <v>2453</v>
      </c>
      <c r="AH27" s="3210">
        <v>44215.708831018521</v>
      </c>
      <c r="AI27" s="3208">
        <v>13026.12</v>
      </c>
      <c r="AJ27" s="3208" t="s">
        <v>3200</v>
      </c>
      <c r="AK27" s="3208">
        <v>308</v>
      </c>
      <c r="AL27" s="3208" t="s">
        <v>3200</v>
      </c>
      <c r="AM27" s="3208">
        <v>1444</v>
      </c>
      <c r="AN27" s="3208" t="s">
        <v>3200</v>
      </c>
      <c r="AO27" s="3208" t="s">
        <v>3200</v>
      </c>
      <c r="AP27" s="3208">
        <v>0</v>
      </c>
      <c r="AQ27" s="3208" t="s">
        <v>3204</v>
      </c>
      <c r="AR27" s="3208" t="s">
        <v>3205</v>
      </c>
      <c r="AS27" s="3208" t="s">
        <v>3205</v>
      </c>
    </row>
    <row r="28" spans="1:45">
      <c r="A28" s="3208" t="s">
        <v>3375</v>
      </c>
      <c r="B28" s="3208" t="s">
        <v>3376</v>
      </c>
      <c r="C28" s="3208" t="s">
        <v>3189</v>
      </c>
      <c r="D28" s="3208" t="s">
        <v>3190</v>
      </c>
      <c r="E28" s="3208" t="s">
        <v>3233</v>
      </c>
      <c r="F28" s="3208" t="s">
        <v>3377</v>
      </c>
      <c r="G28" s="3208" t="s">
        <v>3315</v>
      </c>
      <c r="H28" s="3208">
        <v>47106.78</v>
      </c>
      <c r="I28" s="3208">
        <v>155452.37</v>
      </c>
      <c r="J28" s="3208" t="s">
        <v>3378</v>
      </c>
      <c r="K28" s="3208" t="s">
        <v>3195</v>
      </c>
      <c r="L28" s="3208" t="s">
        <v>3196</v>
      </c>
      <c r="M28" s="3208" t="s">
        <v>3197</v>
      </c>
      <c r="N28" s="3208" t="s">
        <v>3198</v>
      </c>
      <c r="O28" s="3208" t="s">
        <v>3379</v>
      </c>
      <c r="P28" s="3208" t="s">
        <v>3289</v>
      </c>
      <c r="Q28" s="3208" t="s">
        <v>3200</v>
      </c>
      <c r="R28" s="3208" t="s">
        <v>3200</v>
      </c>
      <c r="S28" s="3208" t="s">
        <v>3200</v>
      </c>
      <c r="T28" s="3208" t="s">
        <v>3200</v>
      </c>
      <c r="U28" s="3208" t="s">
        <v>3200</v>
      </c>
      <c r="V28" s="3208" t="s">
        <v>3200</v>
      </c>
      <c r="W28" s="3208" t="s">
        <v>3200</v>
      </c>
      <c r="X28" s="3210">
        <v>44165.000497685185</v>
      </c>
      <c r="Y28" s="3210">
        <v>44187.000497685185</v>
      </c>
      <c r="Z28" s="3210">
        <v>44187.000497685185</v>
      </c>
      <c r="AA28" s="3210">
        <v>44187.000497685185</v>
      </c>
      <c r="AB28" s="3208" t="s">
        <v>3380</v>
      </c>
      <c r="AC28" s="3208" t="s">
        <v>3202</v>
      </c>
      <c r="AD28" s="3208" t="s">
        <v>3381</v>
      </c>
      <c r="AE28" s="3208" t="s">
        <v>3200</v>
      </c>
      <c r="AF28" s="3208" t="s">
        <v>3200</v>
      </c>
      <c r="AG28" s="3208">
        <v>6527</v>
      </c>
      <c r="AH28" s="3210">
        <v>44186.708831018521</v>
      </c>
      <c r="AI28" s="3208">
        <v>15403.92</v>
      </c>
      <c r="AJ28" s="3208" t="s">
        <v>3200</v>
      </c>
      <c r="AK28" s="3208">
        <v>218</v>
      </c>
      <c r="AL28" s="3208" t="s">
        <v>3200</v>
      </c>
      <c r="AM28" s="3208">
        <v>991</v>
      </c>
      <c r="AN28" s="3208" t="s">
        <v>3200</v>
      </c>
      <c r="AO28" s="3208" t="s">
        <v>3200</v>
      </c>
      <c r="AP28" s="3208">
        <v>0</v>
      </c>
      <c r="AQ28" s="3208" t="s">
        <v>3204</v>
      </c>
      <c r="AR28" s="3208" t="s">
        <v>3205</v>
      </c>
      <c r="AS28" s="3208" t="s">
        <v>3205</v>
      </c>
    </row>
    <row r="29" spans="1:45">
      <c r="A29" s="3208" t="s">
        <v>3382</v>
      </c>
      <c r="B29" s="3208" t="s">
        <v>3383</v>
      </c>
      <c r="C29" s="3208" t="s">
        <v>3189</v>
      </c>
      <c r="D29" s="3208" t="s">
        <v>3190</v>
      </c>
      <c r="E29" s="3208" t="s">
        <v>3224</v>
      </c>
      <c r="F29" s="3208" t="s">
        <v>3384</v>
      </c>
      <c r="G29" s="3208" t="s">
        <v>3315</v>
      </c>
      <c r="H29" s="3208">
        <v>5572.01</v>
      </c>
      <c r="I29" s="3208">
        <v>27943.63</v>
      </c>
      <c r="J29" s="3208" t="s">
        <v>3385</v>
      </c>
      <c r="K29" s="3208" t="s">
        <v>3195</v>
      </c>
      <c r="L29" s="3208" t="s">
        <v>3196</v>
      </c>
      <c r="M29" s="3208" t="s">
        <v>3197</v>
      </c>
      <c r="N29" s="3208" t="s">
        <v>3198</v>
      </c>
      <c r="O29" s="3208" t="s">
        <v>3386</v>
      </c>
      <c r="P29" s="3208" t="s">
        <v>3200</v>
      </c>
      <c r="Q29" s="3208" t="s">
        <v>3200</v>
      </c>
      <c r="R29" s="3208" t="s">
        <v>3200</v>
      </c>
      <c r="S29" s="3208" t="s">
        <v>3200</v>
      </c>
      <c r="T29" s="3208" t="s">
        <v>3200</v>
      </c>
      <c r="U29" s="3208" t="s">
        <v>3200</v>
      </c>
      <c r="V29" s="3208" t="s">
        <v>3200</v>
      </c>
      <c r="W29" s="3208" t="s">
        <v>3200</v>
      </c>
      <c r="X29" s="3210">
        <v>44103.000497685185</v>
      </c>
      <c r="Y29" s="3210">
        <v>44124.000497685185</v>
      </c>
      <c r="Z29" s="3210">
        <v>44124.000497685185</v>
      </c>
      <c r="AA29" s="3210">
        <v>44131.000497685185</v>
      </c>
      <c r="AB29" s="3208" t="s">
        <v>3387</v>
      </c>
      <c r="AC29" s="3208" t="s">
        <v>3202</v>
      </c>
      <c r="AD29" s="3208" t="s">
        <v>3388</v>
      </c>
      <c r="AE29" s="3208" t="s">
        <v>3200</v>
      </c>
      <c r="AF29" s="3208" t="s">
        <v>3200</v>
      </c>
      <c r="AG29" s="3208">
        <v>611</v>
      </c>
      <c r="AH29" s="3210">
        <v>44123.708831018521</v>
      </c>
      <c r="AI29" s="3208">
        <v>1287.1300000000001</v>
      </c>
      <c r="AJ29" s="3208" t="s">
        <v>3200</v>
      </c>
      <c r="AK29" s="3208">
        <v>154</v>
      </c>
      <c r="AL29" s="3208" t="s">
        <v>3200</v>
      </c>
      <c r="AM29" s="3208">
        <v>461</v>
      </c>
      <c r="AN29" s="3208" t="s">
        <v>3200</v>
      </c>
      <c r="AO29" s="3208" t="s">
        <v>3200</v>
      </c>
      <c r="AP29" s="3208">
        <v>0</v>
      </c>
      <c r="AQ29" s="3208" t="s">
        <v>3204</v>
      </c>
      <c r="AR29" s="3208" t="s">
        <v>3205</v>
      </c>
      <c r="AS29" s="3208" t="s">
        <v>3205</v>
      </c>
    </row>
    <row r="30" spans="1:45">
      <c r="A30" s="3208" t="s">
        <v>3389</v>
      </c>
      <c r="B30" s="3208" t="s">
        <v>3390</v>
      </c>
      <c r="C30" s="3208" t="s">
        <v>3189</v>
      </c>
      <c r="D30" s="3208" t="s">
        <v>3190</v>
      </c>
      <c r="E30" s="3208" t="s">
        <v>3224</v>
      </c>
      <c r="F30" s="3208" t="s">
        <v>3391</v>
      </c>
      <c r="G30" s="3208" t="s">
        <v>3193</v>
      </c>
      <c r="H30" s="3208">
        <v>50645.56</v>
      </c>
      <c r="I30" s="3208">
        <v>151936.68</v>
      </c>
      <c r="J30" s="3208" t="s">
        <v>3356</v>
      </c>
      <c r="K30" s="3208" t="s">
        <v>3195</v>
      </c>
      <c r="L30" s="3208" t="s">
        <v>3196</v>
      </c>
      <c r="M30" s="3208" t="s">
        <v>3197</v>
      </c>
      <c r="N30" s="3208" t="s">
        <v>3198</v>
      </c>
      <c r="O30" s="3208" t="s">
        <v>3267</v>
      </c>
      <c r="P30" s="3208" t="s">
        <v>3259</v>
      </c>
      <c r="Q30" s="3208" t="s">
        <v>3200</v>
      </c>
      <c r="R30" s="3208" t="s">
        <v>3200</v>
      </c>
      <c r="S30" s="3208" t="s">
        <v>3200</v>
      </c>
      <c r="T30" s="3208" t="s">
        <v>3200</v>
      </c>
      <c r="U30" s="3208" t="s">
        <v>3200</v>
      </c>
      <c r="V30" s="3208" t="s">
        <v>3200</v>
      </c>
      <c r="W30" s="3208" t="s">
        <v>3200</v>
      </c>
      <c r="X30" s="3210">
        <v>44099.000497685185</v>
      </c>
      <c r="Y30" s="3210">
        <v>44120.000497685185</v>
      </c>
      <c r="Z30" s="3210">
        <v>44120.000497685185</v>
      </c>
      <c r="AA30" s="3210">
        <v>44120.000497685185</v>
      </c>
      <c r="AB30" s="3208" t="s">
        <v>3392</v>
      </c>
      <c r="AC30" s="3208" t="s">
        <v>3202</v>
      </c>
      <c r="AD30" s="3208" t="s">
        <v>3351</v>
      </c>
      <c r="AE30" s="3208" t="s">
        <v>3352</v>
      </c>
      <c r="AF30" s="3208" t="s">
        <v>3200</v>
      </c>
      <c r="AG30" s="3208">
        <v>4832</v>
      </c>
      <c r="AH30" s="3210">
        <v>44119.708831018521</v>
      </c>
      <c r="AI30" s="3208">
        <v>24917.61</v>
      </c>
      <c r="AJ30" s="3208" t="s">
        <v>3200</v>
      </c>
      <c r="AK30" s="3208">
        <v>328</v>
      </c>
      <c r="AL30" s="3208" t="s">
        <v>3200</v>
      </c>
      <c r="AM30" s="3208">
        <v>1640</v>
      </c>
      <c r="AN30" s="3208" t="s">
        <v>3200</v>
      </c>
      <c r="AO30" s="3208" t="s">
        <v>3200</v>
      </c>
      <c r="AP30" s="3208">
        <v>0</v>
      </c>
      <c r="AQ30" s="3208" t="s">
        <v>3204</v>
      </c>
      <c r="AR30" s="3208" t="s">
        <v>3205</v>
      </c>
      <c r="AS30" s="3208" t="s">
        <v>3205</v>
      </c>
    </row>
    <row r="31" spans="1:45">
      <c r="A31" s="3208" t="s">
        <v>3393</v>
      </c>
      <c r="B31" s="3208" t="s">
        <v>3394</v>
      </c>
      <c r="C31" s="3208" t="s">
        <v>3189</v>
      </c>
      <c r="D31" s="3208" t="s">
        <v>3190</v>
      </c>
      <c r="E31" s="3208" t="s">
        <v>3191</v>
      </c>
      <c r="F31" s="3208" t="s">
        <v>3395</v>
      </c>
      <c r="G31" s="3208" t="s">
        <v>3315</v>
      </c>
      <c r="H31" s="3208">
        <v>14619.55</v>
      </c>
      <c r="I31" s="3208">
        <v>51168.43</v>
      </c>
      <c r="J31" s="3208" t="s">
        <v>3396</v>
      </c>
      <c r="K31" s="3208" t="s">
        <v>3195</v>
      </c>
      <c r="L31" s="3208" t="s">
        <v>3196</v>
      </c>
      <c r="M31" s="3208" t="s">
        <v>3197</v>
      </c>
      <c r="N31" s="3208" t="s">
        <v>3198</v>
      </c>
      <c r="O31" s="3208" t="s">
        <v>3397</v>
      </c>
      <c r="P31" s="3208" t="s">
        <v>3259</v>
      </c>
      <c r="Q31" s="3208" t="s">
        <v>3200</v>
      </c>
      <c r="R31" s="3208" t="s">
        <v>3200</v>
      </c>
      <c r="S31" s="3208" t="s">
        <v>3200</v>
      </c>
      <c r="T31" s="3208" t="s">
        <v>3200</v>
      </c>
      <c r="U31" s="3208" t="s">
        <v>3200</v>
      </c>
      <c r="V31" s="3208" t="s">
        <v>3200</v>
      </c>
      <c r="W31" s="3208" t="s">
        <v>3200</v>
      </c>
      <c r="X31" s="3210">
        <v>44099.000497685185</v>
      </c>
      <c r="Y31" s="3210">
        <v>44120.000497685185</v>
      </c>
      <c r="Z31" s="3210">
        <v>44120.000497685185</v>
      </c>
      <c r="AA31" s="3210">
        <v>44120.000497685185</v>
      </c>
      <c r="AB31" s="3208" t="s">
        <v>3392</v>
      </c>
      <c r="AC31" s="3208" t="s">
        <v>3202</v>
      </c>
      <c r="AD31" s="3208" t="s">
        <v>3398</v>
      </c>
      <c r="AE31" s="3208" t="s">
        <v>3200</v>
      </c>
      <c r="AF31" s="3208" t="s">
        <v>3200</v>
      </c>
      <c r="AG31" s="3208">
        <v>1667</v>
      </c>
      <c r="AH31" s="3210">
        <v>44119.708831018521</v>
      </c>
      <c r="AI31" s="3208">
        <v>8508.57</v>
      </c>
      <c r="AJ31" s="3208" t="s">
        <v>3200</v>
      </c>
      <c r="AK31" s="3208">
        <v>388</v>
      </c>
      <c r="AL31" s="3208" t="s">
        <v>3200</v>
      </c>
      <c r="AM31" s="3208">
        <v>1663</v>
      </c>
      <c r="AN31" s="3208" t="s">
        <v>3200</v>
      </c>
      <c r="AO31" s="3208" t="s">
        <v>3200</v>
      </c>
      <c r="AP31" s="3208">
        <v>0</v>
      </c>
      <c r="AQ31" s="3208" t="s">
        <v>3204</v>
      </c>
      <c r="AR31" s="3208" t="s">
        <v>3205</v>
      </c>
      <c r="AS31" s="3208" t="s">
        <v>3205</v>
      </c>
    </row>
    <row r="32" spans="1:45">
      <c r="A32" s="3208" t="s">
        <v>3399</v>
      </c>
      <c r="B32" s="3208" t="s">
        <v>3400</v>
      </c>
      <c r="C32" s="3208" t="s">
        <v>3189</v>
      </c>
      <c r="D32" s="3208" t="s">
        <v>3190</v>
      </c>
      <c r="E32" s="3208" t="s">
        <v>3208</v>
      </c>
      <c r="F32" s="3208" t="s">
        <v>3401</v>
      </c>
      <c r="G32" s="3208" t="s">
        <v>3315</v>
      </c>
      <c r="H32" s="3208">
        <v>78147.09</v>
      </c>
      <c r="I32" s="3208">
        <v>234441.27</v>
      </c>
      <c r="J32" s="3208" t="s">
        <v>3194</v>
      </c>
      <c r="K32" s="3208" t="s">
        <v>3195</v>
      </c>
      <c r="L32" s="3208" t="s">
        <v>3196</v>
      </c>
      <c r="M32" s="3208" t="s">
        <v>3197</v>
      </c>
      <c r="N32" s="3208" t="s">
        <v>3198</v>
      </c>
      <c r="O32" s="3208" t="s">
        <v>3267</v>
      </c>
      <c r="P32" s="3208" t="s">
        <v>3259</v>
      </c>
      <c r="Q32" s="3208" t="s">
        <v>3200</v>
      </c>
      <c r="R32" s="3208" t="s">
        <v>3200</v>
      </c>
      <c r="S32" s="3208" t="s">
        <v>3200</v>
      </c>
      <c r="T32" s="3208" t="s">
        <v>3200</v>
      </c>
      <c r="U32" s="3208" t="s">
        <v>3200</v>
      </c>
      <c r="V32" s="3208" t="s">
        <v>3200</v>
      </c>
      <c r="W32" s="3208" t="s">
        <v>3200</v>
      </c>
      <c r="X32" s="3210">
        <v>44083.000497685185</v>
      </c>
      <c r="Y32" s="3210">
        <v>44103.000497685185</v>
      </c>
      <c r="Z32" s="3210">
        <v>44103.000497685185</v>
      </c>
      <c r="AA32" s="3210">
        <v>44103.000497685185</v>
      </c>
      <c r="AB32" s="3208" t="s">
        <v>3402</v>
      </c>
      <c r="AC32" s="3208" t="s">
        <v>3202</v>
      </c>
      <c r="AD32" s="3208" t="s">
        <v>3403</v>
      </c>
      <c r="AE32" s="3208" t="s">
        <v>3404</v>
      </c>
      <c r="AF32" s="3208" t="s">
        <v>3200</v>
      </c>
      <c r="AG32" s="3208">
        <v>6213</v>
      </c>
      <c r="AH32" s="3210">
        <v>44102.708831018521</v>
      </c>
      <c r="AI32" s="3208">
        <v>33525.089999999997</v>
      </c>
      <c r="AJ32" s="3208" t="s">
        <v>3200</v>
      </c>
      <c r="AK32" s="3208">
        <v>286</v>
      </c>
      <c r="AL32" s="3208" t="s">
        <v>3200</v>
      </c>
      <c r="AM32" s="3208">
        <v>1430</v>
      </c>
      <c r="AN32" s="3208" t="s">
        <v>3200</v>
      </c>
      <c r="AO32" s="3208" t="s">
        <v>3200</v>
      </c>
      <c r="AP32" s="3208">
        <v>0</v>
      </c>
      <c r="AQ32" s="3208" t="s">
        <v>3405</v>
      </c>
      <c r="AR32" s="3208" t="s">
        <v>3205</v>
      </c>
      <c r="AS32" s="3208" t="s">
        <v>3205</v>
      </c>
    </row>
    <row r="33" spans="1:45">
      <c r="A33" s="3208" t="s">
        <v>3406</v>
      </c>
      <c r="B33" s="3208" t="s">
        <v>3407</v>
      </c>
      <c r="C33" s="3208" t="s">
        <v>3189</v>
      </c>
      <c r="D33" s="3208" t="s">
        <v>3190</v>
      </c>
      <c r="E33" s="3208" t="s">
        <v>3208</v>
      </c>
      <c r="F33" s="3208" t="s">
        <v>3408</v>
      </c>
      <c r="G33" s="3208" t="s">
        <v>3193</v>
      </c>
      <c r="H33" s="3208">
        <v>88732.22</v>
      </c>
      <c r="I33" s="3208">
        <v>159718</v>
      </c>
      <c r="J33" s="3208" t="s">
        <v>3409</v>
      </c>
      <c r="K33" s="3208" t="s">
        <v>3195</v>
      </c>
      <c r="L33" s="3208" t="s">
        <v>3410</v>
      </c>
      <c r="M33" s="3208" t="s">
        <v>3197</v>
      </c>
      <c r="N33" s="3208" t="s">
        <v>3198</v>
      </c>
      <c r="O33" s="3208" t="s">
        <v>3267</v>
      </c>
      <c r="P33" s="3208" t="s">
        <v>3411</v>
      </c>
      <c r="Q33" s="3208" t="s">
        <v>3200</v>
      </c>
      <c r="R33" s="3208" t="s">
        <v>3200</v>
      </c>
      <c r="S33" s="3208" t="s">
        <v>3200</v>
      </c>
      <c r="T33" s="3208" t="s">
        <v>3200</v>
      </c>
      <c r="U33" s="3208" t="s">
        <v>3200</v>
      </c>
      <c r="V33" s="3208" t="s">
        <v>3200</v>
      </c>
      <c r="W33" s="3208" t="s">
        <v>3200</v>
      </c>
      <c r="X33" s="3210">
        <v>44050.000497685185</v>
      </c>
      <c r="Y33" s="3210">
        <v>44070.000497685185</v>
      </c>
      <c r="Z33" s="3210">
        <v>44070.000497685185</v>
      </c>
      <c r="AA33" s="3210">
        <v>44070.000497685185</v>
      </c>
      <c r="AB33" s="3208" t="s">
        <v>3412</v>
      </c>
      <c r="AC33" s="3208" t="s">
        <v>3202</v>
      </c>
      <c r="AD33" s="3208" t="s">
        <v>3413</v>
      </c>
      <c r="AE33" s="3208" t="s">
        <v>3414</v>
      </c>
      <c r="AF33" s="3208">
        <v>26885.86</v>
      </c>
      <c r="AG33" s="3208">
        <v>5378</v>
      </c>
      <c r="AH33" s="3210">
        <v>44069.708831018521</v>
      </c>
      <c r="AI33" s="3208">
        <v>27684.45</v>
      </c>
      <c r="AJ33" s="3208">
        <v>202</v>
      </c>
      <c r="AK33" s="3208">
        <v>208</v>
      </c>
      <c r="AL33" s="3208">
        <v>1683</v>
      </c>
      <c r="AM33" s="3208">
        <v>1733</v>
      </c>
      <c r="AN33" s="3208" t="s">
        <v>3200</v>
      </c>
      <c r="AO33" s="3208" t="s">
        <v>3200</v>
      </c>
      <c r="AP33" s="3208">
        <v>2.97</v>
      </c>
      <c r="AQ33" s="3208" t="s">
        <v>3204</v>
      </c>
      <c r="AR33" s="3208" t="s">
        <v>3205</v>
      </c>
      <c r="AS33" s="3208" t="s">
        <v>3205</v>
      </c>
    </row>
    <row r="34" spans="1:45" s="3219" customFormat="1">
      <c r="A34" s="3217" t="s">
        <v>3415</v>
      </c>
      <c r="B34" s="3217" t="s">
        <v>3416</v>
      </c>
      <c r="C34" s="3217" t="s">
        <v>3189</v>
      </c>
      <c r="D34" s="3217" t="s">
        <v>3190</v>
      </c>
      <c r="E34" s="3217" t="s">
        <v>3208</v>
      </c>
      <c r="F34" s="3217" t="s">
        <v>3417</v>
      </c>
      <c r="G34" s="3217" t="s">
        <v>3193</v>
      </c>
      <c r="H34" s="3217">
        <v>76532.149999999994</v>
      </c>
      <c r="I34" s="3217">
        <v>244902.88</v>
      </c>
      <c r="J34" s="3217" t="s">
        <v>3418</v>
      </c>
      <c r="K34" s="3217" t="s">
        <v>3195</v>
      </c>
      <c r="L34" s="3217" t="s">
        <v>3410</v>
      </c>
      <c r="M34" s="3217" t="s">
        <v>3197</v>
      </c>
      <c r="N34" s="3217" t="s">
        <v>3198</v>
      </c>
      <c r="O34" s="3217" t="s">
        <v>3267</v>
      </c>
      <c r="P34" s="3217" t="s">
        <v>3289</v>
      </c>
      <c r="Q34" s="3217" t="s">
        <v>3200</v>
      </c>
      <c r="R34" s="3217" t="s">
        <v>3200</v>
      </c>
      <c r="S34" s="3217" t="s">
        <v>3200</v>
      </c>
      <c r="T34" s="3217" t="s">
        <v>3200</v>
      </c>
      <c r="U34" s="3217" t="s">
        <v>3200</v>
      </c>
      <c r="V34" s="3217" t="s">
        <v>3200</v>
      </c>
      <c r="W34" s="3217" t="s">
        <v>3200</v>
      </c>
      <c r="X34" s="3218">
        <v>44047.000497685185</v>
      </c>
      <c r="Y34" s="3218">
        <v>44068.000497685185</v>
      </c>
      <c r="Z34" s="3218">
        <v>44068.000497685185</v>
      </c>
      <c r="AA34" s="3218">
        <v>44068.000497685185</v>
      </c>
      <c r="AB34" s="3217" t="s">
        <v>3419</v>
      </c>
      <c r="AC34" s="3217" t="s">
        <v>3202</v>
      </c>
      <c r="AD34" s="3217" t="s">
        <v>3420</v>
      </c>
      <c r="AE34" s="3217" t="s">
        <v>3421</v>
      </c>
      <c r="AF34" s="3217">
        <v>38227.800000000003</v>
      </c>
      <c r="AG34" s="3217">
        <v>7646</v>
      </c>
      <c r="AH34" s="3218">
        <v>44067.708831018521</v>
      </c>
      <c r="AI34" s="3217">
        <v>40294.18</v>
      </c>
      <c r="AJ34" s="3217">
        <v>333</v>
      </c>
      <c r="AK34" s="3217">
        <v>351</v>
      </c>
      <c r="AL34" s="3217">
        <v>1561</v>
      </c>
      <c r="AM34" s="3217">
        <v>1645</v>
      </c>
      <c r="AN34" s="3217" t="s">
        <v>3200</v>
      </c>
      <c r="AO34" s="3217" t="s">
        <v>3200</v>
      </c>
      <c r="AP34" s="3217">
        <v>5.41</v>
      </c>
      <c r="AQ34" s="3217" t="s">
        <v>3204</v>
      </c>
      <c r="AR34" s="3217" t="s">
        <v>3205</v>
      </c>
      <c r="AS34" s="3217" t="s">
        <v>3205</v>
      </c>
    </row>
    <row r="35" spans="1:45">
      <c r="A35" s="3208" t="s">
        <v>3422</v>
      </c>
      <c r="B35" s="3208" t="s">
        <v>3423</v>
      </c>
      <c r="C35" s="3208" t="s">
        <v>3189</v>
      </c>
      <c r="D35" s="3208" t="s">
        <v>3190</v>
      </c>
      <c r="E35" s="3208" t="s">
        <v>3208</v>
      </c>
      <c r="F35" s="3208" t="s">
        <v>3424</v>
      </c>
      <c r="G35" s="3208" t="s">
        <v>3193</v>
      </c>
      <c r="H35" s="3208">
        <v>3302.93</v>
      </c>
      <c r="I35" s="3208">
        <v>4954.3999999999996</v>
      </c>
      <c r="J35" s="3208" t="s">
        <v>3425</v>
      </c>
      <c r="K35" s="3208" t="s">
        <v>3195</v>
      </c>
      <c r="L35" s="3208" t="s">
        <v>3410</v>
      </c>
      <c r="M35" s="3208" t="s">
        <v>3197</v>
      </c>
      <c r="N35" s="3208" t="s">
        <v>3198</v>
      </c>
      <c r="O35" s="3208" t="s">
        <v>3218</v>
      </c>
      <c r="P35" s="3208" t="s">
        <v>3411</v>
      </c>
      <c r="Q35" s="3208" t="s">
        <v>3200</v>
      </c>
      <c r="R35" s="3208" t="s">
        <v>3200</v>
      </c>
      <c r="S35" s="3208" t="s">
        <v>3200</v>
      </c>
      <c r="T35" s="3208" t="s">
        <v>3200</v>
      </c>
      <c r="U35" s="3208" t="s">
        <v>3200</v>
      </c>
      <c r="V35" s="3208" t="s">
        <v>3200</v>
      </c>
      <c r="W35" s="3208" t="s">
        <v>3200</v>
      </c>
      <c r="X35" s="3210">
        <v>44039.000497685185</v>
      </c>
      <c r="Y35" s="3210">
        <v>44061.000497685185</v>
      </c>
      <c r="Z35" s="3210">
        <v>44061.000497685185</v>
      </c>
      <c r="AA35" s="3210">
        <v>44061.000497685185</v>
      </c>
      <c r="AB35" s="3208" t="s">
        <v>3426</v>
      </c>
      <c r="AC35" s="3208" t="s">
        <v>3202</v>
      </c>
      <c r="AD35" s="3208" t="s">
        <v>3427</v>
      </c>
      <c r="AE35" s="3208" t="s">
        <v>3428</v>
      </c>
      <c r="AF35" s="3208" t="s">
        <v>3200</v>
      </c>
      <c r="AG35" s="3208">
        <v>208</v>
      </c>
      <c r="AH35" s="3210">
        <v>44060.708831018521</v>
      </c>
      <c r="AI35" s="3208">
        <v>1099.8800000000001</v>
      </c>
      <c r="AJ35" s="3208" t="s">
        <v>3200</v>
      </c>
      <c r="AK35" s="3208">
        <v>222</v>
      </c>
      <c r="AL35" s="3208" t="s">
        <v>3200</v>
      </c>
      <c r="AM35" s="3208">
        <v>2220</v>
      </c>
      <c r="AN35" s="3208" t="s">
        <v>3200</v>
      </c>
      <c r="AO35" s="3208" t="s">
        <v>3200</v>
      </c>
      <c r="AP35" s="3208">
        <v>0</v>
      </c>
      <c r="AQ35" s="3208" t="s">
        <v>3204</v>
      </c>
      <c r="AR35" s="3208" t="s">
        <v>3205</v>
      </c>
      <c r="AS35" s="3208" t="s">
        <v>3205</v>
      </c>
    </row>
    <row r="36" spans="1:45">
      <c r="A36" s="3208" t="s">
        <v>3429</v>
      </c>
      <c r="B36" s="3208" t="s">
        <v>3430</v>
      </c>
      <c r="C36" s="3208" t="s">
        <v>3189</v>
      </c>
      <c r="D36" s="3208" t="s">
        <v>3190</v>
      </c>
      <c r="E36" s="3208" t="s">
        <v>3208</v>
      </c>
      <c r="F36" s="3208" t="s">
        <v>3431</v>
      </c>
      <c r="G36" s="3208" t="s">
        <v>3193</v>
      </c>
      <c r="H36" s="3208">
        <v>25428.54</v>
      </c>
      <c r="I36" s="3208">
        <v>71199.91</v>
      </c>
      <c r="J36" s="3208" t="s">
        <v>3363</v>
      </c>
      <c r="K36" s="3208" t="s">
        <v>3195</v>
      </c>
      <c r="L36" s="3208" t="s">
        <v>3410</v>
      </c>
      <c r="M36" s="3208" t="s">
        <v>3197</v>
      </c>
      <c r="N36" s="3208" t="s">
        <v>3198</v>
      </c>
      <c r="O36" s="3208" t="s">
        <v>3267</v>
      </c>
      <c r="P36" s="3208" t="s">
        <v>3289</v>
      </c>
      <c r="Q36" s="3208" t="s">
        <v>3200</v>
      </c>
      <c r="R36" s="3208" t="s">
        <v>3200</v>
      </c>
      <c r="S36" s="3208" t="s">
        <v>3200</v>
      </c>
      <c r="T36" s="3208" t="s">
        <v>3200</v>
      </c>
      <c r="U36" s="3208" t="s">
        <v>3200</v>
      </c>
      <c r="V36" s="3208" t="s">
        <v>3200</v>
      </c>
      <c r="W36" s="3208" t="s">
        <v>3200</v>
      </c>
      <c r="X36" s="3210">
        <v>44039.000497685185</v>
      </c>
      <c r="Y36" s="3210">
        <v>44061.000497685185</v>
      </c>
      <c r="Z36" s="3210">
        <v>44061.000497685185</v>
      </c>
      <c r="AA36" s="3210">
        <v>44061.000497685185</v>
      </c>
      <c r="AB36" s="3208" t="s">
        <v>3426</v>
      </c>
      <c r="AC36" s="3208" t="s">
        <v>3202</v>
      </c>
      <c r="AD36" s="3208" t="s">
        <v>3427</v>
      </c>
      <c r="AE36" s="3208" t="s">
        <v>3428</v>
      </c>
      <c r="AF36" s="3208" t="s">
        <v>3200</v>
      </c>
      <c r="AG36" s="3208">
        <v>1602</v>
      </c>
      <c r="AH36" s="3210">
        <v>44060.708831018521</v>
      </c>
      <c r="AI36" s="3208">
        <v>8543.98</v>
      </c>
      <c r="AJ36" s="3208" t="s">
        <v>3200</v>
      </c>
      <c r="AK36" s="3208">
        <v>224</v>
      </c>
      <c r="AL36" s="3208" t="s">
        <v>3200</v>
      </c>
      <c r="AM36" s="3208">
        <v>1200</v>
      </c>
      <c r="AN36" s="3208" t="s">
        <v>3200</v>
      </c>
      <c r="AO36" s="3208" t="s">
        <v>3200</v>
      </c>
      <c r="AP36" s="3208">
        <v>0</v>
      </c>
      <c r="AQ36" s="3208" t="s">
        <v>3204</v>
      </c>
      <c r="AR36" s="3208" t="s">
        <v>3205</v>
      </c>
      <c r="AS36" s="3208" t="s">
        <v>3205</v>
      </c>
    </row>
    <row r="37" spans="1:45">
      <c r="A37" s="3208" t="s">
        <v>3432</v>
      </c>
      <c r="B37" s="3208" t="s">
        <v>3433</v>
      </c>
      <c r="C37" s="3208" t="s">
        <v>3189</v>
      </c>
      <c r="D37" s="3208" t="s">
        <v>3190</v>
      </c>
      <c r="E37" s="3208" t="s">
        <v>3208</v>
      </c>
      <c r="F37" s="3208" t="s">
        <v>3434</v>
      </c>
      <c r="G37" s="3208" t="s">
        <v>3193</v>
      </c>
      <c r="H37" s="3208">
        <v>28501.01</v>
      </c>
      <c r="I37" s="3208">
        <v>79802.83</v>
      </c>
      <c r="J37" s="3208" t="s">
        <v>3363</v>
      </c>
      <c r="K37" s="3208" t="s">
        <v>3195</v>
      </c>
      <c r="L37" s="3208" t="s">
        <v>3410</v>
      </c>
      <c r="M37" s="3208" t="s">
        <v>3197</v>
      </c>
      <c r="N37" s="3208" t="s">
        <v>3198</v>
      </c>
      <c r="O37" s="3208" t="s">
        <v>3267</v>
      </c>
      <c r="P37" s="3208" t="s">
        <v>3289</v>
      </c>
      <c r="Q37" s="3208" t="s">
        <v>3200</v>
      </c>
      <c r="R37" s="3208" t="s">
        <v>3200</v>
      </c>
      <c r="S37" s="3208" t="s">
        <v>3200</v>
      </c>
      <c r="T37" s="3208" t="s">
        <v>3200</v>
      </c>
      <c r="U37" s="3208" t="s">
        <v>3200</v>
      </c>
      <c r="V37" s="3208" t="s">
        <v>3200</v>
      </c>
      <c r="W37" s="3208" t="s">
        <v>3200</v>
      </c>
      <c r="X37" s="3210">
        <v>44039.000497685185</v>
      </c>
      <c r="Y37" s="3210">
        <v>44061.000497685185</v>
      </c>
      <c r="Z37" s="3210">
        <v>44061.000497685185</v>
      </c>
      <c r="AA37" s="3210">
        <v>44061.000497685185</v>
      </c>
      <c r="AB37" s="3208" t="s">
        <v>3426</v>
      </c>
      <c r="AC37" s="3208" t="s">
        <v>3202</v>
      </c>
      <c r="AD37" s="3208" t="s">
        <v>3427</v>
      </c>
      <c r="AE37" s="3208" t="s">
        <v>3428</v>
      </c>
      <c r="AF37" s="3208" t="s">
        <v>3200</v>
      </c>
      <c r="AG37" s="3208">
        <v>1796</v>
      </c>
      <c r="AH37" s="3210">
        <v>44060.708831018521</v>
      </c>
      <c r="AI37" s="3208">
        <v>9490.84</v>
      </c>
      <c r="AJ37" s="3208" t="s">
        <v>3200</v>
      </c>
      <c r="AK37" s="3208">
        <v>222</v>
      </c>
      <c r="AL37" s="3208" t="s">
        <v>3200</v>
      </c>
      <c r="AM37" s="3208">
        <v>1189</v>
      </c>
      <c r="AN37" s="3208" t="s">
        <v>3200</v>
      </c>
      <c r="AO37" s="3208" t="s">
        <v>3200</v>
      </c>
      <c r="AP37" s="3208">
        <v>0</v>
      </c>
      <c r="AQ37" s="3208" t="s">
        <v>3204</v>
      </c>
      <c r="AR37" s="3208" t="s">
        <v>3205</v>
      </c>
      <c r="AS37" s="3208" t="s">
        <v>3205</v>
      </c>
    </row>
    <row r="38" spans="1:45">
      <c r="A38" s="3208" t="s">
        <v>3422</v>
      </c>
      <c r="B38" s="3208" t="s">
        <v>3435</v>
      </c>
      <c r="C38" s="3208" t="s">
        <v>3189</v>
      </c>
      <c r="D38" s="3208" t="s">
        <v>3190</v>
      </c>
      <c r="E38" s="3208" t="s">
        <v>3208</v>
      </c>
      <c r="F38" s="3208" t="s">
        <v>3424</v>
      </c>
      <c r="G38" s="3208" t="s">
        <v>3193</v>
      </c>
      <c r="H38" s="3208">
        <v>10670.24</v>
      </c>
      <c r="I38" s="3208">
        <v>29876.67</v>
      </c>
      <c r="J38" s="3208" t="s">
        <v>3363</v>
      </c>
      <c r="K38" s="3208" t="s">
        <v>3195</v>
      </c>
      <c r="L38" s="3208" t="s">
        <v>3410</v>
      </c>
      <c r="M38" s="3208" t="s">
        <v>3197</v>
      </c>
      <c r="N38" s="3208" t="s">
        <v>3198</v>
      </c>
      <c r="O38" s="3208" t="s">
        <v>3267</v>
      </c>
      <c r="P38" s="3208" t="s">
        <v>3289</v>
      </c>
      <c r="Q38" s="3208" t="s">
        <v>3200</v>
      </c>
      <c r="R38" s="3208" t="s">
        <v>3200</v>
      </c>
      <c r="S38" s="3208" t="s">
        <v>3200</v>
      </c>
      <c r="T38" s="3208" t="s">
        <v>3200</v>
      </c>
      <c r="U38" s="3208" t="s">
        <v>3200</v>
      </c>
      <c r="V38" s="3208" t="s">
        <v>3200</v>
      </c>
      <c r="W38" s="3208" t="s">
        <v>3200</v>
      </c>
      <c r="X38" s="3210">
        <v>44039.000497685185</v>
      </c>
      <c r="Y38" s="3210">
        <v>44061.000497685185</v>
      </c>
      <c r="Z38" s="3210">
        <v>44061.000497685185</v>
      </c>
      <c r="AA38" s="3210">
        <v>44061.000497685185</v>
      </c>
      <c r="AB38" s="3208" t="s">
        <v>3426</v>
      </c>
      <c r="AC38" s="3208" t="s">
        <v>3202</v>
      </c>
      <c r="AD38" s="3208" t="s">
        <v>3427</v>
      </c>
      <c r="AE38" s="3208" t="s">
        <v>3428</v>
      </c>
      <c r="AF38" s="3208" t="s">
        <v>3200</v>
      </c>
      <c r="AG38" s="3208">
        <v>672</v>
      </c>
      <c r="AH38" s="3210">
        <v>44060.708831018521</v>
      </c>
      <c r="AI38" s="3208">
        <v>3553.19</v>
      </c>
      <c r="AJ38" s="3208" t="s">
        <v>3200</v>
      </c>
      <c r="AK38" s="3208">
        <v>222</v>
      </c>
      <c r="AL38" s="3208" t="s">
        <v>3200</v>
      </c>
      <c r="AM38" s="3208">
        <v>1189</v>
      </c>
      <c r="AN38" s="3208" t="s">
        <v>3200</v>
      </c>
      <c r="AO38" s="3208" t="s">
        <v>3200</v>
      </c>
      <c r="AP38" s="3208">
        <v>0</v>
      </c>
      <c r="AQ38" s="3208" t="s">
        <v>3204</v>
      </c>
      <c r="AR38" s="3208" t="s">
        <v>3205</v>
      </c>
      <c r="AS38" s="3208" t="s">
        <v>3205</v>
      </c>
    </row>
    <row r="39" spans="1:45">
      <c r="A39" s="3208" t="s">
        <v>3436</v>
      </c>
      <c r="B39" s="3208" t="s">
        <v>3437</v>
      </c>
      <c r="C39" s="3208" t="s">
        <v>3189</v>
      </c>
      <c r="D39" s="3208" t="s">
        <v>3190</v>
      </c>
      <c r="E39" s="3208" t="s">
        <v>3208</v>
      </c>
      <c r="F39" s="3208" t="s">
        <v>3438</v>
      </c>
      <c r="G39" s="3208" t="s">
        <v>3193</v>
      </c>
      <c r="H39" s="3208">
        <v>50901.72</v>
      </c>
      <c r="I39" s="3208">
        <v>142524.82</v>
      </c>
      <c r="J39" s="3208" t="s">
        <v>3363</v>
      </c>
      <c r="K39" s="3208" t="s">
        <v>3195</v>
      </c>
      <c r="L39" s="3208" t="s">
        <v>3410</v>
      </c>
      <c r="M39" s="3208" t="s">
        <v>3197</v>
      </c>
      <c r="N39" s="3208" t="s">
        <v>3198</v>
      </c>
      <c r="O39" s="3208" t="s">
        <v>3267</v>
      </c>
      <c r="P39" s="3208" t="s">
        <v>3289</v>
      </c>
      <c r="Q39" s="3208" t="s">
        <v>3200</v>
      </c>
      <c r="R39" s="3208" t="s">
        <v>3200</v>
      </c>
      <c r="S39" s="3208" t="s">
        <v>3200</v>
      </c>
      <c r="T39" s="3208" t="s">
        <v>3200</v>
      </c>
      <c r="U39" s="3208" t="s">
        <v>3200</v>
      </c>
      <c r="V39" s="3208" t="s">
        <v>3200</v>
      </c>
      <c r="W39" s="3208" t="s">
        <v>3200</v>
      </c>
      <c r="X39" s="3210">
        <v>44039.000497685185</v>
      </c>
      <c r="Y39" s="3210">
        <v>44061.000497685185</v>
      </c>
      <c r="Z39" s="3210">
        <v>44061.000497685185</v>
      </c>
      <c r="AA39" s="3210">
        <v>44061.000497685185</v>
      </c>
      <c r="AB39" s="3208" t="s">
        <v>3426</v>
      </c>
      <c r="AC39" s="3208" t="s">
        <v>3202</v>
      </c>
      <c r="AD39" s="3208" t="s">
        <v>3427</v>
      </c>
      <c r="AE39" s="3208" t="s">
        <v>3428</v>
      </c>
      <c r="AF39" s="3208" t="s">
        <v>3200</v>
      </c>
      <c r="AG39" s="3208">
        <v>3207</v>
      </c>
      <c r="AH39" s="3210">
        <v>44060.708831018521</v>
      </c>
      <c r="AI39" s="3208">
        <v>17102.97</v>
      </c>
      <c r="AJ39" s="3208" t="s">
        <v>3200</v>
      </c>
      <c r="AK39" s="3208">
        <v>224</v>
      </c>
      <c r="AL39" s="3208" t="s">
        <v>3200</v>
      </c>
      <c r="AM39" s="3208">
        <v>1200</v>
      </c>
      <c r="AN39" s="3208" t="s">
        <v>3200</v>
      </c>
      <c r="AO39" s="3208" t="s">
        <v>3200</v>
      </c>
      <c r="AP39" s="3208">
        <v>0</v>
      </c>
      <c r="AQ39" s="3208" t="s">
        <v>3204</v>
      </c>
      <c r="AR39" s="3208" t="s">
        <v>3205</v>
      </c>
      <c r="AS39" s="3208" t="s">
        <v>3205</v>
      </c>
    </row>
    <row r="40" spans="1:45">
      <c r="A40" s="3208" t="s">
        <v>3439</v>
      </c>
      <c r="B40" s="3208" t="s">
        <v>3440</v>
      </c>
      <c r="C40" s="3208" t="s">
        <v>3189</v>
      </c>
      <c r="D40" s="3208" t="s">
        <v>3190</v>
      </c>
      <c r="E40" s="3208" t="s">
        <v>3208</v>
      </c>
      <c r="F40" s="3208" t="s">
        <v>3441</v>
      </c>
      <c r="G40" s="3208" t="s">
        <v>3193</v>
      </c>
      <c r="H40" s="3208">
        <v>83308.08</v>
      </c>
      <c r="I40" s="3208">
        <v>249924.24</v>
      </c>
      <c r="J40" s="3208" t="s">
        <v>3322</v>
      </c>
      <c r="K40" s="3208" t="s">
        <v>3195</v>
      </c>
      <c r="L40" s="3208" t="s">
        <v>3410</v>
      </c>
      <c r="M40" s="3208" t="s">
        <v>3197</v>
      </c>
      <c r="N40" s="3208" t="s">
        <v>3198</v>
      </c>
      <c r="O40" s="3208" t="s">
        <v>3250</v>
      </c>
      <c r="P40" s="3208" t="s">
        <v>3289</v>
      </c>
      <c r="Q40" s="3208" t="s">
        <v>3200</v>
      </c>
      <c r="R40" s="3208" t="s">
        <v>3200</v>
      </c>
      <c r="S40" s="3208" t="s">
        <v>3200</v>
      </c>
      <c r="T40" s="3208" t="s">
        <v>3200</v>
      </c>
      <c r="U40" s="3208" t="s">
        <v>3200</v>
      </c>
      <c r="V40" s="3208" t="s">
        <v>3200</v>
      </c>
      <c r="W40" s="3208" t="s">
        <v>3200</v>
      </c>
      <c r="X40" s="3210">
        <v>44039.000497685185</v>
      </c>
      <c r="Y40" s="3210">
        <v>44061.000497685185</v>
      </c>
      <c r="Z40" s="3210">
        <v>44061.000497685185</v>
      </c>
      <c r="AA40" s="3210">
        <v>44061.000497685185</v>
      </c>
      <c r="AB40" s="3208" t="s">
        <v>3426</v>
      </c>
      <c r="AC40" s="3208" t="s">
        <v>3202</v>
      </c>
      <c r="AD40" s="3208" t="s">
        <v>3427</v>
      </c>
      <c r="AE40" s="3208" t="s">
        <v>3428</v>
      </c>
      <c r="AF40" s="3208" t="s">
        <v>3200</v>
      </c>
      <c r="AG40" s="3208">
        <v>5249</v>
      </c>
      <c r="AH40" s="3210">
        <v>44060.708831018521</v>
      </c>
      <c r="AI40" s="3208">
        <v>28116.47</v>
      </c>
      <c r="AJ40" s="3208" t="s">
        <v>3200</v>
      </c>
      <c r="AK40" s="3208">
        <v>225</v>
      </c>
      <c r="AL40" s="3208" t="s">
        <v>3200</v>
      </c>
      <c r="AM40" s="3208">
        <v>1125</v>
      </c>
      <c r="AN40" s="3208" t="s">
        <v>3200</v>
      </c>
      <c r="AO40" s="3208" t="s">
        <v>3200</v>
      </c>
      <c r="AP40" s="3208">
        <v>0</v>
      </c>
      <c r="AQ40" s="3208" t="s">
        <v>3204</v>
      </c>
      <c r="AR40" s="3208" t="s">
        <v>3205</v>
      </c>
      <c r="AS40" s="3208" t="s">
        <v>3205</v>
      </c>
    </row>
    <row r="41" spans="1:45">
      <c r="A41" s="3208" t="s">
        <v>3442</v>
      </c>
      <c r="B41" s="3208" t="s">
        <v>3443</v>
      </c>
      <c r="C41" s="3208" t="s">
        <v>3189</v>
      </c>
      <c r="D41" s="3208" t="s">
        <v>3190</v>
      </c>
      <c r="E41" s="3208" t="s">
        <v>3208</v>
      </c>
      <c r="F41" s="3208" t="s">
        <v>3444</v>
      </c>
      <c r="G41" s="3208" t="s">
        <v>3315</v>
      </c>
      <c r="H41" s="3208">
        <v>21170.02</v>
      </c>
      <c r="I41" s="3208">
        <v>63510.06</v>
      </c>
      <c r="J41" s="3208" t="s">
        <v>3445</v>
      </c>
      <c r="K41" s="3208" t="s">
        <v>3195</v>
      </c>
      <c r="L41" s="3208" t="s">
        <v>3410</v>
      </c>
      <c r="M41" s="3208" t="s">
        <v>3197</v>
      </c>
      <c r="N41" s="3208" t="s">
        <v>3198</v>
      </c>
      <c r="O41" s="3208" t="s">
        <v>3218</v>
      </c>
      <c r="P41" s="3208" t="s">
        <v>3289</v>
      </c>
      <c r="Q41" s="3208" t="s">
        <v>3200</v>
      </c>
      <c r="R41" s="3208" t="s">
        <v>3200</v>
      </c>
      <c r="S41" s="3208" t="s">
        <v>3200</v>
      </c>
      <c r="T41" s="3208" t="s">
        <v>3200</v>
      </c>
      <c r="U41" s="3208" t="s">
        <v>3200</v>
      </c>
      <c r="V41" s="3208" t="s">
        <v>3200</v>
      </c>
      <c r="W41" s="3208" t="s">
        <v>3200</v>
      </c>
      <c r="X41" s="3210">
        <v>44036.000497685185</v>
      </c>
      <c r="Y41" s="3210">
        <v>44057.000497685185</v>
      </c>
      <c r="Z41" s="3210">
        <v>44057.000497685185</v>
      </c>
      <c r="AA41" s="3210">
        <v>44057.000497685185</v>
      </c>
      <c r="AB41" s="3208" t="s">
        <v>3446</v>
      </c>
      <c r="AC41" s="3208" t="s">
        <v>3202</v>
      </c>
      <c r="AD41" s="3208" t="s">
        <v>3447</v>
      </c>
      <c r="AE41" s="3208" t="s">
        <v>3448</v>
      </c>
      <c r="AF41" s="3208" t="s">
        <v>3200</v>
      </c>
      <c r="AG41" s="3208">
        <v>1906</v>
      </c>
      <c r="AH41" s="3210">
        <v>44056.708831018521</v>
      </c>
      <c r="AI41" s="3208">
        <v>12860.79</v>
      </c>
      <c r="AJ41" s="3208" t="s">
        <v>3200</v>
      </c>
      <c r="AK41" s="3208">
        <v>405</v>
      </c>
      <c r="AL41" s="3208" t="s">
        <v>3200</v>
      </c>
      <c r="AM41" s="3208">
        <v>2025</v>
      </c>
      <c r="AN41" s="3208" t="s">
        <v>3200</v>
      </c>
      <c r="AO41" s="3208" t="s">
        <v>3200</v>
      </c>
      <c r="AP41" s="3208">
        <v>0</v>
      </c>
      <c r="AQ41" s="3208" t="s">
        <v>3204</v>
      </c>
      <c r="AR41" s="3208" t="s">
        <v>3205</v>
      </c>
      <c r="AS41" s="3208" t="s">
        <v>3205</v>
      </c>
    </row>
    <row r="42" spans="1:45" s="3216" customFormat="1">
      <c r="A42" s="3214" t="s">
        <v>3449</v>
      </c>
      <c r="B42" s="3214" t="s">
        <v>3450</v>
      </c>
      <c r="C42" s="3214" t="s">
        <v>3189</v>
      </c>
      <c r="D42" s="3214" t="s">
        <v>3190</v>
      </c>
      <c r="E42" s="3214" t="s">
        <v>3215</v>
      </c>
      <c r="F42" s="3214" t="s">
        <v>3451</v>
      </c>
      <c r="G42" s="3214" t="s">
        <v>3315</v>
      </c>
      <c r="H42" s="3214">
        <v>22465.47</v>
      </c>
      <c r="I42" s="3214">
        <v>132321.62</v>
      </c>
      <c r="J42" s="3214" t="s">
        <v>3452</v>
      </c>
      <c r="K42" s="3214" t="s">
        <v>3195</v>
      </c>
      <c r="L42" s="3214" t="s">
        <v>3410</v>
      </c>
      <c r="M42" s="3214" t="s">
        <v>3197</v>
      </c>
      <c r="N42" s="3214" t="s">
        <v>3198</v>
      </c>
      <c r="O42" s="3214" t="s">
        <v>3453</v>
      </c>
      <c r="P42" s="3214" t="s">
        <v>3454</v>
      </c>
      <c r="Q42" s="3214" t="s">
        <v>3200</v>
      </c>
      <c r="R42" s="3214" t="s">
        <v>3200</v>
      </c>
      <c r="S42" s="3214" t="s">
        <v>3200</v>
      </c>
      <c r="T42" s="3214" t="s">
        <v>3200</v>
      </c>
      <c r="U42" s="3214" t="s">
        <v>3200</v>
      </c>
      <c r="V42" s="3214" t="s">
        <v>3200</v>
      </c>
      <c r="W42" s="3214" t="s">
        <v>3200</v>
      </c>
      <c r="X42" s="3215">
        <v>44021.000497685185</v>
      </c>
      <c r="Y42" s="3215">
        <v>44042.000497685185</v>
      </c>
      <c r="Z42" s="3215">
        <v>44042.000497685185</v>
      </c>
      <c r="AA42" s="3215">
        <v>44042.000497685185</v>
      </c>
      <c r="AB42" s="3214" t="s">
        <v>3455</v>
      </c>
      <c r="AC42" s="3214" t="s">
        <v>3202</v>
      </c>
      <c r="AD42" s="3214" t="s">
        <v>3456</v>
      </c>
      <c r="AE42" s="3214" t="s">
        <v>3200</v>
      </c>
      <c r="AF42" s="3214" t="s">
        <v>3200</v>
      </c>
      <c r="AG42" s="3214">
        <v>2367</v>
      </c>
      <c r="AH42" s="3215">
        <v>44041.708831018521</v>
      </c>
      <c r="AI42" s="3214">
        <v>5256.92</v>
      </c>
      <c r="AJ42" s="3214" t="s">
        <v>3200</v>
      </c>
      <c r="AK42" s="3214">
        <v>156</v>
      </c>
      <c r="AL42" s="3214" t="s">
        <v>3200</v>
      </c>
      <c r="AM42" s="3214">
        <v>397</v>
      </c>
      <c r="AN42" s="3214" t="s">
        <v>3200</v>
      </c>
      <c r="AO42" s="3214" t="s">
        <v>3200</v>
      </c>
      <c r="AP42" s="3214">
        <v>0</v>
      </c>
      <c r="AQ42" s="3214" t="s">
        <v>3204</v>
      </c>
      <c r="AR42" s="3214" t="s">
        <v>3205</v>
      </c>
      <c r="AS42" s="3214" t="s">
        <v>3205</v>
      </c>
    </row>
    <row r="43" spans="1:45">
      <c r="A43" s="3208" t="s">
        <v>3457</v>
      </c>
      <c r="B43" s="3208" t="s">
        <v>3458</v>
      </c>
      <c r="C43" s="3208" t="s">
        <v>3189</v>
      </c>
      <c r="D43" s="3208" t="s">
        <v>3190</v>
      </c>
      <c r="E43" s="3208" t="s">
        <v>3208</v>
      </c>
      <c r="F43" s="3208" t="s">
        <v>3459</v>
      </c>
      <c r="G43" s="3208" t="s">
        <v>3193</v>
      </c>
      <c r="H43" s="3208">
        <v>104408.71</v>
      </c>
      <c r="I43" s="3208">
        <v>271464</v>
      </c>
      <c r="J43" s="3208" t="s">
        <v>3303</v>
      </c>
      <c r="K43" s="3208" t="s">
        <v>3195</v>
      </c>
      <c r="L43" s="3208" t="s">
        <v>3410</v>
      </c>
      <c r="M43" s="3208" t="s">
        <v>3197</v>
      </c>
      <c r="N43" s="3208" t="s">
        <v>3198</v>
      </c>
      <c r="O43" s="3208" t="s">
        <v>3267</v>
      </c>
      <c r="P43" s="3208" t="s">
        <v>3259</v>
      </c>
      <c r="Q43" s="3208" t="s">
        <v>3200</v>
      </c>
      <c r="R43" s="3208" t="s">
        <v>3200</v>
      </c>
      <c r="S43" s="3208" t="s">
        <v>3200</v>
      </c>
      <c r="T43" s="3208" t="s">
        <v>3200</v>
      </c>
      <c r="U43" s="3208" t="s">
        <v>3200</v>
      </c>
      <c r="V43" s="3208" t="s">
        <v>3200</v>
      </c>
      <c r="W43" s="3208" t="s">
        <v>3200</v>
      </c>
      <c r="X43" s="3210">
        <v>43973.000497685185</v>
      </c>
      <c r="Y43" s="3210">
        <v>43994.000497685185</v>
      </c>
      <c r="Z43" s="3210">
        <v>43994.000497685185</v>
      </c>
      <c r="AA43" s="3210">
        <v>43994.000497685185</v>
      </c>
      <c r="AB43" s="3208" t="s">
        <v>3460</v>
      </c>
      <c r="AC43" s="3208" t="s">
        <v>3202</v>
      </c>
      <c r="AD43" s="3208" t="s">
        <v>3461</v>
      </c>
      <c r="AE43" s="3208" t="s">
        <v>3462</v>
      </c>
      <c r="AF43" s="3208">
        <v>40719.4</v>
      </c>
      <c r="AG43" s="3208">
        <v>8144</v>
      </c>
      <c r="AH43" s="3210">
        <v>43993.708831018521</v>
      </c>
      <c r="AI43" s="3208">
        <v>46670.69</v>
      </c>
      <c r="AJ43" s="3208">
        <v>260</v>
      </c>
      <c r="AK43" s="3208">
        <v>298</v>
      </c>
      <c r="AL43" s="3208">
        <v>1500</v>
      </c>
      <c r="AM43" s="3208">
        <v>1719</v>
      </c>
      <c r="AN43" s="3208" t="s">
        <v>3200</v>
      </c>
      <c r="AO43" s="3208" t="s">
        <v>3200</v>
      </c>
      <c r="AP43" s="3208">
        <v>14.62</v>
      </c>
      <c r="AQ43" s="3208" t="s">
        <v>3204</v>
      </c>
      <c r="AR43" s="3208" t="s">
        <v>3205</v>
      </c>
      <c r="AS43" s="3208" t="s">
        <v>3205</v>
      </c>
    </row>
    <row r="44" spans="1:45">
      <c r="A44" s="3208" t="s">
        <v>3463</v>
      </c>
      <c r="B44" s="3208" t="s">
        <v>3464</v>
      </c>
      <c r="C44" s="3208" t="s">
        <v>3189</v>
      </c>
      <c r="D44" s="3208" t="s">
        <v>3190</v>
      </c>
      <c r="E44" s="3208" t="s">
        <v>3215</v>
      </c>
      <c r="F44" s="3208" t="s">
        <v>3465</v>
      </c>
      <c r="G44" s="3208" t="s">
        <v>3193</v>
      </c>
      <c r="H44" s="3208">
        <v>29574.85</v>
      </c>
      <c r="I44" s="3208">
        <v>97597.01</v>
      </c>
      <c r="J44" s="3208" t="s">
        <v>3378</v>
      </c>
      <c r="K44" s="3208" t="s">
        <v>3195</v>
      </c>
      <c r="L44" s="3208" t="s">
        <v>3410</v>
      </c>
      <c r="M44" s="3208" t="s">
        <v>3197</v>
      </c>
      <c r="N44" s="3208" t="s">
        <v>3198</v>
      </c>
      <c r="O44" s="3208" t="s">
        <v>3466</v>
      </c>
      <c r="P44" s="3208" t="s">
        <v>3227</v>
      </c>
      <c r="Q44" s="3208" t="s">
        <v>3200</v>
      </c>
      <c r="R44" s="3208" t="s">
        <v>3200</v>
      </c>
      <c r="S44" s="3208" t="s">
        <v>3200</v>
      </c>
      <c r="T44" s="3208" t="s">
        <v>3200</v>
      </c>
      <c r="U44" s="3208" t="s">
        <v>3200</v>
      </c>
      <c r="V44" s="3208" t="s">
        <v>3200</v>
      </c>
      <c r="W44" s="3208" t="s">
        <v>3200</v>
      </c>
      <c r="X44" s="3210">
        <v>43962.000497685185</v>
      </c>
      <c r="Y44" s="3210">
        <v>43984.000497685185</v>
      </c>
      <c r="Z44" s="3210">
        <v>43984.000497685185</v>
      </c>
      <c r="AA44" s="3210">
        <v>43984.000497685185</v>
      </c>
      <c r="AB44" s="3208" t="s">
        <v>3467</v>
      </c>
      <c r="AC44" s="3208" t="s">
        <v>3202</v>
      </c>
      <c r="AD44" s="3208" t="s">
        <v>3381</v>
      </c>
      <c r="AE44" s="3208" t="s">
        <v>3200</v>
      </c>
      <c r="AF44" s="3208">
        <v>8207.02</v>
      </c>
      <c r="AG44" s="3208">
        <v>4098</v>
      </c>
      <c r="AH44" s="3210">
        <v>43983.708831018521</v>
      </c>
      <c r="AI44" s="3208">
        <v>9537.8799999999992</v>
      </c>
      <c r="AJ44" s="3208">
        <v>185</v>
      </c>
      <c r="AK44" s="3208">
        <v>215</v>
      </c>
      <c r="AL44" s="3208">
        <v>841</v>
      </c>
      <c r="AM44" s="3208">
        <v>977</v>
      </c>
      <c r="AN44" s="3208" t="s">
        <v>3200</v>
      </c>
      <c r="AO44" s="3208" t="s">
        <v>3200</v>
      </c>
      <c r="AP44" s="3208">
        <v>16.22</v>
      </c>
      <c r="AQ44" s="3208" t="s">
        <v>3204</v>
      </c>
      <c r="AR44" s="3208" t="s">
        <v>3205</v>
      </c>
      <c r="AS44" s="3208" t="s">
        <v>3205</v>
      </c>
    </row>
    <row r="45" spans="1:45">
      <c r="A45" s="3208" t="s">
        <v>3468</v>
      </c>
      <c r="B45" s="3208" t="s">
        <v>3469</v>
      </c>
      <c r="C45" s="3208" t="s">
        <v>3189</v>
      </c>
      <c r="D45" s="3208" t="s">
        <v>3190</v>
      </c>
      <c r="E45" s="3208" t="s">
        <v>3233</v>
      </c>
      <c r="F45" s="3208" t="s">
        <v>3470</v>
      </c>
      <c r="G45" s="3208" t="s">
        <v>3193</v>
      </c>
      <c r="H45" s="3208">
        <v>28330.46</v>
      </c>
      <c r="I45" s="3208">
        <v>99156.61</v>
      </c>
      <c r="J45" s="3208" t="s">
        <v>3266</v>
      </c>
      <c r="K45" s="3208" t="s">
        <v>3195</v>
      </c>
      <c r="L45" s="3208" t="s">
        <v>3410</v>
      </c>
      <c r="M45" s="3208" t="s">
        <v>3197</v>
      </c>
      <c r="N45" s="3208" t="s">
        <v>3198</v>
      </c>
      <c r="O45" s="3208" t="s">
        <v>3250</v>
      </c>
      <c r="P45" s="3208" t="s">
        <v>3289</v>
      </c>
      <c r="Q45" s="3208" t="s">
        <v>3200</v>
      </c>
      <c r="R45" s="3208" t="s">
        <v>3200</v>
      </c>
      <c r="S45" s="3208" t="s">
        <v>3200</v>
      </c>
      <c r="T45" s="3208" t="s">
        <v>3200</v>
      </c>
      <c r="U45" s="3208" t="s">
        <v>3200</v>
      </c>
      <c r="V45" s="3208" t="s">
        <v>3200</v>
      </c>
      <c r="W45" s="3208" t="s">
        <v>3200</v>
      </c>
      <c r="X45" s="3210">
        <v>43962.000497685185</v>
      </c>
      <c r="Y45" s="3210">
        <v>43984.000497685185</v>
      </c>
      <c r="Z45" s="3210">
        <v>43984.000497685185</v>
      </c>
      <c r="AA45" s="3210">
        <v>43984.000497685185</v>
      </c>
      <c r="AB45" s="3208" t="s">
        <v>3467</v>
      </c>
      <c r="AC45" s="3208" t="s">
        <v>3202</v>
      </c>
      <c r="AD45" s="3208" t="s">
        <v>3471</v>
      </c>
      <c r="AE45" s="3208" t="s">
        <v>3472</v>
      </c>
      <c r="AF45" s="3208">
        <v>16148.36</v>
      </c>
      <c r="AG45" s="3208">
        <v>3230</v>
      </c>
      <c r="AH45" s="3210">
        <v>43983.708831018521</v>
      </c>
      <c r="AI45" s="3208">
        <v>16913.27</v>
      </c>
      <c r="AJ45" s="3208">
        <v>380</v>
      </c>
      <c r="AK45" s="3208">
        <v>398</v>
      </c>
      <c r="AL45" s="3208">
        <v>1629</v>
      </c>
      <c r="AM45" s="3208">
        <v>1706</v>
      </c>
      <c r="AN45" s="3208" t="s">
        <v>3200</v>
      </c>
      <c r="AO45" s="3208" t="s">
        <v>3200</v>
      </c>
      <c r="AP45" s="3208">
        <v>4.74</v>
      </c>
      <c r="AQ45" s="3208" t="s">
        <v>3204</v>
      </c>
      <c r="AR45" s="3208" t="s">
        <v>3205</v>
      </c>
      <c r="AS45" s="3208" t="s">
        <v>3205</v>
      </c>
    </row>
    <row r="46" spans="1:45">
      <c r="A46" s="3208" t="s">
        <v>3473</v>
      </c>
      <c r="B46" s="3208" t="s">
        <v>3474</v>
      </c>
      <c r="C46" s="3208" t="s">
        <v>3189</v>
      </c>
      <c r="D46" s="3208" t="s">
        <v>3190</v>
      </c>
      <c r="E46" s="3208" t="s">
        <v>3208</v>
      </c>
      <c r="F46" s="3208" t="s">
        <v>3475</v>
      </c>
      <c r="G46" s="3208" t="s">
        <v>3193</v>
      </c>
      <c r="H46" s="3208">
        <v>23744.95</v>
      </c>
      <c r="I46" s="3208">
        <v>66485.86</v>
      </c>
      <c r="J46" s="3208" t="s">
        <v>3476</v>
      </c>
      <c r="K46" s="3208" t="s">
        <v>3195</v>
      </c>
      <c r="L46" s="3208" t="s">
        <v>3410</v>
      </c>
      <c r="M46" s="3208" t="s">
        <v>3197</v>
      </c>
      <c r="N46" s="3208" t="s">
        <v>3198</v>
      </c>
      <c r="O46" s="3208" t="s">
        <v>3267</v>
      </c>
      <c r="P46" s="3208" t="s">
        <v>3227</v>
      </c>
      <c r="Q46" s="3208" t="s">
        <v>3200</v>
      </c>
      <c r="R46" s="3208" t="s">
        <v>3200</v>
      </c>
      <c r="S46" s="3208" t="s">
        <v>3200</v>
      </c>
      <c r="T46" s="3208" t="s">
        <v>3200</v>
      </c>
      <c r="U46" s="3208" t="s">
        <v>3200</v>
      </c>
      <c r="V46" s="3208" t="s">
        <v>3200</v>
      </c>
      <c r="W46" s="3208" t="s">
        <v>3200</v>
      </c>
      <c r="X46" s="3210">
        <v>43957.000497685185</v>
      </c>
      <c r="Y46" s="3210">
        <v>43978.000497685185</v>
      </c>
      <c r="Z46" s="3210">
        <v>43978.000497685185</v>
      </c>
      <c r="AA46" s="3210">
        <v>43978.000497685185</v>
      </c>
      <c r="AB46" s="3208" t="s">
        <v>3477</v>
      </c>
      <c r="AC46" s="3208" t="s">
        <v>3202</v>
      </c>
      <c r="AD46" s="3208" t="s">
        <v>3478</v>
      </c>
      <c r="AE46" s="3208" t="s">
        <v>3479</v>
      </c>
      <c r="AF46" s="3208">
        <v>9972.8700000000008</v>
      </c>
      <c r="AG46" s="3208">
        <v>1995</v>
      </c>
      <c r="AH46" s="3210">
        <v>43977.708831018521</v>
      </c>
      <c r="AI46" s="3208">
        <v>10542.76</v>
      </c>
      <c r="AJ46" s="3208">
        <v>280</v>
      </c>
      <c r="AK46" s="3208">
        <v>296</v>
      </c>
      <c r="AL46" s="3208">
        <v>1500</v>
      </c>
      <c r="AM46" s="3208">
        <v>1586</v>
      </c>
      <c r="AN46" s="3208" t="s">
        <v>3200</v>
      </c>
      <c r="AO46" s="3208" t="s">
        <v>3200</v>
      </c>
      <c r="AP46" s="3208">
        <v>5.71</v>
      </c>
      <c r="AQ46" s="3208" t="s">
        <v>3204</v>
      </c>
      <c r="AR46" s="3208" t="s">
        <v>3205</v>
      </c>
      <c r="AS46" s="3208" t="s">
        <v>3205</v>
      </c>
    </row>
    <row r="47" spans="1:45">
      <c r="A47" s="3208" t="s">
        <v>3480</v>
      </c>
      <c r="B47" s="3208" t="s">
        <v>3481</v>
      </c>
      <c r="C47" s="3208" t="s">
        <v>3189</v>
      </c>
      <c r="D47" s="3208" t="s">
        <v>3190</v>
      </c>
      <c r="E47" s="3208" t="s">
        <v>3224</v>
      </c>
      <c r="F47" s="3208" t="s">
        <v>3482</v>
      </c>
      <c r="G47" s="3208" t="s">
        <v>3193</v>
      </c>
      <c r="H47" s="3208">
        <v>38799.5</v>
      </c>
      <c r="I47" s="3208">
        <v>116398.5</v>
      </c>
      <c r="J47" s="3208" t="s">
        <v>3356</v>
      </c>
      <c r="K47" s="3208" t="s">
        <v>3195</v>
      </c>
      <c r="L47" s="3208" t="s">
        <v>3410</v>
      </c>
      <c r="M47" s="3208" t="s">
        <v>3197</v>
      </c>
      <c r="N47" s="3208" t="s">
        <v>3198</v>
      </c>
      <c r="O47" s="3208" t="s">
        <v>3218</v>
      </c>
      <c r="P47" s="3208" t="s">
        <v>3289</v>
      </c>
      <c r="Q47" s="3208" t="s">
        <v>3200</v>
      </c>
      <c r="R47" s="3208" t="s">
        <v>3200</v>
      </c>
      <c r="S47" s="3208" t="s">
        <v>3200</v>
      </c>
      <c r="T47" s="3208" t="s">
        <v>3200</v>
      </c>
      <c r="U47" s="3208" t="s">
        <v>3200</v>
      </c>
      <c r="V47" s="3208" t="s">
        <v>3200</v>
      </c>
      <c r="W47" s="3208" t="s">
        <v>3200</v>
      </c>
      <c r="X47" s="3210">
        <v>43951.000497685185</v>
      </c>
      <c r="Y47" s="3210">
        <v>43972.000497685185</v>
      </c>
      <c r="Z47" s="3210">
        <v>43972.000497685185</v>
      </c>
      <c r="AA47" s="3210">
        <v>43972.000497685185</v>
      </c>
      <c r="AB47" s="3208" t="s">
        <v>3483</v>
      </c>
      <c r="AC47" s="3208" t="s">
        <v>3202</v>
      </c>
      <c r="AD47" s="3208" t="s">
        <v>3484</v>
      </c>
      <c r="AE47" s="3208" t="s">
        <v>3485</v>
      </c>
      <c r="AF47" s="3208">
        <v>19205.75</v>
      </c>
      <c r="AG47" s="3208">
        <v>3841</v>
      </c>
      <c r="AH47" s="3210">
        <v>43971.708831018521</v>
      </c>
      <c r="AI47" s="3208">
        <v>20777.13</v>
      </c>
      <c r="AJ47" s="3208">
        <v>330</v>
      </c>
      <c r="AK47" s="3208">
        <v>357</v>
      </c>
      <c r="AL47" s="3208">
        <v>1650</v>
      </c>
      <c r="AM47" s="3208">
        <v>1785</v>
      </c>
      <c r="AN47" s="3208" t="s">
        <v>3200</v>
      </c>
      <c r="AO47" s="3208" t="s">
        <v>3200</v>
      </c>
      <c r="AP47" s="3208">
        <v>8.18</v>
      </c>
      <c r="AQ47" s="3208" t="s">
        <v>3204</v>
      </c>
      <c r="AR47" s="3208" t="s">
        <v>3205</v>
      </c>
      <c r="AS47" s="3208" t="s">
        <v>3205</v>
      </c>
    </row>
    <row r="48" spans="1:45">
      <c r="A48" s="3208" t="s">
        <v>3486</v>
      </c>
      <c r="B48" s="3208" t="s">
        <v>3487</v>
      </c>
      <c r="C48" s="3208" t="s">
        <v>3189</v>
      </c>
      <c r="D48" s="3208" t="s">
        <v>3190</v>
      </c>
      <c r="E48" s="3208" t="s">
        <v>3191</v>
      </c>
      <c r="F48" s="3208" t="s">
        <v>3488</v>
      </c>
      <c r="G48" s="3208" t="s">
        <v>3315</v>
      </c>
      <c r="H48" s="3208">
        <v>22298.45</v>
      </c>
      <c r="I48" s="3208">
        <v>62435.66</v>
      </c>
      <c r="J48" s="3208" t="s">
        <v>3363</v>
      </c>
      <c r="K48" s="3208" t="s">
        <v>3195</v>
      </c>
      <c r="L48" s="3208" t="s">
        <v>3410</v>
      </c>
      <c r="M48" s="3208" t="s">
        <v>3197</v>
      </c>
      <c r="N48" s="3208" t="s">
        <v>3198</v>
      </c>
      <c r="O48" s="3208" t="s">
        <v>3250</v>
      </c>
      <c r="P48" s="3208" t="s">
        <v>3489</v>
      </c>
      <c r="Q48" s="3208" t="s">
        <v>3200</v>
      </c>
      <c r="R48" s="3208" t="s">
        <v>3200</v>
      </c>
      <c r="S48" s="3208" t="s">
        <v>3200</v>
      </c>
      <c r="T48" s="3208" t="s">
        <v>3200</v>
      </c>
      <c r="U48" s="3208" t="s">
        <v>3200</v>
      </c>
      <c r="V48" s="3208" t="s">
        <v>3200</v>
      </c>
      <c r="W48" s="3208" t="s">
        <v>3200</v>
      </c>
      <c r="X48" s="3210">
        <v>43951.000497685185</v>
      </c>
      <c r="Y48" s="3210">
        <v>43972.000497685185</v>
      </c>
      <c r="Z48" s="3210">
        <v>43972.000497685185</v>
      </c>
      <c r="AA48" s="3210">
        <v>43972.000497685185</v>
      </c>
      <c r="AB48" s="3208" t="s">
        <v>3490</v>
      </c>
      <c r="AC48" s="3208" t="s">
        <v>3202</v>
      </c>
      <c r="AD48" s="3208" t="s">
        <v>3284</v>
      </c>
      <c r="AE48" s="3208" t="s">
        <v>3200</v>
      </c>
      <c r="AF48" s="3208" t="s">
        <v>3200</v>
      </c>
      <c r="AG48" s="3208">
        <v>1466</v>
      </c>
      <c r="AH48" s="3210">
        <v>43971.708831018521</v>
      </c>
      <c r="AI48" s="3208">
        <v>7525.72</v>
      </c>
      <c r="AJ48" s="3208" t="s">
        <v>3200</v>
      </c>
      <c r="AK48" s="3208">
        <v>225</v>
      </c>
      <c r="AL48" s="3208" t="s">
        <v>3200</v>
      </c>
      <c r="AM48" s="3208">
        <v>1205</v>
      </c>
      <c r="AN48" s="3208" t="s">
        <v>3200</v>
      </c>
      <c r="AO48" s="3208" t="s">
        <v>3200</v>
      </c>
      <c r="AP48" s="3208">
        <v>0</v>
      </c>
      <c r="AQ48" s="3208" t="s">
        <v>3204</v>
      </c>
      <c r="AR48" s="3208" t="s">
        <v>3205</v>
      </c>
      <c r="AS48" s="3208" t="s">
        <v>3205</v>
      </c>
    </row>
    <row r="49" spans="1:45">
      <c r="A49" s="3208" t="s">
        <v>3491</v>
      </c>
      <c r="B49" s="3208" t="s">
        <v>3492</v>
      </c>
      <c r="C49" s="3208" t="s">
        <v>3189</v>
      </c>
      <c r="D49" s="3208" t="s">
        <v>3190</v>
      </c>
      <c r="E49" s="3208" t="s">
        <v>3208</v>
      </c>
      <c r="F49" s="3208" t="s">
        <v>3493</v>
      </c>
      <c r="G49" s="3208" t="s">
        <v>3315</v>
      </c>
      <c r="H49" s="3208">
        <v>51021.59</v>
      </c>
      <c r="I49" s="3208">
        <v>142860.45000000001</v>
      </c>
      <c r="J49" s="3208" t="s">
        <v>3363</v>
      </c>
      <c r="K49" s="3208" t="s">
        <v>3195</v>
      </c>
      <c r="L49" s="3208" t="s">
        <v>3410</v>
      </c>
      <c r="M49" s="3208" t="s">
        <v>3197</v>
      </c>
      <c r="N49" s="3208" t="s">
        <v>3198</v>
      </c>
      <c r="O49" s="3208" t="s">
        <v>3218</v>
      </c>
      <c r="P49" s="3208" t="s">
        <v>3259</v>
      </c>
      <c r="Q49" s="3208" t="s">
        <v>3200</v>
      </c>
      <c r="R49" s="3208" t="s">
        <v>3200</v>
      </c>
      <c r="S49" s="3208" t="s">
        <v>3200</v>
      </c>
      <c r="T49" s="3208" t="s">
        <v>3200</v>
      </c>
      <c r="U49" s="3208" t="s">
        <v>3200</v>
      </c>
      <c r="V49" s="3208" t="s">
        <v>3200</v>
      </c>
      <c r="W49" s="3208" t="s">
        <v>3200</v>
      </c>
      <c r="X49" s="3210">
        <v>43951.000497685185</v>
      </c>
      <c r="Y49" s="3210">
        <v>43972.000497685185</v>
      </c>
      <c r="Z49" s="3210">
        <v>43972.000497685185</v>
      </c>
      <c r="AA49" s="3210">
        <v>43972.000497685185</v>
      </c>
      <c r="AB49" s="3208" t="s">
        <v>3490</v>
      </c>
      <c r="AC49" s="3208" t="s">
        <v>3202</v>
      </c>
      <c r="AD49" s="3208" t="s">
        <v>3284</v>
      </c>
      <c r="AE49" s="3208" t="s">
        <v>3285</v>
      </c>
      <c r="AF49" s="3208">
        <v>16607.52</v>
      </c>
      <c r="AG49" s="3208">
        <v>3322</v>
      </c>
      <c r="AH49" s="3210">
        <v>43971.708831018521</v>
      </c>
      <c r="AI49" s="3208">
        <v>17296.310000000001</v>
      </c>
      <c r="AJ49" s="3208">
        <v>217</v>
      </c>
      <c r="AK49" s="3208">
        <v>226</v>
      </c>
      <c r="AL49" s="3208">
        <v>1163</v>
      </c>
      <c r="AM49" s="3208">
        <v>1211</v>
      </c>
      <c r="AN49" s="3208" t="s">
        <v>3200</v>
      </c>
      <c r="AO49" s="3208" t="s">
        <v>3200</v>
      </c>
      <c r="AP49" s="3208">
        <v>4.1500000000000004</v>
      </c>
      <c r="AQ49" s="3208" t="s">
        <v>3204</v>
      </c>
      <c r="AR49" s="3208" t="s">
        <v>3205</v>
      </c>
      <c r="AS49" s="3208" t="s">
        <v>3205</v>
      </c>
    </row>
    <row r="50" spans="1:45">
      <c r="A50" s="3208" t="s">
        <v>3486</v>
      </c>
      <c r="B50" s="3208" t="s">
        <v>3494</v>
      </c>
      <c r="C50" s="3208" t="s">
        <v>3189</v>
      </c>
      <c r="D50" s="3208" t="s">
        <v>3190</v>
      </c>
      <c r="E50" s="3208" t="s">
        <v>3191</v>
      </c>
      <c r="F50" s="3208" t="s">
        <v>3488</v>
      </c>
      <c r="G50" s="3208" t="s">
        <v>3315</v>
      </c>
      <c r="H50" s="3208">
        <v>32716.2</v>
      </c>
      <c r="I50" s="3208">
        <v>91605.36</v>
      </c>
      <c r="J50" s="3208" t="s">
        <v>3363</v>
      </c>
      <c r="K50" s="3208" t="s">
        <v>3195</v>
      </c>
      <c r="L50" s="3208" t="s">
        <v>3410</v>
      </c>
      <c r="M50" s="3208" t="s">
        <v>3197</v>
      </c>
      <c r="N50" s="3208" t="s">
        <v>3198</v>
      </c>
      <c r="O50" s="3208" t="s">
        <v>3250</v>
      </c>
      <c r="P50" s="3208" t="s">
        <v>3489</v>
      </c>
      <c r="Q50" s="3208" t="s">
        <v>3200</v>
      </c>
      <c r="R50" s="3208" t="s">
        <v>3200</v>
      </c>
      <c r="S50" s="3208" t="s">
        <v>3200</v>
      </c>
      <c r="T50" s="3208" t="s">
        <v>3200</v>
      </c>
      <c r="U50" s="3208" t="s">
        <v>3200</v>
      </c>
      <c r="V50" s="3208" t="s">
        <v>3200</v>
      </c>
      <c r="W50" s="3208" t="s">
        <v>3200</v>
      </c>
      <c r="X50" s="3210">
        <v>43951.000497685185</v>
      </c>
      <c r="Y50" s="3210">
        <v>43972.000497685185</v>
      </c>
      <c r="Z50" s="3210">
        <v>43972.000497685185</v>
      </c>
      <c r="AA50" s="3210">
        <v>43972.000497685185</v>
      </c>
      <c r="AB50" s="3208" t="s">
        <v>3490</v>
      </c>
      <c r="AC50" s="3208" t="s">
        <v>3202</v>
      </c>
      <c r="AD50" s="3208" t="s">
        <v>3284</v>
      </c>
      <c r="AE50" s="3208" t="s">
        <v>3285</v>
      </c>
      <c r="AF50" s="3208">
        <v>10747.27</v>
      </c>
      <c r="AG50" s="3208">
        <v>2150</v>
      </c>
      <c r="AH50" s="3210">
        <v>43971.708831018521</v>
      </c>
      <c r="AI50" s="3208">
        <v>11041.71</v>
      </c>
      <c r="AJ50" s="3208">
        <v>219</v>
      </c>
      <c r="AK50" s="3208">
        <v>225</v>
      </c>
      <c r="AL50" s="3208">
        <v>1173</v>
      </c>
      <c r="AM50" s="3208">
        <v>1205</v>
      </c>
      <c r="AN50" s="3208" t="s">
        <v>3200</v>
      </c>
      <c r="AO50" s="3208" t="s">
        <v>3200</v>
      </c>
      <c r="AP50" s="3208">
        <v>2.74</v>
      </c>
      <c r="AQ50" s="3208" t="s">
        <v>3204</v>
      </c>
      <c r="AR50" s="3208" t="s">
        <v>3205</v>
      </c>
      <c r="AS50" s="3208" t="s">
        <v>3205</v>
      </c>
    </row>
    <row r="51" spans="1:45">
      <c r="A51" s="3208" t="s">
        <v>3491</v>
      </c>
      <c r="B51" s="3208" t="s">
        <v>3495</v>
      </c>
      <c r="C51" s="3208" t="s">
        <v>3189</v>
      </c>
      <c r="D51" s="3208" t="s">
        <v>3190</v>
      </c>
      <c r="E51" s="3208" t="s">
        <v>3208</v>
      </c>
      <c r="F51" s="3208" t="s">
        <v>3493</v>
      </c>
      <c r="G51" s="3208" t="s">
        <v>3193</v>
      </c>
      <c r="H51" s="3208">
        <v>23574.81</v>
      </c>
      <c r="I51" s="3208">
        <v>66009.47</v>
      </c>
      <c r="J51" s="3208" t="s">
        <v>3363</v>
      </c>
      <c r="K51" s="3208" t="s">
        <v>3195</v>
      </c>
      <c r="L51" s="3208" t="s">
        <v>3410</v>
      </c>
      <c r="M51" s="3208" t="s">
        <v>3197</v>
      </c>
      <c r="N51" s="3208" t="s">
        <v>3198</v>
      </c>
      <c r="O51" s="3208" t="s">
        <v>3496</v>
      </c>
      <c r="P51" s="3208" t="s">
        <v>3259</v>
      </c>
      <c r="Q51" s="3208" t="s">
        <v>3200</v>
      </c>
      <c r="R51" s="3208" t="s">
        <v>3200</v>
      </c>
      <c r="S51" s="3208" t="s">
        <v>3200</v>
      </c>
      <c r="T51" s="3208" t="s">
        <v>3200</v>
      </c>
      <c r="U51" s="3208" t="s">
        <v>3200</v>
      </c>
      <c r="V51" s="3208" t="s">
        <v>3200</v>
      </c>
      <c r="W51" s="3208" t="s">
        <v>3200</v>
      </c>
      <c r="X51" s="3210">
        <v>43951.000497685185</v>
      </c>
      <c r="Y51" s="3210">
        <v>43972.000497685185</v>
      </c>
      <c r="Z51" s="3210">
        <v>43972.000497685185</v>
      </c>
      <c r="AA51" s="3210">
        <v>43972.000497685185</v>
      </c>
      <c r="AB51" s="3208" t="s">
        <v>3490</v>
      </c>
      <c r="AC51" s="3208" t="s">
        <v>3202</v>
      </c>
      <c r="AD51" s="3208" t="s">
        <v>3284</v>
      </c>
      <c r="AE51" s="3208" t="s">
        <v>3200</v>
      </c>
      <c r="AF51" s="3208">
        <v>7850.4</v>
      </c>
      <c r="AG51" s="3208">
        <v>1570</v>
      </c>
      <c r="AH51" s="3210">
        <v>43971.708831018521</v>
      </c>
      <c r="AI51" s="3208">
        <v>7991.85</v>
      </c>
      <c r="AJ51" s="3208">
        <v>222</v>
      </c>
      <c r="AK51" s="3208">
        <v>226</v>
      </c>
      <c r="AL51" s="3208">
        <v>1189</v>
      </c>
      <c r="AM51" s="3208">
        <v>1211</v>
      </c>
      <c r="AN51" s="3208" t="s">
        <v>3200</v>
      </c>
      <c r="AO51" s="3208" t="s">
        <v>3200</v>
      </c>
      <c r="AP51" s="3208">
        <v>1.8</v>
      </c>
      <c r="AQ51" s="3208" t="s">
        <v>3204</v>
      </c>
      <c r="AR51" s="3208" t="s">
        <v>3205</v>
      </c>
      <c r="AS51" s="3208" t="s">
        <v>3205</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1" t="str">
        <f>IF(项目基本情况!B9="房地产市场价值","估价结果一览表","结果表-2")</f>
        <v>结果表-2</v>
      </c>
      <c r="B1" s="3231"/>
      <c r="C1" s="3231"/>
      <c r="D1" s="3231"/>
      <c r="E1" s="3231"/>
      <c r="F1" s="3231"/>
      <c r="G1" s="3231"/>
      <c r="H1" s="3231"/>
      <c r="I1" s="3231"/>
    </row>
    <row r="2" spans="1:9" ht="30" customHeight="1" thickTop="1">
      <c r="A2" s="3232" t="s">
        <v>1546</v>
      </c>
      <c r="B2" s="3232" t="s">
        <v>1547</v>
      </c>
      <c r="C2" s="3232" t="s">
        <v>1548</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33"/>
      <c r="B3" s="3233"/>
      <c r="C3" s="3233"/>
      <c r="D3" s="963" t="s">
        <v>1543</v>
      </c>
      <c r="E3" s="963" t="s">
        <v>1549</v>
      </c>
      <c r="F3" s="963" t="s">
        <v>1543</v>
      </c>
      <c r="G3" s="963" t="s">
        <v>1544</v>
      </c>
      <c r="H3" s="963" t="s">
        <v>1543</v>
      </c>
      <c r="I3" s="963" t="s">
        <v>1544</v>
      </c>
    </row>
    <row r="4" spans="1:9" ht="15">
      <c r="A4" s="1660" t="str">
        <f>项目基本情况!S2</f>
        <v>房地产</v>
      </c>
      <c r="B4" s="963">
        <f>项目基本情况!C17</f>
        <v>38556.25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3" t="s">
        <v>1545</v>
      </c>
      <c r="B5" s="3233"/>
      <c r="C5" s="3233"/>
      <c r="D5" s="3234" t="e">
        <f ca="1">结果表!D119</f>
        <v>#REF!</v>
      </c>
      <c r="E5" s="3234"/>
      <c r="F5" s="3234" t="e">
        <f ca="1">结果表!F119</f>
        <v>#REF!</v>
      </c>
      <c r="G5" s="3234"/>
      <c r="H5" s="3234" t="e">
        <f ca="1">结果表!H119</f>
        <v>#REF!</v>
      </c>
      <c r="I5" s="3234"/>
    </row>
    <row r="6" spans="1:9" ht="15.75">
      <c r="A6" s="3235" t="str">
        <f>结果表!A120</f>
        <v>估价师知悉的法定优先受偿款</v>
      </c>
      <c r="B6" s="3235"/>
      <c r="C6" s="3235"/>
      <c r="D6" s="3235">
        <f>结果表!D120</f>
        <v>0</v>
      </c>
      <c r="E6" s="3235"/>
      <c r="F6" s="3235"/>
      <c r="G6" s="3235"/>
      <c r="H6" s="3235"/>
      <c r="I6" s="3235"/>
    </row>
    <row r="7" spans="1:9" ht="15">
      <c r="A7" s="3233" t="s">
        <v>1545</v>
      </c>
      <c r="B7" s="3233"/>
      <c r="C7" s="3233"/>
      <c r="D7" s="3236" t="str">
        <f>结果表!D121</f>
        <v>零元整</v>
      </c>
      <c r="E7" s="3237"/>
      <c r="F7" s="3237"/>
      <c r="G7" s="3237"/>
      <c r="H7" s="3237"/>
      <c r="I7" s="3238"/>
    </row>
    <row r="8" spans="1:9" ht="15.75">
      <c r="A8" s="3235" t="str">
        <f>结果表!A122</f>
        <v>房地产抵押价值</v>
      </c>
      <c r="B8" s="3235"/>
      <c r="C8" s="3235"/>
      <c r="D8" s="3235" t="str">
        <f ca="1">结果表!D122</f>
        <v>——</v>
      </c>
      <c r="E8" s="3235"/>
      <c r="F8" s="3235"/>
      <c r="G8" s="3235"/>
      <c r="H8" s="3235"/>
      <c r="I8" s="3235"/>
    </row>
    <row r="9" spans="1:9" ht="15">
      <c r="A9" s="3233" t="s">
        <v>1545</v>
      </c>
      <c r="B9" s="3233"/>
      <c r="C9" s="3233"/>
      <c r="D9" s="3234" t="e">
        <f ca="1">结果表!D123</f>
        <v>#VALUE!</v>
      </c>
      <c r="E9" s="3234"/>
      <c r="F9" s="3234"/>
      <c r="G9" s="3234"/>
      <c r="H9" s="3234"/>
      <c r="I9" s="3234"/>
    </row>
    <row r="10" spans="1:9" ht="15.75">
      <c r="A10" s="3235" t="str">
        <f>结果表!A124</f>
        <v/>
      </c>
      <c r="B10" s="3235"/>
      <c r="C10" s="3235"/>
      <c r="D10" s="3235" t="str">
        <f>结果表!D124</f>
        <v>——</v>
      </c>
      <c r="E10" s="3235"/>
      <c r="F10" s="3235"/>
      <c r="G10" s="3235"/>
      <c r="H10" s="3235"/>
      <c r="I10" s="3235"/>
    </row>
    <row r="11" spans="1:9" ht="15">
      <c r="A11" s="3233" t="s">
        <v>1545</v>
      </c>
      <c r="B11" s="3233"/>
      <c r="C11" s="3233"/>
      <c r="D11" s="3234" t="e">
        <f>结果表!D125</f>
        <v>#VALUE!</v>
      </c>
      <c r="E11" s="3234"/>
      <c r="F11" s="3234"/>
      <c r="G11" s="3234"/>
      <c r="H11" s="3234"/>
      <c r="I11" s="3234"/>
    </row>
    <row r="12" spans="1:9" ht="15.75">
      <c r="A12" s="3235" t="str">
        <f>结果表!A126</f>
        <v>抵押净值</v>
      </c>
      <c r="B12" s="3235"/>
      <c r="C12" s="3235"/>
      <c r="D12" s="3235" t="str">
        <f ca="1">结果表!D126</f>
        <v>——</v>
      </c>
      <c r="E12" s="3235"/>
      <c r="F12" s="3235"/>
      <c r="G12" s="3235"/>
      <c r="H12" s="3235"/>
      <c r="I12" s="3235"/>
    </row>
    <row r="13" spans="1:9" ht="15.75" thickBot="1">
      <c r="A13" s="3239" t="s">
        <v>1545</v>
      </c>
      <c r="B13" s="3239"/>
      <c r="C13" s="3239"/>
      <c r="D13" s="3240" t="e">
        <f ca="1">结果表!D127</f>
        <v>#VALUE!</v>
      </c>
      <c r="E13" s="3240"/>
      <c r="F13" s="3240"/>
      <c r="G13" s="3240"/>
      <c r="H13" s="3240"/>
      <c r="I13" s="3240"/>
    </row>
    <row r="14" spans="1:9" ht="15" thickTop="1">
      <c r="A14" s="3241" t="s">
        <v>1550</v>
      </c>
      <c r="B14" s="3241"/>
      <c r="C14" s="3241"/>
      <c r="D14" s="3241"/>
      <c r="E14" s="3241"/>
      <c r="F14" s="3241"/>
      <c r="G14" s="3241"/>
      <c r="H14" s="3241"/>
      <c r="I14" s="324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2" t="s">
        <v>1567</v>
      </c>
      <c r="B1" s="3242"/>
      <c r="C1" s="3242"/>
      <c r="D1" s="3242"/>
    </row>
    <row r="2" spans="1:4" ht="18">
      <c r="A2" s="3243" t="s">
        <v>1551</v>
      </c>
      <c r="B2" s="3243"/>
      <c r="C2" s="3243"/>
      <c r="D2" s="324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3" t="s">
        <v>1557</v>
      </c>
      <c r="B6" s="3243"/>
      <c r="C6" s="3243"/>
      <c r="D6" s="324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4" t="s">
        <v>1560</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spans="1:4" ht="15.75" customHeight="1">
      <c r="A14" s="3245" t="str">
        <f>IF(项目基本情况!B8="抵押","4.本次评估估价师所知悉的法定优先受偿款情况说明如下：","——")</f>
        <v>4.本次评估估价师所知悉的法定优先受偿款情况说明如下：</v>
      </c>
      <c r="B14" s="3246"/>
      <c r="C14" s="3246"/>
      <c r="D14" s="3246"/>
    </row>
    <row r="15" spans="1:4" ht="42" customHeight="1">
      <c r="A15" s="32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spans="1:4" ht="30" customHeight="1">
      <c r="A16" s="3248" t="s">
        <v>1561</v>
      </c>
      <c r="B16" s="3248"/>
      <c r="C16" s="3248"/>
      <c r="D16" s="3248"/>
    </row>
    <row r="17" spans="1:4" ht="144" customHeight="1">
      <c r="A17" s="3248" t="s">
        <v>1562</v>
      </c>
      <c r="B17" s="3248"/>
      <c r="C17" s="3248"/>
      <c r="D17" s="3248"/>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6" t="s">
        <v>1574</v>
      </c>
      <c r="B15" s="3251" t="s">
        <v>136</v>
      </c>
      <c r="C15" s="3252"/>
    </row>
    <row r="16" spans="1:7" ht="13.5">
      <c r="A16" s="3257"/>
      <c r="B16" s="3251" t="s">
        <v>69</v>
      </c>
      <c r="C16" s="3252"/>
    </row>
    <row r="17" spans="1:3" ht="13.5">
      <c r="A17" s="3257"/>
      <c r="B17" s="3254" t="s">
        <v>1575</v>
      </c>
      <c r="C17" s="1687" t="s">
        <v>1574</v>
      </c>
    </row>
    <row r="18" spans="1:3" ht="13.5">
      <c r="A18" s="3257"/>
      <c r="B18" s="3254"/>
      <c r="C18" s="1687" t="s">
        <v>1576</v>
      </c>
    </row>
    <row r="19" spans="1:3" ht="13.5">
      <c r="A19" s="3257"/>
      <c r="B19" s="3254"/>
      <c r="C19" s="1687" t="s">
        <v>1577</v>
      </c>
    </row>
    <row r="20" spans="1:3" ht="13.5">
      <c r="A20" s="3258"/>
      <c r="B20" s="3253" t="s">
        <v>1578</v>
      </c>
      <c r="C20" s="3252"/>
    </row>
    <row r="21" spans="1:3" ht="13.5">
      <c r="A21" s="1688" t="s">
        <v>1579</v>
      </c>
      <c r="B21" s="1689"/>
      <c r="C21" s="1690"/>
    </row>
    <row r="22" spans="1:3" ht="13.5">
      <c r="A22" s="3255" t="s">
        <v>1580</v>
      </c>
      <c r="B22" s="3253" t="s">
        <v>1581</v>
      </c>
      <c r="C22" s="3252"/>
    </row>
    <row r="23" spans="1:3" ht="13.5">
      <c r="A23" s="3255"/>
      <c r="B23" s="3253" t="s">
        <v>1582</v>
      </c>
      <c r="C23" s="3252"/>
    </row>
    <row r="24" spans="1:3" ht="13.5">
      <c r="A24" s="3255"/>
      <c r="B24" s="3253" t="s">
        <v>1583</v>
      </c>
      <c r="C24" s="3252"/>
    </row>
    <row r="25" spans="1:3" ht="13.5">
      <c r="A25" s="3255"/>
      <c r="B25" s="3254" t="s">
        <v>1584</v>
      </c>
      <c r="C25" s="1687" t="s">
        <v>1585</v>
      </c>
    </row>
    <row r="26" spans="1:3" ht="13.5">
      <c r="A26" s="3255"/>
      <c r="B26" s="3254"/>
      <c r="C26" s="1687" t="s">
        <v>1586</v>
      </c>
    </row>
    <row r="27" spans="1:3" ht="13.5">
      <c r="A27" s="3255"/>
      <c r="B27" s="3254"/>
      <c r="C27" s="1687" t="s">
        <v>1587</v>
      </c>
    </row>
    <row r="28" spans="1:3" ht="13.5">
      <c r="A28" s="3255"/>
      <c r="B28" s="3254"/>
      <c r="C28" s="1687" t="s">
        <v>1588</v>
      </c>
    </row>
    <row r="29" spans="1:3" ht="13.5">
      <c r="A29" s="3255"/>
      <c r="B29" s="3254"/>
      <c r="C29" s="1687" t="s">
        <v>1589</v>
      </c>
    </row>
    <row r="30" spans="1:3" ht="13.5">
      <c r="A30" s="3255"/>
      <c r="B30" s="3254"/>
      <c r="C30" s="1687" t="s">
        <v>1590</v>
      </c>
    </row>
    <row r="31" spans="1:3" ht="13.5">
      <c r="A31" s="3255"/>
      <c r="B31" s="3254"/>
      <c r="C31" s="1687" t="s">
        <v>1591</v>
      </c>
    </row>
    <row r="32" spans="1:3" ht="13.5">
      <c r="A32" s="3255"/>
      <c r="B32" s="3254"/>
      <c r="C32" s="1687" t="s">
        <v>1592</v>
      </c>
    </row>
    <row r="33" spans="1:3" ht="13.5">
      <c r="A33" s="3255"/>
      <c r="B33" s="325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44579</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9" t="s">
        <v>2843</v>
      </c>
      <c r="B17" s="3259"/>
      <c r="C17" s="3259"/>
      <c r="D17" s="3259"/>
      <c r="E17" s="3259"/>
      <c r="F17" s="3259"/>
      <c r="G17" s="3259"/>
      <c r="H17" s="3259"/>
    </row>
    <row r="18" spans="1:8" ht="24" customHeight="1">
      <c r="A18" s="3260" t="s">
        <v>2844</v>
      </c>
      <c r="B18" s="3260"/>
      <c r="C18" s="3260"/>
      <c r="D18" s="2536"/>
      <c r="E18" s="3261" t="s">
        <v>2845</v>
      </c>
      <c r="F18" s="3260"/>
      <c r="G18" s="3260"/>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2022-01-18T05:48:29Z</dcterms:modified>
</cp:coreProperties>
</file>