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4610" windowHeight="1257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A14" i="74"/>
  <c r="L7" i="1"/>
  <c r="D4" i="31"/>
  <c r="E4" i="31"/>
  <c r="F4" i="31"/>
  <c r="G4" i="31"/>
  <c r="H4" i="31"/>
  <c r="D3" i="31"/>
  <c r="E3" i="31"/>
  <c r="F3" i="31"/>
  <c r="G3" i="31"/>
  <c r="H3" i="31"/>
  <c r="C4" i="31"/>
  <c r="C3" i="31"/>
  <c r="B25" i="31"/>
  <c r="B24" i="31"/>
  <c r="A25" i="31"/>
  <c r="A24" i="31"/>
  <c r="C33" i="33"/>
  <c r="C36" i="33"/>
  <c r="C5" i="33"/>
  <c r="Y7" i="1"/>
  <c r="Y6" i="1"/>
  <c r="C20" i="6"/>
  <c r="N7" i="1"/>
  <c r="N6" i="1"/>
  <c r="N21" i="1"/>
  <c r="N19" i="1"/>
  <c r="F20" i="6" l="1"/>
  <c r="F19" i="6"/>
  <c r="C19" i="6"/>
  <c r="D3" i="4"/>
  <c r="G14" i="73" l="1"/>
  <c r="F14" i="73"/>
  <c r="E14" i="73"/>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H45" i="33" s="1"/>
  <c r="B126" i="33"/>
  <c r="B98" i="33"/>
  <c r="B96" i="33"/>
  <c r="B94" i="33"/>
  <c r="B74" i="33"/>
  <c r="B72" i="33"/>
  <c r="B70" i="33"/>
  <c r="J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s="1"/>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s="1"/>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W13" i="33" s="1"/>
  <c r="H13" i="33"/>
  <c r="U13" i="33" s="1"/>
  <c r="F13" i="33"/>
  <c r="S13" i="33" s="1"/>
  <c r="J29" i="33"/>
  <c r="AC29" i="33" s="1"/>
  <c r="H29" i="33"/>
  <c r="U29" i="33" s="1"/>
  <c r="F29" i="33"/>
  <c r="S29" i="33" s="1"/>
  <c r="J31" i="33"/>
  <c r="W31" i="33" s="1"/>
  <c r="H31" i="33"/>
  <c r="AB31" i="33" s="1"/>
  <c r="F31"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AC14" i="33" s="1"/>
  <c r="H30" i="33"/>
  <c r="AB30" i="33"/>
  <c r="F30" i="33"/>
  <c r="J30" i="33"/>
  <c r="H44" i="33"/>
  <c r="U44" i="33" s="1"/>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G125" i="33"/>
  <c r="J43" i="33"/>
  <c r="AC43" i="33" s="1"/>
  <c r="S28" i="31"/>
  <c r="S27" i="31"/>
  <c r="S26" i="31"/>
  <c r="U14" i="40"/>
  <c r="U35" i="35"/>
  <c r="AA12" i="35"/>
  <c r="W23" i="35"/>
  <c r="W14" i="37"/>
  <c r="AB28" i="37"/>
  <c r="U33" i="37"/>
  <c r="U39" i="37"/>
  <c r="W26" i="37"/>
  <c r="U26" i="37"/>
  <c r="W47" i="34"/>
  <c r="AB13" i="34"/>
  <c r="AC36" i="34"/>
  <c r="AA13" i="33"/>
  <c r="AC31"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7" i="34"/>
  <c r="AC27" i="34"/>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AZ490" i="3"/>
  <c r="AA39" i="34"/>
  <c r="F28" i="6"/>
  <c r="BL14" i="3"/>
  <c r="AZ266" i="3"/>
  <c r="U30" i="33"/>
  <c r="AC13" i="34"/>
  <c r="AA47" i="34"/>
  <c r="W28" i="37"/>
  <c r="S19" i="39"/>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32" i="33"/>
  <c r="AA29" i="33"/>
  <c r="AB29" i="33"/>
  <c r="W38" i="33"/>
  <c r="H41" i="33"/>
  <c r="U42" i="33"/>
  <c r="J35" i="33"/>
  <c r="AC35" i="33" s="1"/>
  <c r="S37" i="33"/>
  <c r="AA37" i="33"/>
  <c r="S39" i="33"/>
  <c r="J32" i="33"/>
  <c r="W32" i="33" s="1"/>
  <c r="S46" i="33"/>
  <c r="W43" i="33"/>
  <c r="J23" i="33"/>
  <c r="F85" i="33"/>
  <c r="H23" i="33"/>
  <c r="U23" i="33" s="1"/>
  <c r="F19" i="33"/>
  <c r="S19" i="33"/>
  <c r="W19" i="33"/>
  <c r="J17" i="33"/>
  <c r="W17" i="33" s="1"/>
  <c r="S15"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S33" i="33"/>
  <c r="AB44" i="33"/>
  <c r="S30" i="33"/>
  <c r="AA30" i="33"/>
  <c r="W14" i="33"/>
  <c r="AC30" i="33"/>
  <c r="W30" i="33"/>
  <c r="S31" i="33"/>
  <c r="AA31" i="33"/>
  <c r="AC13" i="33"/>
  <c r="U15" i="33"/>
  <c r="S11" i="33"/>
  <c r="U37" i="33"/>
  <c r="S2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F23" i="33"/>
  <c r="S23" i="33" s="1"/>
  <c r="G85" i="33"/>
  <c r="AC23" i="33"/>
  <c r="W23" i="33"/>
  <c r="AA19" i="33"/>
  <c r="H19" i="33"/>
  <c r="AB19" i="33" s="1"/>
  <c r="H17" i="33"/>
  <c r="U17" i="33" s="1"/>
  <c r="F17" i="33"/>
  <c r="S17" i="33" s="1"/>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19"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9" i="76"/>
  <c r="F20" i="31"/>
  <c r="F6" i="67"/>
  <c r="E8" i="76"/>
  <c r="E9" i="76"/>
  <c r="F40" i="15"/>
  <c r="M22" i="67"/>
  <c r="M23" i="15"/>
  <c r="D4" i="73"/>
  <c r="B10" i="76"/>
  <c r="M28" i="15"/>
  <c r="M9" i="15"/>
  <c r="F5" i="73"/>
  <c r="F36" i="67"/>
  <c r="F37" i="67"/>
  <c r="F6" i="73"/>
  <c r="M24" i="15"/>
  <c r="J15" i="15"/>
  <c r="C76" i="67"/>
  <c r="L48" i="15"/>
  <c r="F16" i="67"/>
  <c r="F40" i="67"/>
  <c r="F16" i="15"/>
  <c r="F37" i="15"/>
  <c r="D3" i="73"/>
  <c r="F13" i="15"/>
  <c r="D6" i="73"/>
  <c r="M8" i="15"/>
  <c r="F7" i="15"/>
  <c r="M24" i="67"/>
  <c r="F4" i="73"/>
  <c r="B8" i="76"/>
  <c r="F43" i="15"/>
  <c r="F9" i="15"/>
  <c r="F13" i="67"/>
  <c r="M28" i="67"/>
  <c r="M23" i="67"/>
  <c r="B13" i="76"/>
  <c r="F7" i="73"/>
  <c r="E2" i="69"/>
  <c r="M6" i="15"/>
  <c r="M29" i="15"/>
  <c r="E7" i="76"/>
  <c r="F8" i="15"/>
  <c r="F6" i="15"/>
  <c r="F26" i="67"/>
  <c r="F26" i="15"/>
  <c r="F38" i="15"/>
  <c r="M8" i="67"/>
  <c r="M26" i="15"/>
  <c r="M26" i="67"/>
  <c r="J15" i="67"/>
  <c r="E12" i="76"/>
  <c r="L47" i="15"/>
  <c r="B12" i="76"/>
  <c r="F38" i="67"/>
  <c r="C76" i="15"/>
  <c r="B11" i="76"/>
  <c r="F8" i="67"/>
  <c r="B7" i="76"/>
  <c r="M29" i="67"/>
  <c r="F42" i="67"/>
  <c r="E10" i="76"/>
  <c r="M9" i="67"/>
  <c r="F9" i="67"/>
  <c r="F36" i="15"/>
  <c r="AO13" i="1"/>
  <c r="E2" i="68"/>
  <c r="E13" i="76"/>
  <c r="D7" i="73"/>
  <c r="L47" i="67"/>
  <c r="E11" i="76"/>
  <c r="M22" i="15"/>
  <c r="M6" i="67"/>
  <c r="L48" i="67"/>
  <c r="F43" i="67"/>
  <c r="F42" i="15"/>
  <c r="F3" i="73"/>
  <c r="F7" i="67"/>
  <c r="F27" i="33" l="1"/>
  <c r="H27" i="33"/>
  <c r="U27" i="33" s="1"/>
  <c r="J27" i="33"/>
  <c r="AC27" i="33" s="1"/>
  <c r="F91" i="33"/>
  <c r="G91" i="33" s="1"/>
  <c r="H91" i="33" s="1"/>
  <c r="I91" i="33" s="1"/>
  <c r="J91" i="33" s="1"/>
  <c r="K91" i="33" s="1"/>
  <c r="L91" i="33" s="1"/>
  <c r="M91" i="33" s="1"/>
  <c r="AC26" i="33"/>
  <c r="W26" i="33"/>
  <c r="J25" i="33"/>
  <c r="AC25" i="33" s="1"/>
  <c r="H25" i="33"/>
  <c r="F87" i="33"/>
  <c r="G87" i="33" s="1"/>
  <c r="H87" i="33" s="1"/>
  <c r="I87" i="33" s="1"/>
  <c r="J87" i="33" s="1"/>
  <c r="K87" i="33" s="1"/>
  <c r="L87" i="33" s="1"/>
  <c r="M87" i="33" s="1"/>
  <c r="F25" i="33"/>
  <c r="AA25" i="33" s="1"/>
  <c r="S25" i="33"/>
  <c r="W8" i="33"/>
  <c r="AB9" i="33"/>
  <c r="U9" i="33"/>
  <c r="W9" i="33"/>
  <c r="AB23" i="33"/>
  <c r="AA23" i="33"/>
  <c r="AA17" i="33"/>
  <c r="AC17" i="33"/>
  <c r="AB17" i="33"/>
  <c r="W15" i="33"/>
  <c r="AC12" i="33"/>
  <c r="W12" i="33"/>
  <c r="AC11" i="33"/>
  <c r="F12" i="33"/>
  <c r="S26" i="33"/>
  <c r="W27" i="33"/>
  <c r="AB27" i="33"/>
  <c r="U43" i="33"/>
  <c r="U39" i="33"/>
  <c r="F111" i="33"/>
  <c r="F36" i="33"/>
  <c r="U32" i="33"/>
  <c r="AC37" i="33"/>
  <c r="W39" i="33"/>
  <c r="S43" i="33"/>
  <c r="AB45" i="33"/>
  <c r="U45" i="33"/>
  <c r="F45" i="33"/>
  <c r="J45" i="33"/>
  <c r="S42" i="33"/>
  <c r="U38" i="33"/>
  <c r="S38" i="33"/>
  <c r="AA35" i="33"/>
  <c r="W35" i="33"/>
  <c r="U35" i="33"/>
  <c r="AB34" i="33"/>
  <c r="AA34" i="33"/>
  <c r="AC32" i="33"/>
  <c r="AC28" i="33"/>
  <c r="F34" i="15"/>
  <c r="F62" i="15" s="1"/>
  <c r="F34" i="67"/>
  <c r="F62" i="67" s="1"/>
  <c r="C28" i="67"/>
  <c r="F29" i="6"/>
  <c r="G28" i="6"/>
  <c r="D19" i="53"/>
  <c r="B38" i="72" s="1"/>
  <c r="D21" i="53"/>
  <c r="B39"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AA27" i="33" l="1"/>
  <c r="S27" i="33"/>
  <c r="W25" i="33"/>
  <c r="AB25" i="33"/>
  <c r="U25" i="33"/>
  <c r="S12" i="33"/>
  <c r="AA12" i="33"/>
  <c r="AA36" i="33"/>
  <c r="S36" i="33"/>
  <c r="J36" i="33"/>
  <c r="G111" i="33"/>
  <c r="H111" i="33" s="1"/>
  <c r="I111" i="33" s="1"/>
  <c r="J111" i="33" s="1"/>
  <c r="K111" i="33" s="1"/>
  <c r="L111" i="33" s="1"/>
  <c r="M111" i="33" s="1"/>
  <c r="H36" i="33"/>
  <c r="AC45" i="33"/>
  <c r="W45" i="33"/>
  <c r="AA45" i="33"/>
  <c r="S45"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W36" i="33" l="1"/>
  <c r="AC36" i="33"/>
  <c r="U36" i="33"/>
  <c r="AB36"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T48" i="33" l="1"/>
  <c r="G48" i="33" s="1"/>
  <c r="G52" i="33" s="1"/>
  <c r="H52" i="33"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8" i="33"/>
  <c r="I53" i="33" s="1"/>
  <c r="J53" i="33" s="1"/>
  <c r="I52" i="33"/>
  <c r="J52" i="33" s="1"/>
  <c r="E40" i="36"/>
  <c r="F40" i="36" s="1"/>
  <c r="E41" i="36"/>
  <c r="F41" i="36" s="1"/>
  <c r="I54" i="34"/>
  <c r="J54" i="34"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R49" i="33" l="1"/>
  <c r="C18" i="67"/>
  <c r="C15" i="67"/>
  <c r="H23" i="6"/>
  <c r="C30" i="43"/>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D2" i="36"/>
  <c r="L51" i="15"/>
  <c r="D2" i="34"/>
  <c r="D2" i="37"/>
  <c r="D2" i="35"/>
  <c r="C102" i="9" l="1"/>
  <c r="C21" i="9"/>
  <c r="B3" i="33"/>
  <c r="D22" i="9"/>
  <c r="D102" i="9"/>
  <c r="G19" i="9"/>
  <c r="G21" i="9" s="1"/>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D20" i="9"/>
  <c r="AO8" i="1"/>
  <c r="AO6" i="1"/>
  <c r="AO9" i="1"/>
  <c r="AO10" i="1"/>
  <c r="AO11" i="1"/>
  <c r="AO12" i="1"/>
  <c r="AO7" i="1"/>
  <c r="C103" i="9" l="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R24" i="31"/>
  <c r="D14" i="74" s="1"/>
  <c r="G14" i="74" s="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S24" i="31" l="1"/>
  <c r="R25" i="31"/>
  <c r="S25" i="31" s="1"/>
  <c r="C34" i="9"/>
  <c r="C42" i="40"/>
  <c r="C43" i="40"/>
  <c r="E47" i="40"/>
  <c r="F47" i="40" s="1"/>
  <c r="E46" i="40"/>
  <c r="F46" i="40" s="1"/>
  <c r="I47" i="40"/>
  <c r="J47" i="40" s="1"/>
  <c r="D34" i="9"/>
  <c r="S22" i="31" l="1"/>
  <c r="B20" i="31" s="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E14" i="74"/>
  <c r="F14" i="74"/>
  <c r="B5" i="74"/>
  <c r="D5" i="74" s="1"/>
  <c r="B6" i="74" l="1"/>
  <c r="D6" i="74" s="1"/>
  <c r="G118" i="9"/>
  <c r="G4" i="52" s="1"/>
  <c r="B52" i="72" s="1"/>
  <c r="I118" i="9"/>
  <c r="C105" i="9" s="1"/>
  <c r="H118" i="9" l="1"/>
  <c r="E118" i="9"/>
  <c r="H102" i="9"/>
  <c r="F118" i="9"/>
  <c r="I4" i="52"/>
  <c r="C5" i="74" l="1"/>
  <c r="D7" i="53"/>
  <c r="B21" i="72" s="1"/>
  <c r="C104" i="9"/>
  <c r="H119" i="9"/>
  <c r="H5" i="52" s="1"/>
  <c r="H4" i="52"/>
  <c r="H101" i="9"/>
  <c r="F119" i="9"/>
  <c r="F5" i="52" s="1"/>
  <c r="B53" i="72" s="1"/>
  <c r="F4" i="52"/>
  <c r="B51" i="72" s="1"/>
  <c r="E4" i="52"/>
  <c r="B48" i="72" s="1"/>
  <c r="D118" i="9"/>
  <c r="D4" i="52" l="1"/>
  <c r="B47" i="72" s="1"/>
  <c r="D119" i="9"/>
  <c r="D5" i="52" s="1"/>
  <c r="B49" i="72" s="1"/>
  <c r="M48" i="9"/>
  <c r="H107" i="9"/>
  <c r="D5" i="53"/>
  <c r="D45" i="9"/>
  <c r="D53" i="9" l="1"/>
  <c r="D55" i="9"/>
  <c r="M53" i="9" s="1"/>
  <c r="D52" i="9"/>
  <c r="C93" i="9"/>
  <c r="C86" i="9" s="1"/>
  <c r="C78" i="9"/>
  <c r="C73" i="9" s="1"/>
  <c r="C64" i="9"/>
  <c r="C63" i="9" s="1"/>
  <c r="C67" i="9" s="1"/>
  <c r="C72" i="9"/>
  <c r="C85" i="9"/>
  <c r="C95" i="9" s="1"/>
  <c r="D13" i="53"/>
  <c r="H108" i="9"/>
  <c r="D122" i="9"/>
  <c r="M49" i="9"/>
  <c r="B20" i="72"/>
  <c r="D6" i="53"/>
  <c r="B22" i="72" s="1"/>
  <c r="C79" i="9" l="1"/>
  <c r="C96" i="9"/>
  <c r="E96" i="9" s="1"/>
  <c r="E97" i="9" s="1"/>
  <c r="L67" i="9"/>
  <c r="M67" i="9" s="1"/>
  <c r="L66" i="9"/>
  <c r="M66" i="9" s="1"/>
  <c r="L65" i="9"/>
  <c r="M65" i="9" s="1"/>
  <c r="L64" i="9"/>
  <c r="M64" i="9" s="1"/>
  <c r="L68" i="9"/>
  <c r="M68" i="9" s="1"/>
  <c r="L63" i="9"/>
  <c r="M63" i="9" s="1"/>
  <c r="C6" i="74"/>
  <c r="D15" i="53"/>
  <c r="B31" i="72" s="1"/>
  <c r="C68" i="9"/>
  <c r="D54" i="9" s="1"/>
  <c r="D59" i="9"/>
  <c r="M55" i="9" s="1"/>
  <c r="D8" i="52"/>
  <c r="D123" i="9"/>
  <c r="D9" i="52" s="1"/>
  <c r="B30" i="72"/>
  <c r="D14" i="53"/>
  <c r="B32" i="72" s="1"/>
  <c r="M69" i="9" l="1"/>
  <c r="N69" i="9" s="1"/>
  <c r="C97" i="9"/>
  <c r="D58" i="9" s="1"/>
  <c r="D56" i="9" s="1"/>
  <c r="M54" i="9" s="1"/>
  <c r="N57" i="9" s="1"/>
  <c r="P57" i="9" s="1"/>
  <c r="C80" i="9"/>
  <c r="E80" i="9" s="1"/>
  <c r="E81"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<sst xmlns="http://schemas.openxmlformats.org/spreadsheetml/2006/main" count="7890" uniqueCount="3440">
  <si>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</si>
  <si>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</si>
  <si>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</si>
  <si>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</si>
  <si>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</si>
  <si>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</si>
  <si>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</si>
  <si>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</si>
  <si>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</si>
  <si>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</si>
  <si>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</si>
  <si>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</si>
  <si>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</si>
  <si>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</si>
  <si>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</si>
  <si>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</si>
  <si>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</si>
  <si>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</si>
  <si>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</si>
  <si>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</si>
  <si>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</si>
  <si>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</si>
  <si>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</si>
  <si>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</si>
  <si>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</si>
  <si>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</si>
  <si>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</si>
  <si>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</si>
  <si>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</si>
  <si>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</si>
  <si>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</si>
  <si>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</si>
  <si>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</si>
  <si>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</si>
  <si>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</si>
  <si>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</si>
  <si>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</si>
  <si>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</si>
  <si>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</si>
  <si>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</si>
  <si>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</si>
  <si>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</si>
  <si>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</si>
  <si>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</si>
  <si>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</si>
  <si>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</si>
  <si>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</si>
  <si>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</si>
  <si>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</si>
  <si>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</si>
  <si>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</si>
  <si>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</si>
  <si>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</si>
  <si>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</si>
  <si>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</si>
  <si>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</si>
  <si>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</si>
  <si>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</si>
  <si>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</si>
  <si>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</si>
  <si>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</si>
  <si>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</si>
  <si>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</si>
  <si>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</si>
  <si>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</si>
  <si>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</si>
  <si>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</si>
  <si>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</si>
  <si>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</si>
  <si>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</si>
  <si>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</si>
  <si>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</si>
  <si>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</si>
  <si>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</si>
  <si>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</si>
  <si>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</si>
  <si>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</si>
  <si>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</si>
  <si>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</si>
  <si>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</si>
  <si>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</si>
  <si>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</si>
  <si>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</si>
  <si>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</si>
  <si>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</si>
  <si>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</si>
  <si>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</si>
  <si>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</si>
  <si>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</si>
  <si>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</si>
  <si>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</si>
  <si>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</si>
  <si>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</si>
  <si>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</si>
  <si>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</si>
  <si>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</si>
  <si>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</si>
  <si>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</si>
  <si>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</si>
  <si>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</si>
  <si>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</si>
  <si>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</si>
  <si>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</si>
  <si>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</si>
  <si>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</si>
  <si>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</si>
  <si>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</si>
  <si>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</si>
  <si>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</si>
  <si>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</si>
  <si>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</si>
  <si>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</si>
  <si>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</si>
  <si>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</si>
  <si>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</si>
  <si>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</si>
  <si>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</si>
  <si>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</si>
  <si>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</si>
  <si>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</si>
  <si>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</si>
  <si>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</si>
  <si>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</si>
  <si>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</si>
  <si>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</si>
  <si>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</si>
  <si>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</si>
  <si>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</si>
  <si>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</si>
  <si>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</si>
  <si>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</si>
  <si>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</si>
  <si>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</si>
  <si>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</si>
  <si>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</si>
  <si>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</si>
  <si>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</si>
  <si>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</si>
  <si>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</si>
  <si>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</si>
  <si>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</si>
  <si>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</si>
  <si>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</si>
  <si>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</si>
  <si>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</si>
  <si>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</si>
  <si>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</si>
  <si>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</si>
  <si>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</si>
  <si>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</si>
  <si>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</si>
  <si>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</si>
  <si>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</si>
  <si>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</si>
  <si>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</si>
  <si>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</si>
  <si>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</si>
  <si>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</si>
  <si>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</si>
  <si>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</si>
  <si>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</si>
  <si>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</si>
  <si>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</si>
  <si>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</si>
  <si>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</si>
  <si>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</si>
  <si>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</si>
  <si>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</si>
  <si>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</si>
  <si>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</si>
  <si>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</si>
  <si>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</si>
  <si>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</si>
  <si>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</si>
  <si>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</si>
  <si>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</si>
  <si>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</si>
  <si>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</si>
  <si>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</si>
  <si>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</si>
  <si>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</si>
  <si>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</si>
  <si>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</si>
  <si>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</si>
  <si>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</si>
  <si>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</si>
  <si>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</si>
  <si>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</si>
  <si>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</si>
  <si>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</si>
  <si>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</si>
  <si>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</si>
  <si>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</si>
  <si>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</si>
  <si>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</si>
  <si>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</si>
  <si>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</si>
  <si>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</si>
  <si>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</si>
  <si>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</si>
  <si>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</si>
  <si>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</si>
  <si>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</si>
  <si>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</si>
  <si>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</si>
  <si>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</si>
  <si>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</si>
  <si>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</si>
  <si>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</si>
  <si>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</si>
  <si>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</si>
  <si>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</si>
  <si>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</si>
  <si>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</si>
  <si>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</si>
  <si>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</si>
  <si>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</si>
  <si>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</si>
  <si>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</si>
  <si>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</si>
  <si>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</si>
  <si>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</si>
  <si>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</si>
  <si>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</si>
  <si>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</si>
  <si>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</si>
  <si>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</si>
  <si>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</si>
  <si>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</si>
  <si>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</si>
  <si>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</si>
  <si>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</si>
  <si>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</si>
  <si>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</si>
  <si>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</si>
  <si>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</si>
  <si>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</si>
  <si>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</si>
  <si>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</si>
  <si>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</si>
  <si>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</si>
  <si>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</si>
  <si>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</si>
  <si>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</si>
  <si>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</si>
  <si>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</si>
  <si>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</si>
  <si>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</si>
  <si>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</si>
  <si>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</si>
  <si>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</si>
  <si>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</si>
  <si>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</si>
  <si>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</si>
  <si>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</si>
  <si>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</si>
  <si>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</si>
  <si>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</si>
  <si>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</si>
  <si>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</si>
  <si>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</si>
  <si>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</si>
  <si>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</si>
  <si>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</si>
  <si>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</si>
  <si>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</si>
  <si>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</si>
  <si>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</si>
  <si>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</si>
  <si>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</si>
  <si>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</si>
  <si>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</si>
  <si>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</si>
  <si>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</si>
  <si>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</si>
  <si>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</si>
  <si>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</si>
  <si>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</si>
  <si>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</si>
  <si>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</si>
  <si>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</si>
  <si>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</si>
  <si>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</si>
  <si>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</si>
  <si>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</si>
  <si>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</si>
  <si>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</si>
  <si>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</si>
  <si>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</si>
  <si>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</si>
  <si>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</si>
  <si>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</si>
  <si>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</si>
  <si>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</si>
  <si>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</si>
  <si>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</si>
  <si>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</si>
  <si>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</si>
  <si>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</si>
  <si>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</si>
  <si>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</si>
  <si>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</si>
  <si>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</si>
  <si>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</si>
  <si>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</si>
  <si>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</si>
  <si>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</si>
  <si>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</si>
  <si>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</si>
  <si>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</si>
  <si>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</si>
  <si>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</si>
  <si>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</si>
  <si>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</si>
  <si>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</si>
  <si>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</si>
  <si>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</si>
  <si>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</si>
  <si>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</si>
  <si>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</si>
  <si>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</si>
  <si>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</si>
  <si>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</si>
  <si>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</si>
  <si>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</si>
  <si>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</si>
  <si>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</si>
  <si>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</si>
  <si>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</si>
  <si>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</si>
  <si>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</si>
  <si>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</si>
  <si>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</si>
  <si>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</si>
  <si>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</si>
  <si>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</si>
  <si>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</si>
  <si>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</si>
  <si>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</si>
  <si>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</si>
  <si>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</si>
  <si>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</si>
  <si>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</si>
  <si>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</si>
  <si>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</si>
  <si>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</si>
  <si>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</si>
  <si>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</si>
  <si>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</si>
  <si>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</si>
  <si>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</si>
  <si>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</si>
  <si>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</si>
  <si>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</si>
  <si>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</si>
  <si>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</si>
  <si>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</si>
  <si>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</si>
  <si>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</si>
  <si>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</si>
  <si>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</si>
  <si>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</si>
  <si>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</si>
  <si>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</si>
  <si>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</si>
  <si>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</si>
  <si>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</si>
  <si>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</si>
  <si>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</si>
  <si>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</si>
  <si>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</si>
  <si>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</si>
  <si>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</si>
  <si>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</si>
  <si>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</si>
  <si>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</si>
  <si>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</si>
  <si>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</si>
  <si>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</si>
  <si>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</si>
  <si>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</si>
  <si>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</si>
  <si>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</si>
  <si>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</si>
  <si>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</si>
  <si>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</si>
  <si>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</si>
  <si>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</si>
  <si>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</si>
  <si>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</si>
  <si>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</si>
  <si>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</si>
  <si>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</si>
  <si>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</si>
  <si>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</si>
  <si>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</si>
  <si>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</si>
  <si>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</si>
  <si>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</si>
  <si>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</si>
  <si>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</si>
  <si>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</si>
  <si>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</si>
  <si>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</si>
  <si>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</si>
  <si>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</si>
  <si>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</si>
  <si>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</si>
  <si>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</si>
  <si>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</si>
  <si>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</si>
  <si>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</si>
  <si>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</si>
  <si>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</si>
  <si>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</si>
  <si>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</si>
  <si>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</si>
  <si>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</si>
  <si>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</si>
  <si>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</si>
  <si>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</si>
  <si>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</si>
  <si>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</si>
  <si>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</si>
  <si>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</si>
  <si>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</si>
  <si>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</si>
  <si>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</si>
  <si>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</si>
  <si>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</si>
  <si>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</si>
  <si>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</si>
  <si>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</si>
  <si>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</si>
  <si>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</si>
  <si>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</si>
  <si>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</si>
  <si>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</si>
  <si>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</si>
  <si>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</si>
  <si>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</si>
  <si>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</si>
  <si>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</si>
  <si>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</si>
  <si>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</si>
  <si>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</si>
  <si>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</si>
  <si>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</si>
  <si>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</si>
  <si>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</si>
  <si>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</si>
  <si>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</si>
  <si>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</si>
  <si>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</si>
  <si>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</si>
  <si>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</si>
  <si>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</si>
  <si>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</si>
  <si>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</si>
  <si>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</si>
  <si>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</si>
  <si>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</si>
  <si>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</si>
  <si>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</si>
  <si>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</si>
  <si>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</si>
  <si>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</si>
  <si>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</si>
  <si>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</si>
  <si>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</si>
  <si>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</si>
  <si>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</si>
  <si>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</si>
  <si>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</si>
  <si>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</si>
  <si>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</si>
  <si>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</si>
  <si>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</si>
  <si>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</si>
  <si>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</si>
  <si>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</si>
  <si>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</si>
  <si>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</si>
  <si>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</si>
  <si>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</si>
  <si>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</si>
  <si>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</si>
  <si>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</si>
  <si>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</si>
  <si>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</si>
  <si>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</si>
  <si>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</si>
  <si>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</si>
  <si>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</si>
  <si>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</si>
  <si>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</si>
  <si>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</si>
  <si>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</si>
  <si>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</si>
  <si>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</si>
  <si>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</si>
  <si>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</si>
  <si>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</si>
  <si>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</si>
  <si>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</si>
  <si>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</si>
  <si>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</si>
  <si>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</si>
  <si>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</si>
  <si>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</si>
  <si>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</si>
  <si>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</si>
  <si>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</si>
  <si>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</si>
  <si>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</si>
  <si>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</si>
  <si>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</si>
  <si>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</si>
  <si>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</si>
  <si>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</si>
  <si>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</si>
  <si>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</si>
  <si>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</si>
  <si>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</si>
  <si>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</si>
  <si>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</si>
  <si>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</si>
  <si>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</si>
  <si>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</si>
  <si>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</si>
  <si>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</si>
  <si>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</si>
  <si>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</si>
  <si>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</si>
  <si>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</si>
  <si>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</si>
  <si>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</si>
  <si>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</si>
  <si>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</si>
  <si>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</si>
  <si>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</si>
  <si>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</si>
  <si>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</si>
  <si>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</si>
  <si>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</si>
  <si>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</si>
  <si>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</si>
  <si>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</si>
  <si>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</si>
  <si>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</si>
  <si>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</si>
  <si>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</si>
  <si>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</si>
  <si>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</si>
  <si>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</si>
  <si>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</si>
  <si>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</si>
  <si>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</si>
  <si>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</si>
  <si>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</si>
  <si>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</si>
  <si>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</si>
  <si>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</si>
  <si>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</si>
  <si>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</si>
  <si>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</si>
  <si>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</si>
  <si>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</si>
  <si>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</si>
  <si>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</si>
  <si>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</si>
  <si>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</si>
  <si>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</si>
  <si>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</si>
  <si>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</si>
  <si>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</si>
  <si>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</si>
  <si>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</si>
  <si>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</si>
  <si>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</si>
  <si>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</si>
  <si>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</si>
  <si>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</si>
  <si>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</si>
  <si>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</si>
  <si>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</si>
  <si>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</si>
  <si>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</si>
  <si>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</si>
  <si>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</si>
  <si>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</si>
  <si>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</si>
  <si>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</si>
  <si>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</si>
  <si>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</si>
  <si>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</si>
  <si>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</si>
  <si>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</si>
  <si>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</si>
  <si>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</si>
  <si>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</si>
  <si>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</si>
  <si>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</si>
  <si>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</si>
  <si>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</si>
  <si>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</si>
  <si>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</si>
  <si>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</si>
  <si>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</si>
  <si>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</si>
  <si>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</si>
  <si>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</si>
  <si>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</si>
  <si>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</si>
  <si>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</si>
  <si>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</si>
  <si>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</si>
  <si>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</si>
  <si>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</si>
  <si>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</si>
  <si>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</si>
  <si>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</si>
  <si>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</si>
  <si>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</si>
  <si>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</si>
  <si>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</si>
  <si>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</si>
  <si>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</si>
  <si>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</si>
  <si>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</si>
  <si>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</si>
  <si>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</si>
  <si>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</si>
  <si>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</si>
  <si>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</si>
  <si>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</si>
  <si>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</si>
  <si>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</si>
  <si>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</si>
  <si>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</si>
  <si>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</si>
  <si>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</si>
  <si>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</si>
  <si>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</si>
  <si>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</si>
  <si>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</si>
  <si>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</si>
  <si>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</si>
  <si>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</si>
  <si>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</si>
  <si>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</si>
  <si>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</si>
  <si>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</si>
  <si>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</si>
  <si>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</si>
  <si>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</si>
  <si>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</si>
  <si>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</si>
  <si>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</si>
  <si>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</si>
  <si>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</si>
  <si>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</si>
  <si>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</si>
  <si>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</si>
  <si>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</si>
  <si>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</si>
  <si>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</si>
  <si>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</si>
  <si>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</si>
  <si>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</si>
  <si>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</si>
  <si>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</si>
  <si>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</si>
  <si>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</si>
  <si>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</si>
  <si>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</si>
  <si>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</si>
  <si>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</si>
  <si>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</si>
  <si>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</si>
  <si>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</si>
  <si>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</si>
  <si>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</si>
  <si>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</si>
  <si>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</si>
  <si>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</si>
  <si>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</si>
  <si>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</si>
  <si>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</si>
  <si>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</si>
  <si>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</si>
  <si>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</si>
  <si>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</si>
  <si>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</si>
  <si>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</si>
  <si>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</si>
  <si>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</si>
  <si>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</si>
  <si>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</si>
  <si>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</si>
  <si>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</si>
  <si>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</si>
  <si>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</si>
  <si>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</si>
  <si>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</si>
  <si>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</si>
  <si>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</si>
  <si>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</si>
  <si>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</si>
  <si>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</si>
  <si>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</si>
  <si>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</si>
  <si>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</si>
  <si>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</si>
  <si>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</si>
  <si>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</si>
  <si>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</si>
  <si>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</si>
  <si>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</si>
  <si>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</si>
  <si>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</si>
  <si>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</si>
  <si>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</si>
  <si>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</si>
  <si>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</si>
  <si>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</si>
  <si>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</si>
  <si>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</si>
  <si>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</si>
  <si>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</si>
  <si>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</si>
  <si>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</si>
  <si>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</si>
  <si>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</si>
  <si>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</si>
  <si>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</si>
  <si>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</si>
  <si>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</si>
  <si>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</si>
  <si>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</si>
  <si>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</si>
  <si>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</si>
  <si>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</si>
  <si>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</si>
  <si>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</si>
  <si>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</si>
  <si>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</si>
  <si>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</si>
  <si>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</si>
  <si>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</si>
  <si>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</si>
  <si>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</si>
  <si>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</si>
  <si>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</si>
  <si>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</si>
  <si>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</si>
  <si>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</si>
  <si>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</si>
  <si>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</si>
  <si>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</si>
  <si>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</si>
  <si>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</si>
  <si>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</si>
  <si>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</si>
  <si>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</si>
  <si>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</si>
  <si>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</si>
  <si>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</si>
  <si>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</si>
  <si>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</si>
  <si>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</si>
  <si>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</si>
  <si>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</si>
  <si>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</si>
  <si>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</si>
  <si>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</si>
  <si>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</si>
  <si>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</si>
  <si>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</si>
  <si>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</si>
  <si>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</si>
  <si>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</si>
  <si>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</si>
  <si>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</si>
  <si>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</si>
  <si>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</si>
  <si>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</si>
  <si>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</si>
  <si>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</si>
  <si>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</si>
  <si>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</si>
  <si>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</si>
  <si>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</si>
  <si>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</si>
  <si>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</si>
  <si>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</si>
  <si>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</si>
  <si>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</si>
  <si>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</si>
  <si>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</si>
  <si>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</si>
  <si>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</si>
  <si>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</si>
  <si>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</si>
  <si>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</si>
  <si>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</si>
  <si>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</si>
  <si>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</si>
  <si>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</si>
  <si>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</si>
  <si>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</si>
  <si>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</si>
  <si>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</si>
  <si>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</si>
  <si>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</si>
  <si>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</si>
  <si>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</si>
  <si>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</si>
  <si>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</si>
  <si>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</si>
  <si>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</si>
  <si>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</si>
  <si>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</si>
  <si>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</si>
  <si>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</si>
  <si>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</si>
  <si>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</si>
  <si>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</si>
  <si>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</si>
  <si>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</si>
  <si>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</si>
  <si>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</si>
  <si>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</si>
  <si>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</si>
  <si>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</si>
  <si>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</si>
  <si>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</si>
  <si>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</si>
  <si>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</si>
  <si>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</si>
  <si>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</si>
  <si>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</si>
  <si>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</si>
  <si>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</si>
  <si>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</si>
  <si>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</si>
  <si>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</si>
  <si>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</si>
  <si>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</si>
  <si>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</si>
  <si>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</si>
  <si>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</si>
  <si>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</si>
  <si>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</si>
  <si>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</si>
  <si>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</si>
  <si>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</si>
  <si>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</si>
  <si>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</si>
  <si>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</si>
  <si>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</si>
  <si>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</si>
  <si>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</si>
  <si>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</si>
  <si>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</si>
  <si>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</si>
  <si>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</si>
  <si>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</si>
  <si>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</si>
  <si>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</si>
  <si>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</si>
  <si>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</si>
  <si>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</si>
  <si>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</si>
  <si>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</si>
  <si>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</si>
  <si>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</si>
  <si>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</si>
  <si>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</si>
  <si>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</si>
  <si>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</si>
  <si>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</si>
  <si>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</si>
  <si>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</si>
  <si>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</si>
  <si>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</si>
  <si>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</si>
  <si>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</si>
  <si>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</si>
  <si>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</si>
  <si>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</si>
  <si>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</si>
  <si>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</si>
  <si>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</si>
  <si>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</si>
  <si>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</si>
  <si>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</si>
  <si>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</si>
  <si>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</si>
  <si>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</si>
  <si>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</si>
  <si>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</si>
  <si>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</si>
  <si>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</si>
  <si>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</si>
  <si>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</si>
  <si>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</si>
  <si>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</si>
  <si>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</si>
  <si>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</si>
  <si>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</si>
  <si>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</si>
  <si>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</si>
  <si>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</si>
  <si>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</si>
  <si>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</si>
  <si>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</si>
  <si>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</si>
  <si>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</si>
  <si>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</si>
  <si>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</si>
  <si>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</si>
  <si>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</si>
  <si>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</si>
  <si>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</si>
  <si>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</si>
  <si>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</si>
  <si>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</si>
  <si>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</si>
  <si>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</si>
  <si>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</si>
  <si>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</si>
  <si>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</si>
  <si>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</si>
  <si>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</si>
  <si>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</si>
  <si>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</si>
  <si>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</si>
  <si>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</si>
  <si>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</si>
  <si>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</si>
  <si>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</si>
  <si>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</si>
  <si>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</si>
  <si>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</si>
  <si>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</si>
  <si>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</si>
  <si>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</si>
  <si>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</si>
  <si>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</si>
  <si>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</si>
  <si>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</si>
  <si>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</si>
  <si>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</si>
  <si>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</si>
  <si>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</si>
  <si>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</si>
  <si>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</si>
  <si>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</si>
  <si>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</si>
  <si>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</si>
  <si>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</si>
  <si>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</si>
  <si>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</si>
  <si>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</si>
  <si>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</si>
  <si>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</si>
  <si>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</si>
  <si>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</si>
  <si>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</si>
  <si>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</si>
  <si>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</si>
  <si>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</si>
  <si>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</si>
  <si>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</si>
  <si>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</si>
  <si>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</si>
  <si>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</si>
  <si>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</si>
  <si>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</si>
  <si>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</si>
  <si>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</si>
  <si>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</si>
  <si>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</si>
  <si>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</si>
  <si>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</si>
  <si>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</si>
  <si>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</si>
  <si>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</si>
  <si>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</si>
  <si>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</si>
  <si>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</si>
  <si>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</si>
  <si>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</si>
  <si>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</si>
  <si>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</si>
  <si>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</si>
  <si>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</si>
  <si>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</si>
  <si>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</si>
  <si>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</si>
  <si>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</si>
  <si>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</si>
  <si>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</si>
  <si>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</si>
  <si>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</si>
  <si>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</si>
  <si>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</si>
  <si>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</si>
  <si>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</si>
  <si>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</si>
  <si>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</si>
  <si>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</si>
  <si>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</si>
  <si>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</si>
  <si>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</si>
  <si>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</si>
  <si>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</si>
  <si>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</si>
  <si>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</si>
  <si>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</si>
  <si>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</si>
  <si>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</si>
  <si>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</si>
  <si>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</si>
  <si>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</si>
  <si>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</si>
  <si>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</si>
  <si>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</si>
  <si>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</si>
  <si>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</si>
  <si>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</si>
  <si>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</si>
  <si>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</si>
  <si>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</si>
  <si>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</si>
  <si>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</si>
  <si>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</si>
  <si>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</si>
  <si>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</si>
  <si>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</si>
  <si>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</si>
  <si>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</si>
  <si>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</si>
  <si>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</si>
  <si>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</si>
  <si>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</si>
  <si>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</si>
  <si>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</si>
  <si>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</si>
  <si>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</si>
  <si>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</si>
  <si>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</si>
  <si>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</si>
  <si>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</si>
  <si>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</si>
  <si>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</si>
  <si>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</si>
  <si>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</si>
  <si>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</si>
  <si>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</si>
  <si>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</si>
  <si>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</si>
  <si>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</si>
  <si>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</si>
  <si>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</si>
  <si>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</si>
  <si>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</si>
  <si>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</si>
  <si>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</si>
  <si>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</si>
  <si>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</si>
  <si>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</si>
  <si>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</si>
  <si>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</si>
  <si>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</si>
  <si>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</si>
  <si>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</si>
  <si>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</si>
  <si>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</si>
  <si>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</si>
  <si>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</si>
  <si>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</si>
  <si>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</si>
  <si>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</si>
  <si>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</si>
  <si>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</si>
  <si>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</si>
  <si>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</si>
  <si>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</si>
  <si>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</si>
  <si>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</si>
  <si>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</si>
  <si>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</si>
  <si>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</si>
  <si>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</si>
  <si>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</si>
  <si>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</si>
  <si>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</si>
  <si>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</si>
  <si>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</si>
  <si>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</si>
  <si>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</si>
  <si>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</si>
  <si>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</si>
  <si>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</si>
  <si>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</si>
  <si>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</si>
  <si>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</si>
  <si>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</si>
  <si>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</si>
  <si>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</si>
  <si>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</si>
  <si>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</si>
  <si>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</si>
  <si>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</si>
  <si>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</si>
  <si>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</si>
  <si>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</si>
  <si>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</si>
  <si>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</si>
  <si>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</si>
  <si>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</si>
  <si>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</si>
  <si>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</si>
  <si>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</si>
  <si>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</si>
  <si>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</si>
  <si>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</si>
  <si>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</si>
  <si>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</si>
  <si>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</si>
  <si>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</si>
  <si>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</si>
  <si>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</si>
  <si>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</si>
  <si>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</si>
  <si>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</si>
  <si>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</si>
  <si>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</si>
  <si>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</si>
  <si>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</si>
  <si>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</si>
  <si>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</si>
  <si>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</si>
  <si>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</si>
  <si>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</si>
  <si>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</si>
  <si>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</si>
  <si>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</si>
  <si>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</si>
  <si>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</si>
  <si>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</si>
  <si>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</si>
  <si>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</si>
  <si>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</si>
  <si>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</si>
  <si>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</si>
  <si>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</si>
  <si>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</si>
  <si>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</si>
  <si>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</si>
  <si>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</si>
  <si>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</si>
  <si>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</si>
  <si>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</si>
  <si>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</si>
  <si>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</si>
  <si>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</si>
  <si>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</si>
  <si>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</si>
  <si>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</si>
  <si>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</si>
  <si>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</si>
  <si>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</si>
  <si>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</si>
  <si>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</si>
  <si>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</si>
  <si>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</si>
  <si>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</si>
  <si>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</si>
  <si>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</si>
  <si>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</si>
  <si>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</si>
  <si>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</si>
  <si>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</si>
  <si>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</si>
  <si>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</si>
  <si>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</si>
  <si>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</si>
  <si>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</si>
  <si>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</si>
  <si>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</si>
  <si>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</si>
  <si>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</si>
  <si>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</si>
  <si>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</si>
  <si>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</si>
  <si>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</si>
  <si>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</si>
  <si>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</si>
  <si>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</si>
  <si>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</si>
  <si>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</si>
  <si>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</si>
  <si>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</si>
  <si>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</si>
  <si>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</si>
  <si>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</si>
  <si>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</si>
  <si>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</si>
  <si>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</si>
  <si>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</si>
  <si>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</si>
  <si>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</si>
  <si>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</si>
  <si>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</si>
  <si>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</si>
  <si>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</si>
  <si>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</si>
  <si>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</si>
  <si>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</si>
  <si>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</si>
  <si>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</si>
  <si>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</si>
  <si>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</si>
  <si>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</si>
  <si>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</si>
  <si>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</si>
  <si>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</si>
  <si>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</si>
  <si>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</si>
  <si>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</si>
  <si>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</si>
  <si>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</si>
  <si>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</si>
  <si>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</si>
  <si>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</si>
  <si>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</si>
  <si>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</si>
  <si>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</si>
  <si>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</si>
  <si>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</si>
  <si>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</si>
  <si>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</si>
  <si>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</si>
  <si>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</si>
  <si>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</si>
  <si>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</si>
  <si>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</si>
  <si>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</si>
  <si>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</si>
  <si>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</si>
  <si>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</si>
  <si>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</si>
  <si>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</si>
  <si>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</si>
  <si>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</si>
  <si>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</si>
  <si>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</si>
  <si>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</si>
  <si>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</si>
  <si>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</si>
  <si>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</si>
  <si>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</si>
  <si>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</si>
  <si>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</si>
  <si>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</si>
  <si>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</si>
  <si>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</si>
  <si>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</si>
  <si>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</si>
  <si>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</si>
  <si>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</si>
  <si>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</si>
  <si>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</si>
  <si>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</si>
  <si>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</si>
  <si>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</si>
  <si>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</si>
  <si>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</si>
  <si>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</si>
  <si>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</si>
  <si>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</si>
  <si>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</si>
  <si>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</si>
  <si>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</si>
  <si>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</si>
  <si>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</si>
  <si>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</si>
  <si>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</si>
  <si>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</si>
  <si>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</si>
  <si>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</si>
  <si>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</si>
  <si>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</si>
  <si>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</si>
  <si>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</si>
  <si>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</si>
  <si>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</si>
  <si>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</si>
  <si>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</si>
  <si>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</si>
  <si>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</si>
  <si>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</si>
  <si>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</si>
  <si>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</si>
  <si>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</si>
  <si>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</si>
  <si>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</si>
  <si>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</si>
  <si>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</si>
  <si>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</si>
  <si>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</si>
  <si>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</si>
  <si>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</si>
  <si>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</si>
  <si>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</si>
  <si>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</si>
  <si>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</si>
  <si>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</si>
  <si>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</si>
  <si>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</si>
  <si>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</si>
  <si>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</si>
  <si>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</si>
  <si>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</si>
  <si>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</si>
  <si>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</si>
  <si>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</si>
  <si>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</si>
  <si>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</si>
  <si>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</si>
  <si>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</si>
  <si>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</si>
  <si>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</si>
  <si>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</si>
  <si>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</si>
  <si>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</si>
  <si>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</si>
  <si>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</si>
  <si>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</si>
  <si>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</si>
  <si>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</si>
  <si>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</si>
  <si>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</si>
  <si>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</si>
  <si>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</si>
  <si>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</si>
  <si>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</si>
  <si>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</si>
  <si>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</si>
  <si>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</si>
  <si>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</si>
  <si>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</si>
  <si>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</si>
  <si>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</si>
  <si>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</si>
  <si>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</si>
  <si>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</si>
  <si>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</si>
  <si>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</si>
  <si>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</si>
  <si>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</si>
  <si>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</si>
  <si>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</si>
  <si>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</si>
  <si>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</si>
  <si>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</si>
  <si>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</si>
  <si>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</si>
  <si>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</si>
  <si>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</si>
  <si>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</si>
  <si>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</si>
  <si>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</si>
  <si>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</si>
  <si>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</si>
  <si>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</si>
  <si>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</si>
  <si>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</si>
  <si>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</si>
  <si>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</si>
  <si>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</si>
  <si>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</si>
  <si>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</si>
  <si>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</si>
  <si>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</si>
  <si>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</si>
  <si>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</si>
  <si>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</si>
  <si>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</si>
  <si>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</si>
  <si>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</si>
  <si>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</si>
  <si>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</si>
  <si>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</si>
  <si>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</si>
  <si>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</si>
  <si>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</si>
  <si>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</si>
  <si>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</si>
  <si>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</si>
  <si>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</si>
  <si>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</si>
  <si>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</si>
  <si>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</si>
  <si>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</si>
  <si>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</si>
  <si>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</si>
  <si>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</si>
  <si>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</si>
  <si>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</si>
  <si>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</si>
  <si>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</si>
  <si>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</si>
  <si>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</si>
  <si>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</si>
  <si>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</si>
  <si>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</si>
  <si>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</si>
  <si>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</si>
  <si>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</si>
  <si>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</si>
  <si>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</si>
  <si>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</si>
  <si>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</si>
  <si>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</si>
  <si>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</si>
  <si>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</si>
  <si>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</si>
  <si>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</si>
  <si>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</si>
  <si>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</si>
  <si>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</si>
  <si>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</si>
  <si>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</si>
  <si>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</si>
  <si>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</si>
  <si>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</si>
  <si>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</si>
  <si>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</si>
  <si>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</si>
  <si>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</si>
  <si>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</si>
  <si>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</si>
  <si>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</si>
  <si>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</si>
  <si>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</si>
  <si>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</si>
  <si>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</si>
  <si>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</si>
  <si>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</si>
  <si>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</si>
  <si>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</si>
  <si>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</si>
  <si>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</si>
  <si>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</si>
  <si>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</si>
  <si>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</si>
  <si>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</si>
  <si>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</si>
  <si>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</si>
  <si>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</si>
  <si>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</si>
  <si>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</si>
  <si>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</si>
  <si>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</si>
  <si>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</si>
  <si>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</si>
  <si>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</si>
  <si>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</si>
  <si>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</si>
  <si>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</si>
  <si>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</si>
  <si>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</si>
  <si>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</si>
  <si>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</si>
  <si>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</si>
  <si>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</si>
  <si>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</si>
  <si>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</si>
  <si>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</si>
  <si>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</si>
  <si>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</si>
  <si>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</si>
  <si>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</si>
  <si>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</si>
  <si>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</si>
  <si>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</si>
  <si>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</si>
  <si>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</si>
  <si>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</si>
  <si>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</si>
  <si>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</si>
  <si>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</si>
  <si>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</si>
  <si>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</si>
  <si>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</si>
  <si>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</si>
  <si>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</si>
  <si>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</si>
  <si>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</si>
  <si>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</si>
  <si>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</si>
  <si>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</si>
  <si>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</si>
  <si>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</si>
  <si>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</si>
  <si>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</si>
  <si>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</si>
  <si>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</si>
  <si>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</si>
  <si>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</si>
  <si>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</si>
  <si>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</si>
  <si>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</si>
  <si>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</si>
  <si>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</si>
  <si>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</si>
  <si>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</si>
  <si>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</si>
  <si>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</si>
  <si>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</si>
  <si>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</si>
  <si>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</si>
  <si>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</si>
  <si>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</si>
  <si>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</si>
  <si>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</si>
  <si>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</si>
  <si>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</si>
  <si>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</si>
  <si>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</si>
  <si>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</si>
  <si>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</si>
  <si>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</si>
  <si>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</si>
  <si>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</si>
  <si>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</si>
  <si>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</si>
  <si>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</si>
  <si>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</si>
  <si>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</si>
  <si>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</si>
  <si>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</si>
  <si>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</si>
  <si>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</si>
  <si>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</si>
  <si>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</si>
  <si>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</si>
  <si>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</si>
  <si>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</si>
  <si>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</si>
  <si>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</si>
  <si>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</si>
  <si>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</si>
  <si>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</si>
  <si>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</si>
  <si>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</si>
  <si>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</si>
  <si>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</si>
  <si>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</si>
  <si>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</si>
  <si>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</si>
  <si>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</si>
  <si>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</si>
  <si>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</si>
  <si>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</si>
  <si>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</si>
  <si>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</si>
  <si>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</si>
  <si>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</si>
  <si>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</si>
  <si>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</si>
  <si>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</si>
  <si>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</si>
  <si>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</si>
  <si>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</si>
  <si>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</si>
  <si>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</si>
  <si>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</si>
  <si>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</si>
  <si>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</si>
  <si>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</si>
  <si>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</si>
  <si>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</si>
  <si>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</si>
  <si>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</si>
  <si>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</si>
  <si>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</si>
  <si>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</si>
  <si>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</si>
  <si>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</si>
  <si>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</si>
  <si>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</si>
  <si>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</si>
  <si>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</si>
  <si>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</si>
  <si>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</si>
  <si>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</si>
  <si>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</si>
  <si>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</si>
  <si>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</si>
  <si>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</si>
  <si>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</si>
  <si>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</si>
  <si>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</si>
  <si>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</si>
  <si>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</si>
  <si>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</si>
  <si>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</si>
  <si>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</si>
  <si>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</si>
  <si>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</si>
  <si>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</si>
  <si>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</si>
  <si>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</si>
  <si>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</si>
  <si>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</si>
  <si>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</si>
  <si>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</si>
  <si>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</si>
  <si>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</si>
  <si>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</si>
  <si>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</si>
  <si>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</si>
  <si>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</si>
  <si>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</si>
  <si>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</si>
  <si>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</si>
  <si>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</si>
  <si>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</si>
  <si>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</si>
  <si>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</si>
  <si>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</si>
  <si>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</si>
  <si>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</si>
  <si>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</si>
  <si>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</si>
  <si>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</si>
  <si>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</si>
  <si>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</si>
  <si>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</si>
  <si>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</si>
  <si>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</si>
  <si>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</si>
  <si>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</si>
  <si>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</si>
  <si>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</si>
  <si>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</si>
  <si>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</si>
  <si>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</si>
  <si>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</si>
  <si>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</si>
  <si>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</si>
  <si>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</si>
  <si>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</si>
  <si>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</si>
  <si>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</si>
  <si>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</si>
  <si>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</si>
  <si>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</si>
  <si>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</si>
  <si>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</si>
  <si>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</si>
  <si>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</si>
  <si>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</si>
  <si>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</si>
  <si>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</si>
  <si>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</si>
  <si>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</si>
  <si>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</si>
  <si>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</si>
  <si>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</si>
  <si>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</si>
  <si>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</si>
  <si>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</si>
  <si>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</si>
  <si>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</si>
  <si>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</si>
  <si>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</si>
  <si>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</si>
  <si>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</si>
  <si>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</si>
  <si>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</si>
  <si>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</si>
  <si>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</si>
  <si>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</si>
  <si>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</si>
  <si>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</si>
  <si>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</si>
  <si>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</si>
  <si>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</si>
  <si>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</si>
  <si>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</si>
  <si>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</si>
  <si>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</si>
  <si>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</si>
  <si>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</si>
  <si>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</si>
  <si>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</si>
  <si>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</si>
  <si>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</si>
  <si>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</si>
  <si>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</si>
  <si>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</si>
  <si>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</si>
  <si>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</si>
  <si>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</si>
  <si>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</si>
  <si>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</si>
  <si>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</si>
  <si>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</si>
  <si>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</si>
  <si>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</si>
  <si>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</si>
  <si>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</si>
  <si>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</si>
  <si>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</si>
  <si>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</si>
  <si>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</si>
  <si>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</si>
  <si>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</si>
  <si>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</si>
  <si>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</si>
  <si>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</si>
  <si>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</si>
  <si>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</si>
  <si>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</si>
  <si>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</si>
  <si>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</si>
  <si>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</si>
  <si>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</si>
  <si>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</si>
  <si>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</si>
  <si>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</si>
  <si>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</si>
  <si>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</si>
  <si>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</si>
  <si>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</si>
  <si>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</si>
  <si>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</si>
  <si>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</si>
  <si>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</si>
  <si>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</si>
  <si>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</si>
  <si>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</si>
  <si>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</si>
  <si>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</si>
  <si>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</si>
  <si>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</si>
  <si>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</si>
  <si>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</si>
  <si>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</si>
  <si>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</si>
  <si>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</si>
  <si>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</si>
  <si>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</si>
  <si>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</si>
  <si>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</si>
  <si>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</si>
  <si>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</si>
  <si>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</si>
  <si>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</si>
  <si>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</si>
  <si>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</si>
  <si>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</si>
  <si>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</si>
  <si>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</si>
  <si>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</si>
  <si>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</si>
  <si>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</si>
  <si>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</si>
  <si>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</si>
  <si>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</si>
  <si>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</si>
  <si>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</si>
  <si>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</si>
  <si>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</si>
  <si>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</si>
  <si>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</si>
  <si>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</si>
  <si>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</si>
  <si>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</si>
  <si>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</si>
  <si>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</si>
  <si>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</si>
  <si>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</si>
  <si>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</si>
  <si>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</si>
  <si>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</si>
  <si>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</si>
  <si>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</si>
  <si>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</si>
  <si>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</si>
  <si>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</si>
  <si>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</si>
  <si>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</si>
  <si>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</si>
  <si>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</si>
  <si>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</si>
  <si>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</si>
  <si>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</si>
  <si>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</si>
  <si>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</si>
  <si>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</si>
  <si>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</si>
  <si>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</si>
  <si>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</si>
  <si>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</si>
  <si>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</si>
  <si>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</si>
  <si>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</si>
  <si>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</si>
  <si>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</si>
  <si>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</si>
  <si>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</si>
  <si>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</si>
  <si>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</si>
  <si>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</si>
  <si>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</si>
  <si>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</si>
  <si>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</si>
  <si>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</si>
  <si>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</si>
  <si>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</si>
  <si>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</si>
  <si>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</si>
  <si>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</si>
  <si>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</si>
  <si>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</si>
  <si>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</si>
  <si>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</si>
  <si>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</si>
  <si>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</si>
  <si>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</si>
  <si>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</si>
  <si>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</si>
  <si>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</si>
  <si>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</si>
  <si>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</si>
  <si>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</si>
  <si>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</si>
  <si>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</si>
  <si>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</si>
  <si>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</si>
  <si>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</si>
  <si>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</si>
  <si>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</si>
  <si>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</si>
  <si>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</si>
  <si>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</si>
  <si>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</si>
  <si>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</si>
  <si>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</si>
  <si>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</si>
  <si>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</si>
  <si>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</si>
  <si>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</si>
  <si>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</si>
  <si>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</si>
  <si>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</si>
  <si>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</si>
  <si>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</si>
  <si>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</si>
  <si>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</si>
  <si>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</si>
  <si>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</si>
  <si>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</si>
  <si>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</si>
  <si>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</si>
  <si>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</si>
  <si>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</si>
  <si>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</si>
  <si>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</si>
  <si>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</si>
  <si>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</si>
  <si>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</si>
  <si>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</si>
  <si>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</si>
  <si>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</si>
  <si>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</si>
  <si>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</si>
  <si>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</si>
  <si>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</si>
  <si>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</si>
  <si>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</si>
  <si>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</si>
  <si>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</si>
  <si>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</si>
  <si>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</si>
  <si>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</si>
  <si>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</si>
  <si>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</si>
  <si>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</si>
  <si>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</si>
  <si>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</si>
  <si>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</si>
  <si>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</si>
  <si>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</si>
  <si>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</si>
  <si>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</si>
  <si>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</si>
  <si>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</si>
  <si>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</si>
  <si>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</si>
  <si>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</si>
  <si>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</si>
  <si>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</si>
  <si>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</si>
  <si>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</si>
  <si>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</si>
  <si>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</si>
  <si>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</si>
  <si>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</si>
  <si>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</si>
  <si>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</si>
  <si>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</si>
  <si>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</si>
  <si>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</si>
  <si>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</si>
  <si>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</si>
  <si>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</si>
  <si>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</si>
  <si>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</si>
  <si>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</si>
  <si>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</si>
  <si>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</si>
  <si>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</si>
  <si>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</si>
  <si>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</si>
  <si>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</si>
  <si>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</si>
  <si>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</si>
  <si>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</si>
  <si>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</si>
  <si>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</si>
  <si>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</si>
  <si>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</si>
  <si>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</si>
  <si>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</si>
  <si>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</si>
  <si>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</si>
  <si>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</si>
  <si>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</si>
  <si>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</si>
  <si>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</si>
  <si>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</si>
  <si>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</si>
  <si>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</si>
  <si>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</si>
  <si>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</si>
  <si>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</si>
  <si>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</si>
  <si>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</si>
  <si>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</si>
  <si>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</si>
  <si>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</si>
  <si>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</si>
  <si>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</si>
  <si>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</si>
  <si>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</si>
  <si>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</si>
  <si>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</si>
  <si>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</si>
  <si>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</si>
  <si>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</si>
  <si>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</si>
  <si>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</si>
  <si>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</si>
  <si>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</si>
  <si>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</si>
  <si>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</si>
  <si>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</si>
  <si>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</si>
  <si>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</si>
  <si>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</si>
  <si>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</si>
  <si>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</si>
  <si>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</si>
  <si>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</si>
  <si>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</si>
  <si>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</si>
  <si>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</si>
  <si>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</si>
  <si>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</si>
  <si>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</si>
  <si>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</si>
  <si>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</si>
  <si>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</si>
  <si>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</si>
  <si>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</si>
  <si>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</si>
  <si>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</si>
  <si>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</si>
  <si>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</si>
  <si>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</si>
  <si>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</si>
  <si>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</si>
  <si>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</si>
  <si>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</si>
  <si>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</si>
  <si>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</si>
  <si>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</si>
  <si>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</si>
  <si>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</si>
  <si>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</si>
  <si>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</si>
  <si>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</si>
  <si>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</si>
  <si>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</si>
  <si>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</si>
  <si>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</si>
  <si>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</si>
  <si>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</si>
  <si>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</si>
  <si>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</si>
  <si>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</si>
  <si>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</si>
  <si>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</si>
  <si>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</si>
  <si>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</si>
  <si>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</si>
  <si>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</si>
  <si>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</si>
  <si>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</si>
  <si>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</si>
  <si>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</si>
  <si>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</si>
  <si>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</si>
  <si>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</si>
  <si>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</si>
  <si>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</si>
  <si>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</si>
  <si>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</si>
  <si>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</si>
  <si>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</si>
  <si>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</si>
  <si>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</si>
  <si>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</si>
  <si>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</si>
  <si>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</si>
  <si>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</si>
  <si>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</si>
  <si>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</si>
  <si>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</si>
  <si>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</si>
  <si>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</si>
  <si>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</si>
  <si>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</si>
  <si>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</si>
  <si>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</si>
  <si>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</si>
  <si>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</si>
  <si>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</si>
  <si>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</si>
  <si>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</si>
  <si>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</si>
  <si>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</si>
  <si>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</si>
  <si>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</si>
  <si>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</si>
  <si>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</si>
  <si>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</si>
  <si>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</si>
  <si>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</si>
  <si>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</si>
  <si>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</si>
  <si>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</si>
  <si>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</si>
  <si>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</si>
  <si>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</si>
  <si>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</si>
  <si>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</si>
  <si>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</si>
  <si>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</si>
  <si>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</si>
  <si>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</si>
  <si>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</si>
  <si>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</si>
  <si>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</si>
  <si>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</si>
  <si>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</si>
  <si>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</si>
  <si>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</si>
  <si>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</si>
  <si>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</si>
  <si>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</si>
  <si>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</si>
  <si>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</si>
  <si>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</si>
  <si>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</si>
  <si>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</si>
  <si>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</si>
  <si>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</si>
  <si>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</si>
  <si>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</si>
  <si>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</si>
  <si>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</si>
  <si>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</si>
  <si>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</si>
  <si>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</si>
  <si>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</si>
  <si>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</si>
  <si>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</si>
  <si>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</si>
  <si>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</si>
  <si>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</si>
  <si>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</si>
  <si>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</si>
  <si>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</si>
  <si>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</si>
  <si>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</si>
  <si>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</si>
  <si>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</si>
  <si>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</si>
  <si>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</si>
  <si>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</si>
  <si>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</si>
  <si>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</si>
  <si>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</si>
  <si>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</si>
  <si>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</si>
  <si>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</si>
  <si>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</si>
  <si>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</si>
  <si>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</si>
  <si>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</si>
  <si>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</si>
  <si>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</si>
  <si>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</si>
  <si>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</si>
  <si>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</si>
  <si>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</si>
  <si>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</si>
  <si>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</si>
  <si>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</si>
  <si>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</si>
  <si>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</si>
  <si>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</si>
  <si>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</si>
  <si>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</si>
  <si>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</si>
  <si>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</si>
  <si>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</si>
  <si>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</si>
  <si>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</si>
  <si>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</si>
  <si>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</si>
  <si>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</si>
  <si>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</si>
  <si>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</si>
  <si>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</si>
  <si>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</si>
  <si>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</si>
  <si>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</si>
  <si>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</si>
  <si>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</si>
  <si>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</si>
  <si>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</si>
  <si>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</si>
  <si>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</si>
  <si>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</si>
  <si>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</si>
  <si>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</si>
  <si>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</si>
  <si>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</si>
  <si>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</si>
  <si>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</si>
  <si>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</si>
  <si>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</si>
  <si>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</si>
  <si>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</si>
  <si>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</si>
  <si>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</si>
  <si>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</si>
  <si>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</si>
  <si>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</si>
  <si>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</si>
  <si>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</si>
  <si>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</si>
  <si>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</si>
  <si>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</si>
  <si>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</si>
  <si>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</si>
  <si>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</si>
  <si>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</si>
  <si>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</si>
  <si>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</si>
  <si>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</si>
  <si>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</si>
  <si>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</si>
  <si>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</si>
  <si>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</si>
  <si>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</si>
  <si>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</si>
  <si>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</si>
  <si>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</si>
  <si>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</si>
  <si>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</si>
  <si>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</si>
  <si>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</si>
  <si>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</si>
  <si>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</si>
  <si>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</si>
  <si>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</si>
  <si>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</si>
  <si>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</si>
  <si>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</si>
  <si>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</si>
  <si>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</si>
  <si>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</si>
  <si>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</si>
  <si>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</si>
  <si>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</si>
  <si>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</si>
  <si>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</si>
  <si>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</si>
  <si>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</si>
  <si>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</si>
  <si>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</si>
  <si>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</si>
  <si>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</si>
  <si>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</si>
  <si>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</si>
  <si>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</si>
  <si>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</si>
  <si>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</si>
  <si>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</si>
  <si>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</si>
  <si>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</si>
  <si>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</si>
  <si>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</si>
  <si>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</si>
  <si>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</si>
  <si>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</si>
  <si>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</si>
  <si>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</si>
  <si>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</si>
  <si>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</si>
  <si>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</si>
  <si>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</si>
  <si>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</si>
  <si>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</si>
  <si>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</si>
  <si>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</si>
  <si>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</si>
  <si>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</si>
  <si>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</si>
  <si>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</si>
  <si>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</si>
  <si>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</si>
  <si>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</si>
  <si>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</si>
  <si>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</si>
  <si>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</si>
  <si>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</si>
  <si>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</si>
  <si>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</si>
  <si>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</si>
  <si>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</si>
  <si>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</si>
  <si>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</si>
  <si>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</si>
  <si>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</si>
  <si>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</si>
  <si>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</si>
  <si>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</si>
  <si>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</si>
  <si>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</si>
  <si>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</si>
  <si>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</si>
  <si>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</si>
  <si>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</si>
  <si>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</si>
  <si>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</si>
  <si>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</si>
  <si>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</si>
  <si>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</si>
  <si>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</si>
  <si>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</si>
  <si>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</si>
  <si>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</si>
  <si>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</si>
  <si>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</si>
  <si>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</si>
  <si>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</si>
  <si>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</si>
  <si>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</si>
  <si>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</si>
  <si>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</si>
  <si>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</si>
  <si>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</si>
  <si>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</si>
  <si>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</si>
  <si>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</si>
  <si>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</si>
  <si>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</si>
  <si>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</si>
  <si>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</si>
  <si>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</si>
  <si>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</si>
  <si>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</si>
  <si>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</si>
  <si>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</si>
  <si>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</si>
  <si>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</si>
  <si>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</si>
  <si>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</si>
  <si>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</si>
  <si>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</si>
  <si>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</si>
  <si>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</si>
  <si>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</si>
  <si>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</si>
  <si>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</si>
  <si>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</si>
  <si>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</si>
  <si>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</si>
  <si>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</si>
  <si>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</si>
  <si>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</si>
  <si>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</si>
  <si>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</si>
  <si>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</si>
  <si>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</si>
  <si>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</si>
  <si>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</si>
  <si>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</si>
  <si>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</si>
  <si>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</si>
  <si>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</si>
  <si>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</si>
  <si>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</si>
  <si>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</si>
  <si>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</si>
  <si>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</si>
  <si>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</si>
  <si>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</si>
  <si>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</si>
  <si>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</si>
  <si>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</si>
  <si>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</si>
  <si>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</si>
  <si>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</si>
  <si>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</si>
  <si>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</si>
  <si>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</si>
  <si>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</si>
  <si>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</si>
  <si>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</si>
  <si>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</si>
  <si>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</si>
  <si>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</si>
  <si>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</si>
  <si>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</si>
  <si>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</si>
  <si>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</si>
  <si>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</si>
  <si>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</si>
  <si>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</si>
  <si>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</si>
  <si>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</si>
  <si>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</si>
  <si>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</si>
  <si>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</si>
  <si>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</si>
  <si>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</si>
  <si>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</si>
  <si>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</si>
  <si>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</si>
  <si>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</si>
  <si>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</si>
  <si>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</si>
  <si>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</si>
  <si>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</si>
  <si>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</si>
  <si>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</si>
  <si>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</si>
  <si>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</si>
  <si>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</si>
  <si>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</si>
  <si>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</si>
  <si>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</si>
  <si>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</si>
  <si>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</si>
  <si>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</si>
  <si>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</si>
  <si>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</si>
  <si>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</si>
  <si>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</si>
  <si>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</si>
  <si>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</si>
  <si>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</si>
  <si>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</si>
  <si>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</si>
  <si>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</si>
  <si>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</si>
  <si>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</si>
  <si>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</si>
  <si>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</si>
  <si>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</si>
  <si>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</si>
  <si>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</si>
  <si>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</si>
  <si>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</si>
  <si>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</si>
  <si>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</si>
  <si>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</si>
  <si>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</si>
  <si>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</si>
  <si>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</si>
  <si>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</si>
  <si>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</si>
  <si>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</si>
  <si>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</si>
  <si>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</si>
  <si>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</si>
  <si>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</si>
  <si>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</si>
  <si>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</si>
  <si>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</si>
  <si>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</si>
  <si>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</si>
  <si>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</si>
  <si>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</si>
  <si>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</si>
  <si>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</si>
  <si>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</si>
  <si>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</si>
  <si>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</si>
  <si>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</si>
  <si>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</si>
  <si>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</si>
  <si>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</si>
  <si>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</si>
  <si>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</si>
  <si>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</si>
  <si>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</si>
  <si>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</si>
  <si>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</si>
  <si>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</si>
  <si>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</si>
  <si>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</si>
  <si>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</si>
  <si>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</si>
  <si>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</si>
  <si>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</si>
  <si>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</si>
  <si>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</si>
  <si>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</si>
  <si>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</si>
  <si>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</si>
  <si>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</si>
  <si>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</si>
  <si>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</si>
  <si>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</si>
  <si>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</si>
  <si>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</si>
  <si>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</si>
  <si>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</si>
  <si>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</si>
  <si>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</si>
  <si>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</si>
  <si>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</si>
  <si>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</si>
  <si>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</si>
  <si>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</si>
  <si>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</si>
  <si>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</si>
  <si>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</si>
  <si>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</si>
  <si>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</si>
  <si>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</si>
  <si>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</si>
  <si>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</si>
  <si>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</si>
  <si>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</si>
  <si>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</si>
  <si>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</si>
  <si>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</si>
  <si>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</si>
  <si>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</si>
  <si>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</si>
  <si>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</si>
  <si>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</si>
  <si>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</si>
  <si>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</si>
  <si>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</si>
  <si>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</si>
  <si>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</si>
  <si>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</si>
  <si>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</si>
  <si>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</si>
  <si>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</si>
  <si>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</si>
  <si>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</si>
  <si>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</si>
  <si>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</si>
  <si>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</si>
  <si>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</si>
  <si>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</si>
  <si>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</si>
  <si>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</si>
  <si>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</si>
  <si>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</si>
  <si>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</si>
  <si>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</si>
  <si>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</si>
  <si>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</si>
  <si>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</si>
  <si>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</si>
  <si>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</si>
  <si>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</si>
  <si>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</si>
  <si>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</si>
  <si>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</si>
  <si>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</si>
  <si>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</si>
  <si>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</si>
  <si>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</si>
  <si>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</si>
  <si>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</si>
  <si>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</si>
  <si>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</si>
  <si>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</si>
  <si>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</si>
  <si>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</si>
  <si>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</si>
  <si>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</si>
  <si>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</si>
  <si>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</si>
  <si>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</si>
  <si>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</si>
  <si>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</si>
  <si>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</si>
  <si>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</si>
  <si>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</si>
  <si>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</si>
  <si>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</si>
  <si>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</si>
  <si>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</si>
  <si>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</si>
  <si>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</si>
  <si>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</si>
  <si>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</si>
  <si>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</si>
  <si>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</si>
  <si>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</si>
  <si>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</si>
  <si>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</si>
  <si>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</si>
  <si>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</si>
  <si>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</si>
  <si>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</si>
  <si>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</si>
  <si>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</si>
  <si>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</si>
  <si>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</si>
  <si>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</si>
  <si>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</si>
  <si>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</si>
  <si>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</si>
  <si>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</si>
  <si>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</si>
  <si>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</si>
  <si>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</si>
  <si>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</si>
  <si>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</si>
  <si>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</si>
  <si>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</si>
  <si>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</si>
  <si>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</si>
  <si>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</si>
  <si>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</si>
  <si>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</si>
  <si>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</si>
  <si>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</si>
  <si>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</si>
  <si>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</si>
  <si>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</si>
  <si>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</si>
  <si>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</si>
  <si>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</si>
  <si>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</si>
  <si>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</si>
  <si>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</si>
  <si>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</si>
  <si>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</si>
  <si>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</si>
  <si>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</si>
  <si>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</si>
  <si>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</si>
  <si>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</si>
  <si>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</si>
  <si>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</si>
  <si>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</si>
  <si>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</si>
  <si>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</si>
  <si>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</si>
  <si>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</si>
  <si>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</si>
  <si>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</si>
  <si>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</si>
  <si>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</si>
  <si>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</si>
  <si>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</si>
  <si>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</si>
  <si>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</si>
  <si>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</si>
  <si>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</si>
  <si>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</si>
  <si>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</si>
  <si>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</si>
  <si>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</si>
  <si>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</si>
  <si>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</si>
  <si>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</si>
  <si>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</si>
  <si>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</si>
  <si>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</si>
  <si>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</si>
  <si>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</si>
  <si>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</si>
  <si>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</si>
  <si>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</si>
  <si>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</si>
  <si>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</si>
  <si>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</si>
  <si>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</si>
  <si>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</si>
  <si>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</si>
  <si>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</si>
  <si>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</si>
  <si>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</si>
  <si>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</si>
  <si>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</si>
  <si>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</si>
  <si>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</si>
  <si>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</si>
  <si>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</si>
  <si>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</si>
  <si>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</si>
  <si>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</si>
  <si>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</si>
  <si>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</si>
  <si>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</si>
  <si>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</si>
  <si>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</si>
  <si>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</si>
  <si>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</si>
  <si>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</si>
  <si>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</si>
  <si>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</si>
  <si>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</si>
  <si>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</si>
  <si>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</si>
  <si>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</si>
  <si>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</si>
  <si>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</si>
  <si>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</si>
  <si>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</si>
  <si>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</si>
  <si>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</si>
  <si>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</si>
  <si>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</si>
  <si>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</si>
  <si>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</si>
  <si>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</si>
  <si>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</si>
  <si>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</si>
  <si>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</si>
  <si>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</si>
  <si>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</si>
  <si>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</si>
  <si>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</si>
  <si>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</si>
  <si>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</si>
  <si>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</si>
  <si>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</si>
  <si>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</si>
  <si>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</si>
  <si>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</si>
  <si>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</si>
  <si>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</si>
  <si>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</si>
  <si>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</si>
  <si>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</si>
  <si>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</si>
  <si>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</si>
  <si>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</si>
  <si>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</si>
  <si>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</si>
  <si>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</si>
  <si>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</si>
  <si>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</si>
  <si>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</si>
  <si>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</si>
  <si>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</si>
  <si>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</si>
  <si>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</si>
  <si>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</si>
  <si>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</si>
  <si>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</si>
  <si>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</si>
  <si>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</si>
  <si>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</si>
  <si>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</si>
  <si>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</si>
  <si>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</si>
  <si>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</si>
  <si>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</si>
  <si>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</si>
  <si>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</si>
  <si>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</si>
  <si>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</si>
  <si>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</si>
  <si>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</si>
  <si>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</si>
  <si>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</si>
  <si>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</si>
  <si>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</si>
  <si>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</si>
  <si>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</si>
  <si>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</si>
  <si>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</si>
  <si>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</si>
  <si>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</si>
  <si>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</si>
  <si>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</si>
  <si>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</si>
  <si>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</si>
  <si>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</si>
  <si>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</si>
  <si>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</si>
  <si>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</si>
  <si>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</si>
  <si>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</si>
  <si>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</si>
  <si>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</si>
  <si>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</si>
  <si>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</si>
  <si>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</si>
  <si>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</si>
  <si>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</si>
  <si>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</si>
  <si>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</si>
  <si>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</si>
  <si>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</si>
  <si>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</si>
  <si>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</si>
  <si>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</si>
  <si>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</si>
  <si>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</si>
  <si>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</si>
  <si>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</si>
  <si>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</si>
  <si>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</si>
  <si>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</si>
  <si>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</si>
  <si>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</si>
  <si>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</si>
  <si>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</si>
  <si>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</si>
  <si>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</si>
  <si>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</si>
  <si>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</si>
  <si>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</si>
  <si>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</si>
  <si>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</si>
  <si>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</si>
  <si>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</si>
  <si>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</si>
  <si>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</si>
  <si>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</si>
  <si>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</si>
  <si>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</si>
  <si>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</si>
  <si>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</si>
  <si>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</si>
  <si>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</si>
  <si>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</si>
  <si>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</si>
  <si>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</si>
  <si>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</si>
  <si>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</si>
  <si>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</si>
  <si>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</si>
  <si>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</si>
  <si>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</si>
  <si>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</si>
  <si>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</si>
  <si>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</si>
  <si>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</si>
  <si>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</si>
  <si>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</si>
  <si>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</si>
  <si>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</si>
  <si>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</si>
  <si>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</si>
  <si>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</si>
  <si>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</si>
  <si>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</si>
  <si>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</si>
  <si>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</si>
  <si>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</si>
  <si>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</si>
  <si>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</si>
  <si>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</si>
  <si>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</si>
  <si>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</si>
  <si>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</si>
  <si>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</si>
  <si>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</si>
  <si>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</si>
  <si>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</si>
  <si>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</si>
  <si>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</si>
  <si>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</si>
  <si>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</si>
  <si>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</si>
  <si>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</si>
  <si>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</si>
  <si>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</si>
  <si>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</si>
  <si>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</si>
  <si>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</si>
  <si>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</si>
  <si>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</si>
  <si>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</si>
  <si>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</si>
  <si>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</si>
  <si>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</si>
  <si>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</si>
  <si>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</si>
  <si>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</si>
  <si>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</si>
  <si>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</si>
  <si>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</si>
  <si>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</si>
  <si>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</si>
  <si>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</si>
  <si>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</si>
  <si>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</si>
  <si>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</si>
  <si>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</si>
  <si>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</si>
  <si>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</si>
  <si>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</si>
  <si>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</si>
  <si>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</si>
  <si>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</si>
  <si>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</si>
  <si>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</si>
  <si>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</si>
  <si>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</si>
  <si>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</si>
  <si>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</si>
  <si>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</si>
  <si>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</si>
  <si>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</si>
  <si>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</si>
  <si>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</si>
  <si>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</si>
  <si>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</si>
  <si>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</si>
  <si>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</si>
  <si>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</si>
  <si>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</si>
  <si>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</si>
  <si>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</si>
  <si>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</si>
  <si>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</si>
  <si>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</si>
  <si>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</si>
  <si>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</si>
  <si>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</si>
  <si>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</si>
  <si>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</si>
  <si>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</si>
  <si>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</si>
  <si>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</si>
  <si>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</si>
  <si>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</si>
  <si>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</si>
  <si>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</si>
  <si>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</si>
  <si>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</si>
  <si>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</si>
  <si>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</si>
  <si>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</si>
  <si>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</si>
  <si>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</si>
  <si>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</si>
  <si>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</si>
  <si>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</si>
  <si>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</si>
  <si>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</si>
  <si>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</si>
  <si>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</si>
  <si>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</si>
  <si>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</si>
  <si>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</si>
  <si>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</si>
  <si>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</si>
  <si>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</si>
  <si>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</si>
  <si>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</si>
  <si>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</si>
  <si>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</si>
  <si>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</si>
  <si>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</si>
  <si>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</si>
  <si>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</si>
  <si>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</si>
  <si>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</si>
  <si>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</si>
  <si>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</si>
  <si>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</si>
  <si>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</si>
  <si>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</si>
  <si>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</si>
  <si>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</si>
  <si>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</si>
  <si>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</si>
  <si>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</si>
  <si>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</si>
  <si>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</si>
  <si>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</si>
  <si>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</si>
  <si>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</si>
  <si>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</si>
  <si>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</si>
  <si>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</si>
  <si>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</si>
  <si>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</si>
  <si>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</si>
  <si>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</si>
  <si>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</si>
  <si>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</si>
  <si>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</si>
  <si>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</si>
  <si>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</si>
  <si>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</si>
  <si>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</si>
  <si>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</si>
  <si>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</si>
  <si>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</si>
  <si>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</si>
  <si>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</si>
  <si>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</si>
  <si>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</si>
  <si>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</si>
  <si>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</si>
  <si>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</si>
  <si>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</si>
  <si>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</si>
  <si>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</si>
  <si>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</si>
  <si>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</si>
  <si>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</si>
  <si>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</si>
  <si>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</si>
  <si>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</si>
  <si>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</si>
  <si>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</si>
  <si>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</si>
  <si>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</si>
  <si>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</si>
  <si>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</si>
  <si>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</si>
  <si>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</si>
  <si>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</si>
  <si>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</si>
  <si>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</si>
  <si>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</si>
  <si>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</si>
  <si>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</si>
  <si>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</si>
  <si>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</si>
  <si>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</si>
  <si>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</si>
  <si>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</si>
  <si>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</si>
  <si>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</si>
  <si>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</si>
  <si>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</si>
  <si>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</si>
  <si>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</si>
  <si>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</si>
  <si>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</si>
  <si>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</si>
  <si>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</si>
  <si>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</si>
  <si>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</si>
  <si>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</si>
  <si>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</si>
  <si>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</si>
  <si>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</si>
  <si>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</si>
  <si>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</si>
  <si>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</si>
  <si>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</si>
  <si>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</si>
  <si>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</si>
  <si>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</si>
  <si>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</si>
  <si>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</si>
  <si>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</si>
  <si>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</si>
  <si>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</si>
  <si>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</si>
  <si>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</si>
  <si>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</si>
  <si>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</si>
  <si>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</si>
  <si>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</si>
  <si>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</si>
  <si>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</si>
  <si>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</si>
  <si>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</si>
  <si>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</si>
  <si>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</si>
  <si>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</si>
  <si>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</si>
  <si>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</si>
  <si>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</si>
  <si>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</si>
  <si>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</si>
  <si>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</si>
  <si>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</si>
  <si>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</si>
  <si>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</si>
  <si>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</si>
  <si>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</si>
  <si>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</si>
  <si>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</si>
  <si>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</si>
  <si>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</si>
  <si>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</si>
  <si>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</si>
  <si>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</si>
  <si>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</si>
  <si>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</si>
  <si>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</si>
  <si>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</si>
  <si>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</si>
  <si>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</si>
  <si>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</si>
  <si>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</si>
  <si>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</si>
  <si>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</si>
  <si>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</si>
  <si>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</si>
  <si>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</si>
  <si>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</si>
  <si>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</si>
  <si>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</si>
  <si>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</si>
  <si>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</si>
  <si>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</si>
  <si>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</si>
  <si>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</si>
  <si>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</si>
  <si>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</si>
  <si>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</si>
  <si>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</si>
  <si>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</si>
  <si>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</si>
  <si>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</si>
  <si>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</si>
  <si>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</si>
  <si>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</si>
  <si>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</si>
  <si>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</si>
  <si>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</si>
  <si>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</si>
  <si>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</si>
  <si>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</si>
  <si>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</si>
  <si>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</si>
  <si>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</si>
  <si>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</si>
  <si>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</si>
  <si>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</si>
  <si>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</si>
  <si>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</si>
  <si>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</si>
  <si>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</si>
  <si>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</si>
  <si>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</si>
  <si>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</si>
  <si>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</si>
  <si>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</si>
  <si>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</si>
  <si>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</si>
  <si>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</si>
  <si>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</si>
  <si>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</si>
  <si>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</si>
  <si>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</si>
  <si>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</si>
  <si>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</si>
  <si>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</si>
  <si>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</si>
  <si>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</si>
  <si>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</si>
  <si>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</si>
  <si>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</si>
  <si>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</si>
  <si>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</si>
  <si>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</si>
  <si>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</si>
  <si>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</si>
  <si>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</si>
  <si>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</si>
  <si>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</si>
  <si>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</si>
  <si>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</si>
  <si>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</si>
  <si>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</si>
  <si>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</si>
  <si>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</si>
  <si>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</si>
  <si>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</si>
  <si>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</si>
  <si>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</si>
  <si>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</si>
  <si>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</si>
  <si>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</si>
  <si>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</si>
  <si>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</si>
  <si>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</si>
  <si>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</si>
  <si>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</si>
  <si>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</si>
  <si>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</si>
  <si>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</si>
  <si>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</si>
  <si>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</si>
  <si>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</si>
  <si>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</si>
  <si>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</si>
  <si>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</si>
  <si>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</si>
  <si>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</si>
  <si>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</si>
  <si>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</si>
  <si>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</si>
  <si>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</si>
  <si>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</si>
  <si>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</si>
  <si>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</si>
  <si>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</si>
  <si>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</si>
  <si>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</si>
  <si>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</si>
  <si>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</si>
  <si>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</si>
  <si>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</si>
  <si>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</si>
  <si>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</si>
  <si>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</si>
  <si>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</si>
  <si>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</si>
  <si>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</si>
  <si>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</si>
  <si>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</si>
  <si>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</si>
  <si>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</si>
  <si>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</si>
  <si>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</si>
  <si>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</si>
  <si>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</si>
  <si>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</si>
  <si>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</si>
  <si>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</si>
  <si>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</si>
  <si>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</si>
  <si>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</si>
  <si>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</si>
  <si>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</si>
  <si>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</si>
  <si>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</si>
  <si>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</si>
  <si>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</si>
  <si>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</si>
  <si>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</si>
  <si>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</si>
  <si>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</si>
  <si>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</si>
  <si>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</si>
  <si>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</si>
  <si>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</si>
  <si>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</si>
  <si>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</si>
  <si>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</si>
  <si>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</si>
  <si>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</si>
  <si>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</si>
  <si>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</si>
  <si>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</si>
  <si>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</si>
  <si>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</si>
  <si>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</si>
  <si>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</si>
  <si>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</si>
  <si>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</si>
  <si>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</si>
  <si>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</si>
  <si>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</si>
  <si>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</si>
  <si>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</si>
  <si>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</si>
  <si>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</si>
  <si>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</si>
  <si>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</si>
  <si>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</si>
  <si>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</si>
  <si>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</si>
  <si>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</si>
  <si>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</si>
  <si>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</si>
  <si>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</si>
  <si>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</si>
  <si>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</si>
  <si>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</si>
  <si>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</si>
  <si>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</si>
  <si>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</si>
  <si>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</si>
  <si>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</si>
  <si>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</si>
  <si>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</si>
  <si>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</si>
  <si>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</si>
  <si>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</si>
  <si>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</si>
  <si>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</si>
  <si>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</si>
  <si>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</si>
  <si>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</si>
  <si>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</si>
  <si>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</si>
  <si>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</si>
  <si>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</si>
  <si>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</si>
  <si>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</si>
  <si>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</si>
  <si>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</si>
  <si>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</si>
  <si>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</si>
  <si>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</si>
  <si>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</si>
  <si>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</si>
  <si>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</si>
  <si>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</si>
  <si>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</si>
  <si>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</si>
  <si>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</si>
  <si>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</si>
  <si>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</si>
  <si>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</si>
  <si>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</si>
  <si>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</si>
  <si>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</si>
  <si>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</si>
  <si>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</si>
  <si>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</si>
  <si>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</si>
  <si>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</si>
  <si>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</si>
  <si>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</si>
  <si>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</si>
  <si>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</si>
  <si>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</si>
  <si>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</si>
  <si>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</si>
  <si>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</si>
  <si>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</si>
  <si>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</si>
  <si>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</si>
  <si>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</si>
  <si>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</si>
  <si>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</si>
  <si>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</si>
  <si>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</si>
  <si>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</si>
  <si>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</si>
  <si>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</si>
  <si>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</si>
  <si>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</si>
  <si>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</si>
  <si>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</si>
  <si>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</si>
  <si>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</si>
  <si>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</si>
  <si>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</si>
  <si>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</si>
  <si>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</si>
  <si>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</si>
  <si>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</si>
  <si>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</si>
  <si>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</si>
  <si>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</si>
  <si>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</si>
  <si>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</si>
  <si>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</si>
  <si>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</si>
  <si>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</si>
  <si>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</si>
  <si>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</si>
  <si>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</si>
  <si>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</si>
  <si>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</si>
  <si>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</si>
  <si>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</si>
  <si>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</si>
  <si>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</si>
  <si>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</si>
  <si>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</si>
  <si>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</si>
  <si>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</si>
  <si>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</si>
  <si>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</si>
  <si>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</si>
  <si>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</si>
  <si>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</si>
  <si>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</si>
  <si>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</si>
  <si>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</si>
  <si>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</si>
  <si>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</si>
  <si>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</si>
  <si>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</si>
  <si>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</si>
  <si>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</si>
  <si>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</si>
  <si>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</si>
  <si>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</si>
  <si>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</si>
  <si>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</si>
  <si>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</si>
  <si>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</si>
  <si>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</si>
  <si>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</si>
  <si>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</si>
  <si>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</si>
  <si>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</si>
  <si>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</si>
  <si>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</si>
  <si>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</si>
  <si>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</si>
  <si>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</si>
  <si>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</si>
  <si>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</si>
  <si>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</si>
  <si>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</si>
  <si>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</si>
  <si>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</si>
  <si>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</si>
  <si>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</si>
  <si>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</si>
  <si>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</si>
  <si>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</si>
  <si>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</si>
  <si>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</si>
  <si>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</si>
  <si>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</si>
  <si>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</si>
  <si>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</si>
  <si>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</si>
  <si>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</si>
  <si>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</si>
  <si>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</si>
  <si>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</si>
  <si>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</si>
  <si>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</si>
  <si>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</si>
  <si>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</si>
  <si>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自然人</t>
  </si>
  <si>
    <r>
      <rPr>
        <sz val="10"/>
        <color theme="9" tint="-0.249977111117893"/>
        <rFont val="宋体"/>
        <family val="3"/>
        <charset val="134"/>
      </rPr>
      <t>平谷区平谷镇新开街</t>
    </r>
    <r>
      <rPr>
        <sz val="10"/>
        <color theme="9" tint="-0.249977111117893"/>
        <rFont val="Arial"/>
        <family val="2"/>
      </rPr>
      <t>33</t>
    </r>
    <r>
      <rPr>
        <sz val="10"/>
        <color theme="9" tint="-0.249977111117893"/>
        <rFont val="宋体"/>
        <family val="3"/>
        <charset val="134"/>
      </rPr>
      <t>号</t>
    </r>
    <phoneticPr fontId="6" type="noConversion"/>
  </si>
  <si>
    <t>是</t>
  </si>
  <si>
    <r>
      <t>33-7-1</t>
    </r>
    <r>
      <rPr>
        <sz val="10"/>
        <color indexed="8"/>
        <rFont val="宋体"/>
        <family val="3"/>
        <charset val="134"/>
      </rPr>
      <t>号</t>
    </r>
    <phoneticPr fontId="3" type="noConversion"/>
  </si>
  <si>
    <r>
      <t>33-7-2</t>
    </r>
    <r>
      <rPr>
        <sz val="10"/>
        <color indexed="8"/>
        <rFont val="宋体"/>
        <family val="3"/>
        <charset val="134"/>
      </rPr>
      <t>号</t>
    </r>
    <phoneticPr fontId="3" type="noConversion"/>
  </si>
  <si>
    <t>否</t>
  </si>
  <si>
    <t>地上</t>
  </si>
  <si>
    <t>独立商业</t>
  </si>
  <si>
    <t>33-7-1号</t>
  </si>
  <si>
    <t>成新度</t>
  </si>
  <si>
    <t>直线</t>
    <phoneticPr fontId="3" type="noConversion"/>
  </si>
  <si>
    <t>观察</t>
    <phoneticPr fontId="3" type="noConversion"/>
  </si>
  <si>
    <t>综合</t>
    <phoneticPr fontId="3" type="noConversion"/>
  </si>
  <si>
    <t>收益法 (元)</t>
  </si>
  <si>
    <t>单套模式</t>
  </si>
  <si>
    <t>售价</t>
  </si>
  <si>
    <r>
      <rPr>
        <sz val="11"/>
        <color indexed="8"/>
        <rFont val="Arial"/>
        <family val="2"/>
      </rPr>
      <t>20-30</t>
    </r>
    <r>
      <rPr>
        <sz val="11"/>
        <color indexed="8"/>
        <rFont val="宋体"/>
        <family val="3"/>
        <charset val="134"/>
      </rPr>
      <t>（含）</t>
    </r>
  </si>
  <si>
    <r>
      <rPr>
        <sz val="11"/>
        <color indexed="8"/>
        <rFont val="Arial"/>
        <family val="2"/>
      </rPr>
      <t>1-3</t>
    </r>
    <r>
      <rPr>
        <sz val="11"/>
        <color indexed="8"/>
        <rFont val="宋体"/>
        <family val="3"/>
        <charset val="134"/>
      </rPr>
      <t>层</t>
    </r>
  </si>
  <si>
    <t>配套商业</t>
  </si>
  <si>
    <t>精装</t>
  </si>
  <si>
    <t>普装</t>
  </si>
  <si>
    <t>全业态</t>
  </si>
  <si>
    <t>不可餐饮</t>
  </si>
  <si>
    <t>简装</t>
  </si>
  <si>
    <t>较好</t>
  </si>
  <si>
    <t>标准</t>
  </si>
  <si>
    <t>标准</t>
    <phoneticPr fontId="30" type="noConversion"/>
  </si>
  <si>
    <t>钢混</t>
  </si>
  <si>
    <t>钢混</t>
    <phoneticPr fontId="30" type="noConversion"/>
  </si>
  <si>
    <t>大</t>
    <phoneticPr fontId="134" type="noConversion"/>
  </si>
  <si>
    <t>较大</t>
    <phoneticPr fontId="134" type="noConversion"/>
  </si>
  <si>
    <t>一般</t>
    <phoneticPr fontId="134" type="noConversion"/>
  </si>
  <si>
    <t>好</t>
  </si>
  <si>
    <t>一般</t>
  </si>
  <si>
    <t>主干道</t>
    <phoneticPr fontId="134" type="noConversion"/>
  </si>
  <si>
    <t>次干道</t>
    <phoneticPr fontId="134" type="noConversion"/>
  </si>
  <si>
    <t>支路</t>
    <phoneticPr fontId="134" type="noConversion"/>
  </si>
  <si>
    <t>不临街</t>
    <phoneticPr fontId="134" type="noConversion"/>
  </si>
  <si>
    <t>七通</t>
  </si>
  <si>
    <t>商业</t>
    <phoneticPr fontId="30" type="noConversion"/>
  </si>
  <si>
    <t>正常</t>
  </si>
  <si>
    <t>挂牌</t>
  </si>
  <si>
    <t>挂牌</t>
    <phoneticPr fontId="30" type="noConversion"/>
  </si>
  <si>
    <t>支路</t>
  </si>
  <si>
    <t>次干道</t>
  </si>
  <si>
    <t>较大</t>
  </si>
  <si>
    <t>押一</t>
  </si>
  <si>
    <t>非生产用房</t>
  </si>
  <si>
    <t>比较法-商业</t>
  </si>
  <si>
    <t>楼面单价</t>
  </si>
  <si>
    <t>自定义</t>
  </si>
  <si>
    <t>中昂邑上原著</t>
    <phoneticPr fontId="3" type="noConversion"/>
  </si>
  <si>
    <t>新平东路1号</t>
    <phoneticPr fontId="3" type="noConversion"/>
  </si>
  <si>
    <t>平谷建设街</t>
    <phoneticPr fontId="3" type="noConversion"/>
  </si>
  <si>
    <r>
      <t>1</t>
    </r>
    <r>
      <rPr>
        <sz val="10"/>
        <color indexed="8"/>
        <rFont val="宋体"/>
        <family val="3"/>
        <charset val="134"/>
      </rPr>
      <t>层</t>
    </r>
    <phoneticPr fontId="24" type="noConversion"/>
  </si>
  <si>
    <r>
      <t>2-3</t>
    </r>
    <r>
      <rPr>
        <sz val="10"/>
        <color indexed="8"/>
        <rFont val="宋体"/>
        <family val="3"/>
        <charset val="134"/>
      </rPr>
      <t>层</t>
    </r>
    <phoneticPr fontId="24" type="noConversion"/>
  </si>
  <si>
    <t>1层</t>
  </si>
  <si>
    <t>2-3层</t>
  </si>
  <si>
    <t>正评</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</si>
</sst>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4" fontId="47" fillId="0" borderId="1" xfId="0" applyNumberFormat="1"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14" fontId="60" fillId="0" borderId="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center" vertical="center" wrapText="1"/>
      <protection locked="0"/>
    </xf>
    <xf numFmtId="14" fontId="95" fillId="0" borderId="1" xfId="12" applyNumberFormat="1" applyFont="1" applyFill="1" applyBorder="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5</xdr:col>
      <xdr:colOff>457201</xdr:colOff>
      <xdr:row>19</xdr:row>
      <xdr:rowOff>18065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3886200" cy="3275614"/>
        </a:xfrm>
        <a:prstGeom prst="rect">
          <a:avLst/>
        </a:prstGeom>
      </xdr:spPr>
    </xdr:pic>
    <xdr:clientData/>
  </xdr:twoCellAnchor>
  <xdr:twoCellAnchor editAs="oneCell">
    <xdr:from>
      <xdr:col>5</xdr:col>
      <xdr:colOff>514349</xdr:colOff>
      <xdr:row>0</xdr:row>
      <xdr:rowOff>0</xdr:rowOff>
    </xdr:from>
    <xdr:to>
      <xdr:col>11</xdr:col>
      <xdr:colOff>199362</xdr:colOff>
      <xdr:row>16</xdr:row>
      <xdr:rowOff>79323</xdr:rowOff>
    </xdr:to>
    <xdr:pic>
      <xdr:nvPicPr>
        <xdr:cNvPr id="3" name="图片 2"/>
        <xdr:cNvPicPr>
          <a:picLocks noChangeAspect="1"/>
        </xdr:cNvPicPr>
      </xdr:nvPicPr>
      <xdr:blipFill>
        <a:blip xmlns:r="http://schemas.openxmlformats.org/officeDocument/2006/relationships" r:embed="rId2"/>
        <a:stretch>
          <a:fillRect/>
        </a:stretch>
      </xdr:blipFill>
      <xdr:spPr>
        <a:xfrm>
          <a:off x="3943349" y="0"/>
          <a:ext cx="3799813" cy="2822523"/>
        </a:xfrm>
        <a:prstGeom prst="rect">
          <a:avLst/>
        </a:prstGeom>
      </xdr:spPr>
    </xdr:pic>
    <xdr:clientData/>
  </xdr:twoCellAnchor>
  <xdr:twoCellAnchor editAs="oneCell">
    <xdr:from>
      <xdr:col>0</xdr:col>
      <xdr:colOff>28575</xdr:colOff>
      <xdr:row>19</xdr:row>
      <xdr:rowOff>23777</xdr:rowOff>
    </xdr:from>
    <xdr:to>
      <xdr:col>5</xdr:col>
      <xdr:colOff>190500</xdr:colOff>
      <xdr:row>34</xdr:row>
      <xdr:rowOff>151921</xdr:rowOff>
    </xdr:to>
    <xdr:pic>
      <xdr:nvPicPr>
        <xdr:cNvPr id="4" name="图片 3"/>
        <xdr:cNvPicPr>
          <a:picLocks noChangeAspect="1"/>
        </xdr:cNvPicPr>
      </xdr:nvPicPr>
      <xdr:blipFill>
        <a:blip xmlns:r="http://schemas.openxmlformats.org/officeDocument/2006/relationships" r:embed="rId3"/>
        <a:stretch>
          <a:fillRect/>
        </a:stretch>
      </xdr:blipFill>
      <xdr:spPr>
        <a:xfrm>
          <a:off x="28575" y="3281327"/>
          <a:ext cx="3590925" cy="2699894"/>
        </a:xfrm>
        <a:prstGeom prst="rect">
          <a:avLst/>
        </a:prstGeom>
      </xdr:spPr>
    </xdr:pic>
    <xdr:clientData/>
  </xdr:twoCellAnchor>
  <xdr:twoCellAnchor editAs="oneCell">
    <xdr:from>
      <xdr:col>5</xdr:col>
      <xdr:colOff>419100</xdr:colOff>
      <xdr:row>16</xdr:row>
      <xdr:rowOff>131184</xdr:rowOff>
    </xdr:from>
    <xdr:to>
      <xdr:col>18</xdr:col>
      <xdr:colOff>522718</xdr:colOff>
      <xdr:row>54</xdr:row>
      <xdr:rowOff>27753</xdr:rowOff>
    </xdr:to>
    <xdr:pic>
      <xdr:nvPicPr>
        <xdr:cNvPr id="5" name="图片 4"/>
        <xdr:cNvPicPr>
          <a:picLocks noChangeAspect="1"/>
        </xdr:cNvPicPr>
      </xdr:nvPicPr>
      <xdr:blipFill>
        <a:blip xmlns:r="http://schemas.openxmlformats.org/officeDocument/2006/relationships" r:embed="rId4"/>
        <a:stretch>
          <a:fillRect/>
        </a:stretch>
      </xdr:blipFill>
      <xdr:spPr>
        <a:xfrm>
          <a:off x="3848100" y="2874384"/>
          <a:ext cx="9019018" cy="64116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北京市平谷区平谷镇新开街33号房地产抵押价值预评估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受贵公司委托，我公司对北京市平谷区平谷镇新开街33号房地产抵押价值进行了预评估。</v>
      </c>
    </row>
    <row r="7" spans="1:2" s="1202" customFormat="1">
      <c r="A7" s="1200" t="s">
        <v>566</v>
      </c>
      <c r="B7" s="1201" t="str">
        <f>'预评函-1'!A7</f>
        <v>估价对象为北京市平谷区平谷镇新开街33号房地产，为所有。根据《国有土地使用证》[]，估价对象（分摊）出让国有建设用地使用权面积为0平方米，建筑面积为349.71平方米。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估价对象为北京市平谷区平谷镇新开街33号房地产,属开发建设的，该项目尚在开发建设中。根据《国有土地使用证》[]，估价对象（分摊）出让国有建设用地使用权面积为0平方米，规划建筑面积为349.71平方米。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平谷区平谷镇新开街33号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2023年9月2日（评估专业人员实地查勘之日）</v>
      </c>
    </row>
    <row r="13" spans="1:2" s="1202" customFormat="1">
      <c r="A13" s="1200" t="s">
        <v>529</v>
      </c>
      <c r="B13" s="1201" t="str">
        <f>'预评函-1'!A18</f>
        <v>本次估价的“房地产价值”是指在正常市场情况下，在价值时点2023年9月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629</v>
      </c>
    </row>
    <row r="21" spans="1:2" s="1202" customFormat="1">
      <c r="A21" s="1200" t="s">
        <v>537</v>
      </c>
      <c r="B21" s="1201">
        <f ca="1">'预评函-2'!D7</f>
        <v>17994</v>
      </c>
    </row>
    <row r="22" spans="1:2" s="1202" customFormat="1">
      <c r="A22" s="1200" t="s">
        <v>538</v>
      </c>
      <c r="B22" s="1201" t="str">
        <f ca="1">'预评函-2'!D6</f>
        <v>陆佰贰拾玖万元整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629</v>
      </c>
    </row>
    <row r="31" spans="1:2" s="1202" customFormat="1">
      <c r="A31" s="1200" t="s">
        <v>576</v>
      </c>
      <c r="B31" s="1201">
        <f ca="1">'预评函-2'!D15</f>
        <v>17994</v>
      </c>
    </row>
    <row r="32" spans="1:2" s="1202" customFormat="1">
      <c r="A32" s="1200" t="s">
        <v>543</v>
      </c>
      <c r="B32" s="1201" t="str">
        <f ca="1">'预评函-2'!D14</f>
        <v>陆佰贰拾玖万元整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北京市平谷区平谷镇新开街33号房地产</v>
      </c>
    </row>
    <row r="42" spans="1:2" s="1202" customFormat="1">
      <c r="A42" s="1200" t="s">
        <v>590</v>
      </c>
      <c r="B42" s="1201" t="str">
        <f>'预评函-3'!B2</f>
        <v>建筑面积</v>
      </c>
    </row>
    <row r="43" spans="1:2" s="1202" customFormat="1">
      <c r="A43" s="1200" t="s">
        <v>591</v>
      </c>
      <c r="B43" s="1201">
        <f>'预评函-3'!B4</f>
        <v>349.71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976</v>
      </c>
      <c r="C1" s="1540" t="s">
        <v>314</v>
      </c>
      <c r="D1" s="1542" t="s">
        <v>3355</v>
      </c>
      <c r="E1" s="1541" t="s">
        <v>977</v>
      </c>
      <c r="F1" s="1541" t="s">
        <v>978</v>
      </c>
      <c r="G1" s="1541" t="s">
        <v>979</v>
      </c>
      <c r="H1" s="1541" t="s">
        <v>980</v>
      </c>
      <c r="I1" s="1541" t="s">
        <v>981</v>
      </c>
      <c r="J1" s="1541" t="s">
        <v>982</v>
      </c>
      <c r="K1" s="1541" t="s">
        <v>983</v>
      </c>
      <c r="L1" s="1541" t="s">
        <v>984</v>
      </c>
      <c r="M1" s="1541" t="s">
        <v>985</v>
      </c>
      <c r="N1" s="1541" t="s">
        <v>986</v>
      </c>
      <c r="O1" s="1541" t="s">
        <v>987</v>
      </c>
      <c r="P1" s="1542" t="s">
        <v>309</v>
      </c>
      <c r="Q1" s="1542" t="s">
        <v>447</v>
      </c>
      <c r="R1" s="1541" t="s">
        <v>441</v>
      </c>
      <c r="S1" s="1541" t="s">
        <v>988</v>
      </c>
      <c r="T1" s="1543" t="s">
        <v>989</v>
      </c>
      <c r="U1" s="1541" t="s">
        <v>990</v>
      </c>
      <c r="V1" s="1541" t="s">
        <v>991</v>
      </c>
      <c r="W1" s="1541" t="s">
        <v>311</v>
      </c>
    </row>
    <row r="2" spans="1:23">
      <c r="A2" s="1545" t="s">
        <v>19</v>
      </c>
      <c r="B2" s="1545" t="s">
        <v>992</v>
      </c>
      <c r="C2" s="1546" t="s">
        <v>315</v>
      </c>
      <c r="D2" s="1547" t="s">
        <v>993</v>
      </c>
      <c r="E2" s="1547" t="s">
        <v>994</v>
      </c>
      <c r="F2" s="1547" t="s">
        <v>995</v>
      </c>
      <c r="G2" s="1547">
        <v>20</v>
      </c>
      <c r="H2" s="1547" t="s">
        <v>995</v>
      </c>
      <c r="I2" s="1547" t="s">
        <v>3341</v>
      </c>
      <c r="J2" s="1547" t="s">
        <v>996</v>
      </c>
      <c r="K2" s="1547" t="s">
        <v>997</v>
      </c>
      <c r="L2" s="1547" t="s">
        <v>997</v>
      </c>
      <c r="M2" s="1547" t="s">
        <v>997</v>
      </c>
      <c r="N2" s="1547" t="s">
        <v>997</v>
      </c>
      <c r="O2" s="1547" t="s">
        <v>997</v>
      </c>
      <c r="P2" s="1547" t="s">
        <v>997</v>
      </c>
      <c r="Q2" s="1547" t="s">
        <v>997</v>
      </c>
      <c r="R2" s="1547" t="s">
        <v>443</v>
      </c>
      <c r="S2" s="1547" t="s">
        <v>997</v>
      </c>
      <c r="T2" s="1547" t="s">
        <v>998</v>
      </c>
      <c r="U2" s="1547" t="s">
        <v>997</v>
      </c>
      <c r="V2" s="1547" t="s">
        <v>999</v>
      </c>
      <c r="W2" s="1547" t="s">
        <v>997</v>
      </c>
    </row>
    <row r="3" spans="1:23">
      <c r="A3" s="1545" t="s">
        <v>1000</v>
      </c>
      <c r="B3" s="1548" t="s">
        <v>448</v>
      </c>
      <c r="C3" s="1549" t="s">
        <v>316</v>
      </c>
      <c r="D3" s="1547" t="s">
        <v>1001</v>
      </c>
      <c r="E3" s="1547" t="s">
        <v>13</v>
      </c>
      <c r="F3" s="1547" t="s">
        <v>1002</v>
      </c>
      <c r="G3" s="1547">
        <v>40</v>
      </c>
      <c r="H3" s="1547" t="s">
        <v>1002</v>
      </c>
      <c r="I3" s="1547" t="s">
        <v>3342</v>
      </c>
      <c r="J3" s="1547" t="s">
        <v>1003</v>
      </c>
      <c r="K3" s="1547" t="s">
        <v>1004</v>
      </c>
      <c r="L3" s="1547" t="s">
        <v>1004</v>
      </c>
      <c r="M3" s="1547" t="s">
        <v>1004</v>
      </c>
      <c r="N3" s="1547" t="s">
        <v>1004</v>
      </c>
      <c r="O3" s="1547" t="s">
        <v>1004</v>
      </c>
      <c r="P3" s="1547" t="s">
        <v>1004</v>
      </c>
      <c r="Q3" s="1547" t="s">
        <v>1004</v>
      </c>
      <c r="R3" s="1547" t="s">
        <v>442</v>
      </c>
      <c r="S3" s="1547" t="s">
        <v>1004</v>
      </c>
      <c r="T3" s="1547" t="s">
        <v>1005</v>
      </c>
      <c r="U3" s="1547" t="s">
        <v>1004</v>
      </c>
      <c r="V3" s="1547" t="s">
        <v>1006</v>
      </c>
      <c r="W3" s="1547" t="s">
        <v>1004</v>
      </c>
    </row>
    <row r="4" spans="1:23">
      <c r="A4" s="1545" t="s">
        <v>1007</v>
      </c>
      <c r="B4" s="1545" t="s">
        <v>1008</v>
      </c>
      <c r="C4" s="1546" t="s">
        <v>317</v>
      </c>
      <c r="D4" s="1547" t="s">
        <v>389</v>
      </c>
      <c r="E4" s="1547" t="s">
        <v>1009</v>
      </c>
      <c r="F4" s="1547" t="s">
        <v>1010</v>
      </c>
      <c r="G4" s="1547">
        <v>50</v>
      </c>
      <c r="H4" s="1547" t="s">
        <v>1010</v>
      </c>
      <c r="I4" s="1547" t="s">
        <v>3343</v>
      </c>
      <c r="K4" s="1547" t="s">
        <v>1011</v>
      </c>
      <c r="L4" s="1547" t="s">
        <v>1011</v>
      </c>
      <c r="M4" s="1547" t="s">
        <v>1011</v>
      </c>
      <c r="N4" s="1547" t="s">
        <v>1011</v>
      </c>
      <c r="O4" s="1547" t="s">
        <v>1011</v>
      </c>
      <c r="P4" s="1547" t="s">
        <v>1011</v>
      </c>
      <c r="Q4" s="1547" t="s">
        <v>1011</v>
      </c>
      <c r="R4" s="1547" t="s">
        <v>444</v>
      </c>
      <c r="S4" s="1547" t="s">
        <v>1011</v>
      </c>
      <c r="T4" s="1547" t="s">
        <v>1012</v>
      </c>
      <c r="U4" s="1547" t="s">
        <v>1011</v>
      </c>
      <c r="W4" s="1547" t="s">
        <v>1011</v>
      </c>
    </row>
    <row r="5" spans="1:23">
      <c r="A5" s="1545" t="s">
        <v>1013</v>
      </c>
      <c r="B5" s="1545" t="s">
        <v>1014</v>
      </c>
      <c r="C5" s="1546" t="s">
        <v>318</v>
      </c>
      <c r="F5" s="1547" t="s">
        <v>1015</v>
      </c>
      <c r="G5" s="1547">
        <v>70</v>
      </c>
      <c r="H5" s="1547" t="s">
        <v>1016</v>
      </c>
      <c r="I5" s="1547" t="s">
        <v>3344</v>
      </c>
      <c r="K5" s="1547" t="s">
        <v>1017</v>
      </c>
      <c r="L5" s="1547" t="s">
        <v>1017</v>
      </c>
      <c r="M5" s="1547" t="s">
        <v>1017</v>
      </c>
      <c r="N5" s="1547" t="s">
        <v>1017</v>
      </c>
      <c r="O5" s="1547" t="s">
        <v>1017</v>
      </c>
      <c r="P5" s="1547" t="s">
        <v>1017</v>
      </c>
      <c r="Q5" s="1547" t="s">
        <v>1017</v>
      </c>
      <c r="R5" s="1547" t="s">
        <v>445</v>
      </c>
      <c r="S5" s="1547" t="s">
        <v>1017</v>
      </c>
      <c r="T5" s="1547" t="s">
        <v>1018</v>
      </c>
      <c r="U5" s="1547" t="s">
        <v>1017</v>
      </c>
      <c r="W5" s="1547" t="s">
        <v>1017</v>
      </c>
    </row>
    <row r="6" spans="1:23">
      <c r="A6" s="1545" t="s">
        <v>1019</v>
      </c>
      <c r="B6" s="1548" t="s">
        <v>449</v>
      </c>
      <c r="C6" s="1551" t="s">
        <v>24</v>
      </c>
      <c r="F6" s="1547" t="s">
        <v>1016</v>
      </c>
      <c r="H6" s="1547" t="s">
        <v>1020</v>
      </c>
      <c r="I6" s="1547" t="s">
        <v>3345</v>
      </c>
      <c r="K6" s="1547" t="s">
        <v>1021</v>
      </c>
      <c r="L6" s="1547" t="s">
        <v>1021</v>
      </c>
      <c r="M6" s="1547" t="s">
        <v>1021</v>
      </c>
      <c r="N6" s="1547" t="s">
        <v>1021</v>
      </c>
      <c r="O6" s="1547" t="s">
        <v>1021</v>
      </c>
      <c r="P6" s="1547" t="s">
        <v>1021</v>
      </c>
      <c r="Q6" s="1547" t="s">
        <v>1021</v>
      </c>
      <c r="R6" s="1547" t="s">
        <v>446</v>
      </c>
      <c r="S6" s="1547" t="s">
        <v>1021</v>
      </c>
      <c r="T6" s="1547"/>
      <c r="U6" s="1547" t="s">
        <v>1021</v>
      </c>
      <c r="W6" s="1547" t="s">
        <v>1021</v>
      </c>
    </row>
    <row r="7" spans="1:23">
      <c r="A7" s="1545" t="s">
        <v>1022</v>
      </c>
      <c r="B7" s="1548" t="s">
        <v>450</v>
      </c>
      <c r="C7" s="1546" t="s">
        <v>25</v>
      </c>
      <c r="F7" s="1547" t="s">
        <v>1023</v>
      </c>
      <c r="H7" s="1547" t="s">
        <v>1024</v>
      </c>
      <c r="I7" s="1547" t="s">
        <v>3346</v>
      </c>
    </row>
    <row r="8" spans="1:23">
      <c r="A8" s="1545" t="s">
        <v>1025</v>
      </c>
      <c r="B8" s="1545" t="s">
        <v>1026</v>
      </c>
      <c r="C8" s="1546" t="s">
        <v>319</v>
      </c>
      <c r="F8" s="1547" t="s">
        <v>1027</v>
      </c>
      <c r="H8" s="1547" t="s">
        <v>2579</v>
      </c>
      <c r="I8" s="1547" t="s">
        <v>3347</v>
      </c>
    </row>
    <row r="9" spans="1:23">
      <c r="A9" s="1545" t="s">
        <v>1028</v>
      </c>
      <c r="B9" s="1545" t="s">
        <v>1029</v>
      </c>
      <c r="C9" s="1546" t="s">
        <v>320</v>
      </c>
      <c r="F9" s="1547" t="s">
        <v>1030</v>
      </c>
      <c r="H9" s="1547"/>
      <c r="I9" s="1550" t="s">
        <v>3348</v>
      </c>
    </row>
    <row r="10" spans="1:23">
      <c r="A10" s="1545" t="s">
        <v>1031</v>
      </c>
      <c r="B10" s="1545" t="s">
        <v>1032</v>
      </c>
      <c r="C10" s="1546" t="s">
        <v>321</v>
      </c>
      <c r="F10" s="1547" t="s">
        <v>2580</v>
      </c>
      <c r="I10" s="1550" t="s">
        <v>3349</v>
      </c>
    </row>
    <row r="11" spans="1:23">
      <c r="A11" s="1545" t="s">
        <v>1033</v>
      </c>
      <c r="B11" s="1545" t="s">
        <v>1034</v>
      </c>
      <c r="C11" s="1546" t="s">
        <v>322</v>
      </c>
      <c r="F11" s="1547" t="s">
        <v>13</v>
      </c>
      <c r="I11" s="1550" t="s">
        <v>3350</v>
      </c>
    </row>
    <row r="12" spans="1:23">
      <c r="A12" s="1545" t="s">
        <v>1035</v>
      </c>
      <c r="B12" s="1545" t="s">
        <v>1036</v>
      </c>
      <c r="C12" s="1546" t="s">
        <v>323</v>
      </c>
      <c r="I12" s="1550" t="s">
        <v>3351</v>
      </c>
    </row>
    <row r="13" spans="1:23">
      <c r="A13" s="1545" t="s">
        <v>1037</v>
      </c>
      <c r="B13" s="1545" t="s">
        <v>1038</v>
      </c>
      <c r="C13" s="1546" t="s">
        <v>324</v>
      </c>
      <c r="I13" s="1550" t="s">
        <v>3352</v>
      </c>
    </row>
    <row r="14" spans="1:23">
      <c r="A14" s="1545" t="s">
        <v>1039</v>
      </c>
      <c r="B14" s="1545" t="s">
        <v>1040</v>
      </c>
      <c r="C14" s="1547" t="s">
        <v>13</v>
      </c>
      <c r="I14" s="1550" t="s">
        <v>3353</v>
      </c>
    </row>
    <row r="15" spans="1:23">
      <c r="A15" s="1545" t="s">
        <v>1041</v>
      </c>
      <c r="B15" s="1545" t="s">
        <v>1042</v>
      </c>
      <c r="C15" s="1546"/>
      <c r="I15" s="1550" t="s">
        <v>3354</v>
      </c>
    </row>
    <row r="16" spans="1:23">
      <c r="A16" s="1545" t="s">
        <v>1043</v>
      </c>
      <c r="B16" s="1545" t="s">
        <v>312</v>
      </c>
      <c r="C16" s="1546"/>
    </row>
    <row r="17" spans="1:3">
      <c r="A17" s="1545" t="s">
        <v>1044</v>
      </c>
      <c r="B17" s="1545" t="s">
        <v>2291</v>
      </c>
      <c r="C17" s="1546"/>
    </row>
    <row r="18" spans="1:3">
      <c r="A18" s="1545" t="s">
        <v>1045</v>
      </c>
      <c r="B18" s="1545" t="s">
        <v>2435</v>
      </c>
      <c r="C18" s="1546"/>
    </row>
    <row r="19" spans="1:3">
      <c r="A19" s="1545" t="s">
        <v>1046</v>
      </c>
      <c r="B19" s="1545" t="s">
        <v>313</v>
      </c>
      <c r="C19" s="1546"/>
    </row>
    <row r="20" spans="1:3">
      <c r="A20" s="1545" t="s">
        <v>1047</v>
      </c>
      <c r="B20" s="1545" t="s">
        <v>313</v>
      </c>
      <c r="C20" s="1546"/>
    </row>
    <row r="21" spans="1:3">
      <c r="A21" s="1545" t="s">
        <v>1048</v>
      </c>
      <c r="B21" s="1545" t="s">
        <v>313</v>
      </c>
      <c r="C21" s="1546"/>
    </row>
    <row r="22" spans="1:3">
      <c r="A22" s="1545" t="s">
        <v>1049</v>
      </c>
      <c r="B22" s="1545" t="s">
        <v>313</v>
      </c>
      <c r="C22" s="1546"/>
    </row>
    <row r="23" spans="1:3">
      <c r="A23" s="1545" t="s">
        <v>1050</v>
      </c>
      <c r="B23" s="1545" t="s">
        <v>313</v>
      </c>
      <c r="C23" s="1546"/>
    </row>
    <row r="24" spans="1:3">
      <c r="A24" s="1545" t="s">
        <v>1051</v>
      </c>
      <c r="B24" s="1545" t="s">
        <v>313</v>
      </c>
      <c r="C24" s="1546"/>
    </row>
    <row r="25" spans="1:3">
      <c r="A25" s="1545" t="s">
        <v>1052</v>
      </c>
      <c r="B25" s="1545" t="s">
        <v>313</v>
      </c>
      <c r="C25" s="1546"/>
    </row>
    <row r="26" spans="1:3">
      <c r="A26" s="1545" t="s">
        <v>1053</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新开街33号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8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3" t="s">
        <v>385</v>
      </c>
      <c r="C54" s="1550" t="s">
        <v>583</v>
      </c>
    </row>
    <row r="55" spans="1:4">
      <c r="A55" s="3489"/>
      <c r="B55" s="1553" t="s">
        <v>386</v>
      </c>
      <c r="C55" s="1550" t="s">
        <v>584</v>
      </c>
    </row>
    <row r="56" spans="1:4">
      <c r="A56" s="3489"/>
      <c r="B56" s="1553" t="s">
        <v>387</v>
      </c>
      <c r="C56" s="1550" t="s">
        <v>588</v>
      </c>
    </row>
    <row r="57" spans="1:4">
      <c r="A57" s="348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0" t="s">
        <v>2582</v>
      </c>
      <c r="J2" s="3490"/>
      <c r="K2" s="3490"/>
      <c r="L2" s="3490"/>
      <c r="M2" s="3490"/>
      <c r="N2" s="3490"/>
      <c r="O2" s="3490"/>
      <c r="P2" s="3490"/>
      <c r="Q2" s="3490"/>
      <c r="R2" s="3490"/>
    </row>
    <row r="3" spans="1:18">
      <c r="A3" s="3019" t="s">
        <v>2503</v>
      </c>
      <c r="B3" s="3020">
        <f>项目基本情况!D3</f>
        <v>45171</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3.29</v>
      </c>
      <c r="D5" s="3024">
        <f>IF(ISERROR(ROUND(POWER(1+E5,A5-C5)*(POWER(1+E5,C5)-1)/(POWER(1+E5,A5)-1),3)),0,ROUND(POWER(1+E5,A5-C5)*(POWER(1+E5,C5)-1)/(POWER(1+E5,A5)-1),4))</f>
        <v>0.15290000000000001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13.3</v>
      </c>
      <c r="D6" s="3024">
        <f>IF(ISERROR(ROUND(POWER(1+E6,A6-C6)*(POWER(1+E6,C6)-1)/(POWER(1+E6,A6)-1),3)),0,ROUND(POWER(1+E6,A6-C6)*(POWER(1+E6,C6)-1)/(POWER(1+E6,A6)-1),4))</f>
        <v>0.47299999999999998</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33.32</v>
      </c>
      <c r="D7" s="3024">
        <f>IF(ISERROR(ROUND(POWER(1+E7,A7-C7)*(POWER(1+E7,C7)-1)/(POWER(1+E7,A7)-1),3)),0,ROUND(POWER(1+E7,A7-C7)*(POWER(1+E7,C7)-1)/(POWER(1+E7,A7)-1),4))</f>
        <v>0.77939999999999998</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4" sqref="B43:B4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491" t="str">
        <f>IF(B10="北京市","北京市",C10)&amp;F10&amp;IF(结果表!G1="在建","出让国有建设用地使用权及在建建筑物",IF(结果表!G1="土地","出让国有建设用地使用权",))&amp;B9&amp;"预评估"</f>
        <v>北京市平谷区平谷镇新开街33号房地产抵押价值预评估</v>
      </c>
      <c r="C1" s="3492"/>
      <c r="D1" s="3492"/>
      <c r="E1" s="3492"/>
      <c r="F1" s="3492"/>
      <c r="G1" s="3492"/>
      <c r="H1" s="3492"/>
      <c r="I1" s="349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北京市平谷区平谷镇新开街33号房地产抵押价值</v>
      </c>
      <c r="T1" s="1744"/>
      <c r="U1" s="1744"/>
      <c r="V1" s="1744"/>
      <c r="W1" s="1744"/>
      <c r="X1" s="1744"/>
      <c r="Y1" s="1744"/>
      <c r="Z1" s="1744"/>
      <c r="AA1" s="1744"/>
      <c r="AB1" s="1744"/>
    </row>
    <row r="2" spans="1:30">
      <c r="A2" s="2366" t="s">
        <v>2167</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北京市平谷区平谷镇新开街33号房地产</v>
      </c>
      <c r="T2" s="1744"/>
      <c r="U2" s="1744"/>
      <c r="V2" s="1744"/>
      <c r="W2" s="1744"/>
      <c r="X2" s="1744"/>
      <c r="Y2" s="1744"/>
      <c r="Z2" s="1744"/>
      <c r="AA2" s="1744"/>
      <c r="AB2" s="1744"/>
    </row>
    <row r="3" spans="1:30">
      <c r="A3" s="302" t="s">
        <v>2168</v>
      </c>
      <c r="B3" s="2372">
        <v>45171</v>
      </c>
      <c r="C3" s="2373" t="s">
        <v>2169</v>
      </c>
      <c r="D3" s="2372">
        <f>B3</f>
        <v>45171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3378</v>
      </c>
      <c r="C8" s="2389"/>
      <c r="D8" s="3494" t="s">
        <v>2175</v>
      </c>
      <c r="E8" s="2390" t="s">
        <v>3379</v>
      </c>
      <c r="F8" s="2391"/>
      <c r="G8" s="2662"/>
      <c r="H8" s="2662"/>
      <c r="I8" s="2662"/>
      <c r="J8" s="2438"/>
      <c r="K8" s="2613"/>
      <c r="L8" s="2612"/>
      <c r="M8" s="2612"/>
      <c r="N8" s="2438"/>
      <c r="O8" s="2449"/>
      <c r="P8" s="2438"/>
      <c r="Q8" s="2438"/>
      <c r="R8" s="2438"/>
    </row>
    <row r="9" spans="1:30" ht="13.5" thickBot="1">
      <c r="A9" s="2392" t="s">
        <v>2176</v>
      </c>
      <c r="B9" s="2393" t="s">
        <v>3379</v>
      </c>
      <c r="C9" s="2394"/>
      <c r="D9" s="3495"/>
      <c r="E9" s="2393"/>
      <c r="F9" s="2395"/>
      <c r="G9" s="2664"/>
      <c r="H9" s="2664"/>
      <c r="I9" s="2664"/>
      <c r="J9" s="2438"/>
      <c r="K9" s="2615"/>
      <c r="L9" s="2612"/>
      <c r="M9" s="2612"/>
      <c r="N9" s="2438"/>
      <c r="O9" s="2449"/>
      <c r="P9" s="2438"/>
      <c r="Q9" s="2438"/>
      <c r="R9" s="2438"/>
    </row>
    <row r="10" spans="1:30" ht="13.5" thickTop="1">
      <c r="A10" s="2396" t="s">
        <v>2177</v>
      </c>
      <c r="B10" s="2397" t="s">
        <v>3380</v>
      </c>
      <c r="C10" s="2398"/>
      <c r="D10" s="2381"/>
      <c r="E10" s="2399" t="s">
        <v>2178</v>
      </c>
      <c r="F10" s="2665" t="s">
        <v>3382</v>
      </c>
      <c r="G10" s="2666"/>
      <c r="H10" s="2667"/>
      <c r="I10" s="2668"/>
      <c r="J10" s="2438"/>
      <c r="K10" s="2615"/>
      <c r="L10" s="2612"/>
      <c r="M10" s="2612"/>
      <c r="N10" s="2438"/>
      <c r="O10" s="2449"/>
      <c r="P10" s="2438"/>
      <c r="Q10" s="2438"/>
      <c r="R10" s="2438"/>
    </row>
    <row r="11" spans="1:30">
      <c r="A11" s="2400" t="s">
        <v>2179</v>
      </c>
      <c r="B11" s="2401" t="s">
        <v>3381</v>
      </c>
      <c r="C11" s="2402"/>
      <c r="D11" s="2403"/>
      <c r="E11" s="2369"/>
      <c r="F11" s="2369"/>
      <c r="G11" s="2369"/>
      <c r="H11" s="2369"/>
      <c r="I11" s="2369"/>
      <c r="J11" s="3060"/>
      <c r="K11" s="3059"/>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8" t="s">
        <v>2578</v>
      </c>
      <c r="J12" s="3061"/>
      <c r="K12" s="2612"/>
      <c r="L12" s="2612"/>
      <c r="M12" s="2438"/>
      <c r="N12" s="2449"/>
      <c r="O12" s="2438"/>
      <c r="P12" s="2438"/>
      <c r="Q12" s="2438"/>
      <c r="AD12" s="1744"/>
    </row>
    <row r="13" spans="1:30">
      <c r="A13" s="3422" t="s">
        <v>3336</v>
      </c>
      <c r="B13" s="2406" t="s">
        <v>2188</v>
      </c>
      <c r="C13" s="855"/>
      <c r="D13" s="855">
        <v>52777</v>
      </c>
      <c r="E13" s="855"/>
      <c r="F13" s="855"/>
      <c r="G13" s="855"/>
      <c r="H13" s="855"/>
      <c r="I13" s="855"/>
      <c r="J13" s="3061"/>
      <c r="K13" s="2612"/>
      <c r="L13" s="2612"/>
      <c r="M13" s="2438"/>
      <c r="N13" s="2449"/>
      <c r="O13" s="2438"/>
      <c r="P13" s="2438"/>
      <c r="Q13" s="2438"/>
      <c r="AD13" s="1744"/>
    </row>
    <row r="14" spans="1:30">
      <c r="A14" s="1080"/>
      <c r="B14" s="2406" t="s">
        <v>2189</v>
      </c>
      <c r="C14" s="2407"/>
      <c r="D14" s="2407">
        <v>40</v>
      </c>
      <c r="E14" s="2407"/>
      <c r="F14" s="2407"/>
      <c r="G14" s="2407"/>
      <c r="H14" s="2407"/>
      <c r="I14" s="2407"/>
      <c r="J14" s="3062"/>
      <c r="K14" s="2612"/>
      <c r="L14" s="2612"/>
      <c r="M14" s="2438"/>
      <c r="N14" s="2449"/>
      <c r="O14" s="2438"/>
      <c r="P14" s="2438"/>
      <c r="Q14" s="2438"/>
      <c r="AD14" s="1744"/>
    </row>
    <row r="15" spans="1:30">
      <c r="A15" s="320"/>
      <c r="B15" s="2408" t="s">
        <v>2190</v>
      </c>
      <c r="C15" s="2409" t="str">
        <f>IF(A13="出让",IF(C13="","",ROUNDDOWN(MIN((C13-$D$3)/365,C14),2)),C14)</f>
        <v/>
      </c>
      <c r="D15" s="2409">
        <f>IF(A13="出让",IF(D13="","",ROUNDDOWN(MIN((D13-$D$3)/365,D14),2)),D14)</f>
        <v>20.83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2191</v>
      </c>
      <c r="B16" s="3501"/>
      <c r="C16" s="3502"/>
      <c r="D16" s="3503"/>
      <c r="E16" s="2412" t="s">
        <v>2192</v>
      </c>
      <c r="F16" s="3504"/>
      <c r="G16" s="3505"/>
      <c r="H16" s="3505"/>
      <c r="I16" s="3506"/>
      <c r="J16" s="2438"/>
      <c r="K16" s="2616"/>
      <c r="L16" s="2450"/>
      <c r="M16" s="2450"/>
      <c r="N16" s="2508"/>
      <c r="O16" s="2450"/>
      <c r="P16" s="2508"/>
      <c r="Q16" s="2438"/>
      <c r="R16" s="2438"/>
    </row>
    <row r="17" spans="1:28">
      <c r="A17" s="313" t="s">
        <v>2193</v>
      </c>
      <c r="B17" s="302" t="s">
        <v>2194</v>
      </c>
      <c r="C17" s="8">
        <f>'数据-汇总表'!E3</f>
        <v>349.71</v>
      </c>
      <c r="D17" s="2321" t="s">
        <v>2195</v>
      </c>
      <c r="E17" s="3507" t="s">
        <v>2196</v>
      </c>
      <c r="F17" s="3508"/>
      <c r="G17" s="3508"/>
      <c r="H17" s="3508"/>
      <c r="I17" s="3509"/>
      <c r="J17" s="2438"/>
      <c r="K17" s="2617"/>
      <c r="L17" s="2450"/>
      <c r="M17" s="2450"/>
      <c r="N17" s="2508"/>
      <c r="O17" s="2450"/>
      <c r="P17" s="2508"/>
      <c r="Q17" s="2438"/>
      <c r="R17" s="2438"/>
      <c r="S17" s="2438"/>
      <c r="T17" s="2438"/>
      <c r="U17" s="2438"/>
      <c r="V17" s="2438"/>
    </row>
    <row r="18" spans="1:28" ht="24.75" thickBot="1">
      <c r="A18" s="2413" t="s">
        <v>2197</v>
      </c>
      <c r="B18" s="1089" t="s">
        <v>2198</v>
      </c>
      <c r="C18" s="2414">
        <f>'数据-汇总表'!D3</f>
        <v>0</v>
      </c>
      <c r="D18" s="1091" t="s">
        <v>2199</v>
      </c>
      <c r="E18" s="3510" t="s">
        <v>2200</v>
      </c>
      <c r="F18" s="3511"/>
      <c r="G18" s="3511"/>
      <c r="H18" s="3511"/>
      <c r="I18" s="3512"/>
      <c r="J18" s="2438"/>
      <c r="K18" s="2617"/>
      <c r="L18" s="2450"/>
      <c r="M18" s="2450"/>
      <c r="N18" s="2508"/>
      <c r="O18" s="2450"/>
      <c r="P18" s="2508"/>
      <c r="Q18" s="2438"/>
      <c r="R18" s="2438"/>
      <c r="S18" s="2438"/>
      <c r="T18" s="2438"/>
      <c r="U18" s="2438"/>
      <c r="V18" s="2438"/>
    </row>
    <row r="19" spans="1:28" ht="37.5" thickTop="1" thickBot="1">
      <c r="A19" s="327" t="s">
        <v>1054</v>
      </c>
      <c r="B19" s="307" t="s">
        <v>2201</v>
      </c>
      <c r="C19" s="1562"/>
      <c r="D19" s="1563" t="s">
        <v>2202</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2203</v>
      </c>
      <c r="B20" s="3497" t="s">
        <v>2204</v>
      </c>
      <c r="C20" s="3498"/>
      <c r="D20" s="3499" t="s">
        <v>2205</v>
      </c>
      <c r="E20" s="3500"/>
      <c r="F20" s="2646" t="s">
        <v>1055</v>
      </c>
      <c r="G20" s="2663"/>
      <c r="H20" s="2663"/>
      <c r="I20" s="2663"/>
      <c r="J20" s="2438"/>
      <c r="K20" s="3496"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2207</v>
      </c>
      <c r="C21" s="2633" t="s">
        <v>1056</v>
      </c>
      <c r="D21" s="1567" t="s">
        <v>2208</v>
      </c>
      <c r="E21" s="2634" t="s">
        <v>1056</v>
      </c>
      <c r="F21" s="2647"/>
      <c r="G21" s="2663"/>
      <c r="H21" s="2663"/>
      <c r="I21" s="2663"/>
      <c r="J21" s="2438"/>
      <c r="K21" s="349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2209</v>
      </c>
      <c r="C22" s="2633" t="s">
        <v>1057</v>
      </c>
      <c r="D22" s="2662"/>
      <c r="E22" s="2662"/>
      <c r="F22" s="2662"/>
      <c r="G22" s="2663"/>
      <c r="H22" s="2663"/>
      <c r="I22" s="2663"/>
      <c r="J22" s="2438"/>
      <c r="K22" s="349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4" t="s">
        <v>2212</v>
      </c>
      <c r="B27" s="320" t="s">
        <v>2213</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4"/>
      <c r="B28" s="302"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4"/>
      <c r="B29" s="302"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5"/>
      <c r="B30" s="302" t="s">
        <v>2216</v>
      </c>
      <c r="C30" s="3516"/>
      <c r="D30" s="3517"/>
      <c r="E30" s="2663"/>
      <c r="F30" s="2663"/>
      <c r="G30" s="2663"/>
      <c r="H30" s="2663"/>
      <c r="I30" s="2663"/>
      <c r="J30" s="2438"/>
      <c r="K30" s="2615"/>
      <c r="L30" s="2612"/>
      <c r="M30" s="2612"/>
      <c r="N30" s="2438"/>
      <c r="O30" s="2449"/>
      <c r="P30" s="2438"/>
      <c r="Q30" s="2438"/>
      <c r="R30" s="2438"/>
      <c r="S30" s="2438"/>
      <c r="T30" s="2438"/>
      <c r="U30" s="2438"/>
      <c r="V30" s="2438"/>
    </row>
    <row r="31" spans="1:28">
      <c r="A31" s="3518" t="s">
        <v>2217</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5"/>
      <c r="C34" s="2025"/>
      <c r="D34" s="2025"/>
      <c r="E34" s="2025"/>
      <c r="F34" s="2025"/>
      <c r="G34" s="2025"/>
      <c r="H34" s="2025"/>
      <c r="I34" s="2663"/>
      <c r="J34" s="2438"/>
      <c r="K34" s="2426">
        <f>COUNTIF(B34:H34,"——")</f>
        <v>0</v>
      </c>
      <c r="L34" s="323" t="s">
        <v>2219</v>
      </c>
      <c r="M34" s="323" t="s">
        <v>2220</v>
      </c>
      <c r="N34" s="323" t="s">
        <v>2221</v>
      </c>
      <c r="O34" s="323" t="s">
        <v>2222</v>
      </c>
      <c r="P34" s="323" t="s">
        <v>2223</v>
      </c>
      <c r="Q34" s="323" t="s">
        <v>2224</v>
      </c>
      <c r="R34" s="323" t="s">
        <v>2225</v>
      </c>
      <c r="S34" s="3513" t="s">
        <v>2226</v>
      </c>
      <c r="T34" s="2427" t="str">
        <f>NUMBERSTRING(7-K34,1)&amp;"通"</f>
        <v>七通</v>
      </c>
      <c r="U34" s="2438"/>
      <c r="V34" s="2438"/>
    </row>
    <row r="35" spans="1:30">
      <c r="A35" s="2428"/>
      <c r="B35" s="3520" t="s">
        <v>2227</v>
      </c>
      <c r="C35" s="3520"/>
      <c r="D35" s="3520"/>
      <c r="E35" s="352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8"/>
      <c r="V35" s="2438"/>
    </row>
    <row r="36" spans="1:30">
      <c r="A36" s="2429"/>
      <c r="B36" s="663" t="s">
        <v>2183</v>
      </c>
      <c r="C36" s="663" t="s">
        <v>2184</v>
      </c>
      <c r="D36" s="663" t="s">
        <v>2182</v>
      </c>
      <c r="E36" s="663" t="s">
        <v>2187</v>
      </c>
      <c r="F36" s="3064" t="s">
        <v>2581</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2231</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4" sqref="C2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349.71</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349.71</v>
      </c>
      <c r="H5" s="13">
        <f t="shared" ref="H5:AT5" si="0">SUM(H13:H656)</f>
        <v>349.71</v>
      </c>
      <c r="I5" s="13">
        <f t="shared" si="0"/>
        <v>349.71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349.71</v>
      </c>
      <c r="BA5" s="15">
        <f t="shared" si="1"/>
        <v>349.71</v>
      </c>
      <c r="BB5" s="15">
        <f t="shared" si="1"/>
        <v>349.71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3387</v>
      </c>
      <c r="J9" s="808"/>
      <c r="K9" s="1602"/>
      <c r="L9" s="808"/>
      <c r="M9" s="1602"/>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672</v>
      </c>
      <c r="J10" s="808"/>
      <c r="K10" s="1608"/>
      <c r="L10" s="808"/>
      <c r="M10" s="1608"/>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f>K9</f>
        <v>0</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3388</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独立商业</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788" t="s">
        <v>3384</v>
      </c>
      <c r="D13" s="1624" t="s">
        <v>3383</v>
      </c>
      <c r="E13" s="13">
        <f>IF($C$3="是",ROUND($A$3*G13/$B$3,2),ROUND($A$3*(G13-AT13)/$B$3,2))</f>
        <v>0</v>
      </c>
      <c r="F13" s="29"/>
      <c r="G13" s="30">
        <f>H13+AC13+AT13</f>
        <v>117.86</v>
      </c>
      <c r="H13" s="17">
        <f>SUMIF(I$12:AB$12,"总值",I13:AB13)</f>
        <v>117.86</v>
      </c>
      <c r="I13" s="1625">
        <v>117.86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33-7-1号</v>
      </c>
      <c r="AY13" s="1348">
        <f>ROUND($AY$6*AZ13/$AZ$5,2)</f>
        <v>0</v>
      </c>
      <c r="AZ13" s="13">
        <f>BA13+BL13</f>
        <v>117.86</v>
      </c>
      <c r="BA13" s="13">
        <f>SUM(BB13:BK13)</f>
        <v>117.86</v>
      </c>
      <c r="BB13" s="13">
        <f>IF($D13="是",I13-J13,0)</f>
        <v>117.86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3788" t="s">
        <v>3385</v>
      </c>
      <c r="D14" s="1624" t="s">
        <v>3383</v>
      </c>
      <c r="E14" s="13">
        <f>IF($C$3="是",ROUND($A$3*G14/$B$3,2),ROUND($A$3*(G14-AT14)/$B$3,2))</f>
        <v>0</v>
      </c>
      <c r="F14" s="29"/>
      <c r="G14" s="30">
        <f>H14+AC14+AT14</f>
        <v>231.85</v>
      </c>
      <c r="H14" s="17">
        <f>SUMIF(I$12:AB$12,"总值",I14:AB14)</f>
        <v>231.85</v>
      </c>
      <c r="I14" s="1625">
        <v>231.85</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33-7-2号</v>
      </c>
      <c r="AY14" s="1348">
        <f>ROUND($AY$6*AZ14/$AZ$5,2)</f>
        <v>0</v>
      </c>
      <c r="AZ14" s="13">
        <f>BA14+BL14</f>
        <v>231.85</v>
      </c>
      <c r="BA14" s="13">
        <f>SUM(BB14:BK14)</f>
        <v>231.85</v>
      </c>
      <c r="BB14" s="13">
        <f>IF($D14="是",I14-J14,0)</f>
        <v>231.85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9" sqref="K4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530" t="s">
        <v>1130</v>
      </c>
      <c r="B2" s="3530"/>
      <c r="C2" s="3530"/>
      <c r="D2" s="795" t="s">
        <v>1106</v>
      </c>
      <c r="E2" s="1638" t="s">
        <v>1107</v>
      </c>
      <c r="F2" s="2658"/>
      <c r="G2" s="2649"/>
      <c r="H2" s="2650"/>
      <c r="I2" s="2324" t="s">
        <v>1131</v>
      </c>
      <c r="J2" s="2658"/>
      <c r="K2" s="2658"/>
      <c r="L2" s="2658"/>
      <c r="M2" s="2658"/>
      <c r="N2" s="2660"/>
      <c r="O2" s="2658"/>
      <c r="P2" s="2658"/>
    </row>
    <row r="3" spans="1:16" ht="15.75" thickBot="1">
      <c r="A3" s="3531" t="s">
        <v>1104</v>
      </c>
      <c r="B3" s="3531"/>
      <c r="C3" s="3531"/>
      <c r="D3" s="43">
        <f>'数据-基础表'!AY6</f>
        <v>0</v>
      </c>
      <c r="E3" s="43">
        <f>'数据-基础表'!AZ5</f>
        <v>349.71</v>
      </c>
      <c r="F3" s="2658"/>
      <c r="G3" s="1144"/>
      <c r="H3" s="1025" t="s">
        <v>1105</v>
      </c>
      <c r="I3" s="854" t="e">
        <f>ROUND('数据-基础表'!B3/'数据-基础表'!A3,2)</f>
        <v>#DIV/0!</v>
      </c>
      <c r="J3" s="2658"/>
      <c r="K3" s="2658"/>
      <c r="L3" s="2658"/>
      <c r="M3" s="2658"/>
      <c r="N3" s="2660"/>
      <c r="O3" s="2658"/>
      <c r="P3" s="2658"/>
    </row>
    <row r="4" spans="1:16" ht="15">
      <c r="A4" s="3532"/>
      <c r="B4" s="3533"/>
      <c r="C4" s="3534"/>
      <c r="D4" s="1640" t="s">
        <v>1106</v>
      </c>
      <c r="E4" s="1641" t="s">
        <v>1107</v>
      </c>
      <c r="F4" s="2658"/>
      <c r="G4" s="2651" t="s">
        <v>1132</v>
      </c>
      <c r="H4" s="1025" t="s">
        <v>1112</v>
      </c>
      <c r="I4" s="854" t="e">
        <f>ROUND(SUMIF('数据-基础表'!I9:AS9,"地上",'数据-基础表'!I5:AS5)/'数据-基础表'!A3,2)</f>
        <v>#DIV/0!</v>
      </c>
      <c r="J4" s="2658"/>
      <c r="K4" s="2658"/>
      <c r="L4" s="2658"/>
      <c r="M4" s="2658"/>
      <c r="N4" s="2660"/>
      <c r="O4" s="2658"/>
      <c r="P4" s="2658"/>
    </row>
    <row r="5" spans="1:16">
      <c r="A5" s="44" t="s">
        <v>1108</v>
      </c>
      <c r="B5" s="3535" t="s">
        <v>1109</v>
      </c>
      <c r="C5" s="3535"/>
      <c r="D5" s="45">
        <f>ROUND($D$3*E5/$E$3,2)</f>
        <v>0</v>
      </c>
      <c r="E5" s="46">
        <f>SUMIF('数据-基础表'!$11:$11,"住宅",'数据-基础表'!$5:$5)</f>
        <v>0</v>
      </c>
      <c r="F5" s="2658"/>
      <c r="G5" s="1144"/>
      <c r="H5" s="1025" t="s">
        <v>1105</v>
      </c>
      <c r="I5" s="854" t="e">
        <f>ROUND(E31/D31,2)</f>
        <v>#DIV/0!</v>
      </c>
      <c r="J5" s="2658"/>
      <c r="K5" s="2658"/>
      <c r="L5" s="2658"/>
      <c r="M5" s="2658"/>
      <c r="N5" s="2658"/>
      <c r="O5" s="2658"/>
      <c r="P5" s="2658"/>
    </row>
    <row r="6" spans="1:16" ht="15" thickBot="1">
      <c r="A6" s="1643"/>
      <c r="B6" s="3535" t="s">
        <v>1110</v>
      </c>
      <c r="C6" s="3535"/>
      <c r="D6" s="45">
        <f>ROUND($D$3*E6/$E$3,2)</f>
        <v>0</v>
      </c>
      <c r="E6" s="46">
        <f>E3-E5</f>
        <v>349.71</v>
      </c>
      <c r="F6" s="2658"/>
      <c r="G6" s="2652" t="s">
        <v>1111</v>
      </c>
      <c r="H6" s="1145" t="s">
        <v>1112</v>
      </c>
      <c r="I6" s="2653" t="e">
        <f>ROUND(F31/D31,2)</f>
        <v>#DIV/0!</v>
      </c>
      <c r="J6" s="2658"/>
      <c r="K6" s="2658"/>
      <c r="L6" s="2658"/>
      <c r="M6" s="2658"/>
      <c r="N6" s="2658"/>
      <c r="O6" s="2658"/>
      <c r="P6" s="2658"/>
    </row>
    <row r="7" spans="1:16" ht="15.75" thickBot="1">
      <c r="A7" s="3527"/>
      <c r="B7" s="3528"/>
      <c r="C7" s="3529"/>
      <c r="D7" s="1640" t="s">
        <v>1106</v>
      </c>
      <c r="E7" s="1644" t="s">
        <v>1113</v>
      </c>
      <c r="F7" s="2658"/>
      <c r="G7" s="2654" t="s">
        <v>1114</v>
      </c>
      <c r="H7" s="2655"/>
      <c r="I7" s="2656"/>
      <c r="J7" s="2658"/>
      <c r="K7" s="2658"/>
      <c r="L7" s="2658"/>
      <c r="M7" s="2658"/>
      <c r="N7" s="2658"/>
      <c r="O7" s="2658"/>
      <c r="P7" s="2658"/>
    </row>
    <row r="8" spans="1:16">
      <c r="A8" s="44" t="s">
        <v>1115</v>
      </c>
      <c r="B8" s="47" t="s">
        <v>1116</v>
      </c>
      <c r="C8" s="45" t="s">
        <v>1117</v>
      </c>
      <c r="D8" s="45">
        <f t="shared" ref="D8:D15" si="0">ROUND($D$3*E8/$E$3,2)</f>
        <v>0</v>
      </c>
      <c r="E8" s="48">
        <f>SUMIF('数据-基础表'!BB10:BK10,"地上",'数据-基础表'!BB5:BK5)</f>
        <v>349.71</v>
      </c>
      <c r="F8" s="2658"/>
      <c r="G8" s="2659"/>
      <c r="H8" s="2659"/>
      <c r="I8" s="2658"/>
      <c r="J8" s="2658"/>
      <c r="K8" s="2658"/>
      <c r="L8" s="2658"/>
      <c r="M8" s="2658"/>
      <c r="N8" s="2658"/>
      <c r="O8" s="2658"/>
      <c r="P8" s="2658"/>
    </row>
    <row r="9" spans="1:16">
      <c r="A9" s="1645"/>
      <c r="B9" s="1646"/>
      <c r="C9" s="45" t="s">
        <v>1118</v>
      </c>
      <c r="D9" s="45">
        <f t="shared" si="0"/>
        <v>0</v>
      </c>
      <c r="E9" s="49">
        <v>0</v>
      </c>
      <c r="F9" s="2658"/>
      <c r="G9" s="2659"/>
      <c r="H9" s="2659"/>
      <c r="I9" s="2658"/>
      <c r="J9" s="2658"/>
      <c r="K9" s="2658"/>
      <c r="L9" s="2658"/>
      <c r="M9" s="2658"/>
      <c r="N9" s="2658"/>
      <c r="O9" s="2658"/>
      <c r="P9" s="2658"/>
    </row>
    <row r="10" spans="1:16">
      <c r="A10" s="1645"/>
      <c r="B10" s="1646"/>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1122</v>
      </c>
      <c r="D16" s="47">
        <f>SUM(D8:D15)</f>
        <v>0</v>
      </c>
      <c r="E16" s="50">
        <f>SUM(E8:E15)</f>
        <v>349.71</v>
      </c>
      <c r="F16" s="2658"/>
      <c r="G16" s="2659"/>
      <c r="H16" s="1647" t="s">
        <v>1134</v>
      </c>
      <c r="I16" s="1648"/>
      <c r="J16" s="1138"/>
      <c r="K16" s="3524" t="s">
        <v>1134</v>
      </c>
      <c r="L16" s="3525"/>
      <c r="M16" s="3525"/>
      <c r="N16" s="3525"/>
      <c r="O16" s="3525"/>
      <c r="P16" s="3526"/>
    </row>
    <row r="17" spans="1:19" ht="15">
      <c r="A17" s="1649" t="s">
        <v>1135</v>
      </c>
      <c r="B17" s="1650" t="s">
        <v>1136</v>
      </c>
      <c r="C17" s="1651" t="s">
        <v>1137</v>
      </c>
      <c r="D17" s="1652" t="s">
        <v>1125</v>
      </c>
      <c r="E17" s="1653" t="s">
        <v>1126</v>
      </c>
      <c r="F17" s="1654"/>
      <c r="G17" s="1655"/>
      <c r="H17" s="1656" t="s">
        <v>1138</v>
      </c>
      <c r="I17" s="1657" t="s">
        <v>1123</v>
      </c>
      <c r="J17" s="1138"/>
      <c r="K17" s="3521" t="s">
        <v>1139</v>
      </c>
      <c r="L17" s="3522"/>
      <c r="M17" s="3523"/>
      <c r="N17" s="3521" t="s">
        <v>1140</v>
      </c>
      <c r="O17" s="3522"/>
      <c r="P17" s="3523"/>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416" t="str">
        <f>'数据-基础表'!C13</f>
        <v>33-7-1号</v>
      </c>
      <c r="D19" s="45">
        <f>ROUND($D$3*E19/$E$3,2)</f>
        <v>0</v>
      </c>
      <c r="E19" s="53">
        <f t="shared" ref="E19:E26" si="1">SUM(F19:G19)</f>
        <v>117.86</v>
      </c>
      <c r="F19" s="2794">
        <f>'数据-基础表'!I13</f>
        <v>117.86</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117.86</v>
      </c>
    </row>
    <row r="20" spans="1:19">
      <c r="A20" s="1669"/>
      <c r="B20" s="47" t="s">
        <v>1152</v>
      </c>
      <c r="C20" s="3416" t="str">
        <f>'数据-基础表'!C14</f>
        <v>33-7-2号</v>
      </c>
      <c r="D20" s="45">
        <f t="shared" ref="D20:D26" si="6">ROUND($D$3*E20/$E$3,2)</f>
        <v>0</v>
      </c>
      <c r="E20" s="53">
        <f t="shared" si="1"/>
        <v>231.85</v>
      </c>
      <c r="F20" s="2794">
        <f>'数据-基础表'!I14</f>
        <v>231.85</v>
      </c>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231.85</v>
      </c>
    </row>
    <row r="21" spans="1:19">
      <c r="A21" s="1669"/>
      <c r="B21" s="47" t="s">
        <v>1152</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1152</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1152</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1152</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1152</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0</v>
      </c>
      <c r="E27" s="1140">
        <f>IF(SUM(E19:E26)='数据-基础表'!BA5,SUM(E19:E26),IF(F27="地上面积有误","面积有误","地下面积有误"))</f>
        <v>349.71</v>
      </c>
      <c r="F27" s="1139">
        <f>IF(SUM(F19:F26)=E8,SUM(F19:F26),"地上面积有误")</f>
        <v>349.71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349.71</v>
      </c>
    </row>
    <row r="28" spans="1:19">
      <c r="A28" s="1669"/>
      <c r="B28" s="47" t="s">
        <v>1154</v>
      </c>
      <c r="C28" s="1037"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1154</v>
      </c>
      <c r="C29" s="1673"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1153</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1157</v>
      </c>
      <c r="D31" s="675">
        <f>D27+D30</f>
        <v>0</v>
      </c>
      <c r="E31" s="675">
        <f>E27+E30</f>
        <v>349.71</v>
      </c>
      <c r="F31" s="676">
        <f>F27+F30</f>
        <v>349.71</v>
      </c>
      <c r="G31" s="677">
        <f>G27+G30</f>
        <v>0</v>
      </c>
      <c r="H31" s="2658"/>
      <c r="I31" s="2658"/>
      <c r="J31" s="2658"/>
      <c r="K31" s="2658"/>
      <c r="L31" s="2658"/>
      <c r="M31" s="2658"/>
      <c r="N31" s="2658"/>
      <c r="O31" s="2658"/>
      <c r="P31" s="2658"/>
    </row>
    <row r="32" spans="1:19">
      <c r="A32" s="1642"/>
      <c r="B32" s="1642" t="s">
        <v>1158</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P40" sqref="P40"/>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1160</v>
      </c>
      <c r="B2" s="1044">
        <f>项目基本情况!D3</f>
        <v>45171</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7"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3390</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33-7-1号</v>
      </c>
      <c r="B6" s="1712" t="str">
        <f>IF(A6=0,"","经营性")</f>
        <v>经营性</v>
      </c>
      <c r="C6" s="1713" t="s">
        <v>672</v>
      </c>
      <c r="D6" s="857">
        <f>SUMIF(项目基本情况!C$12:I$12,C6,项目基本情况!C$14:I$14)</f>
        <v>40</v>
      </c>
      <c r="E6" s="856">
        <f>IF(B6="","",SUMIF(项目基本情况!C$12:I$12,C6,项目基本情况!C$13:I$13))</f>
        <v>52777</v>
      </c>
      <c r="F6" s="64">
        <f>SUMIF(项目基本情况!C$12:I$12,C6,项目基本情况!C$15:I$15)</f>
        <v>20.83</v>
      </c>
      <c r="G6" s="65">
        <f>IF(ISERROR(ROUND(POWER(1+H6,D6-F6)*(POWER(1+H6,F6)-1)/(POWER(1+H6,D6)-1),3)),0,ROUND(POWER(1+H6,D6-F6)*(POWER(1+H6,F6)-1)/(POWER(1+H6,D6)-1),3))</f>
        <v>0.76200000000000001</v>
      </c>
      <c r="H6" s="731">
        <v>5.5E-2</v>
      </c>
      <c r="I6" s="731">
        <v>5.5E-2</v>
      </c>
      <c r="J6" s="66">
        <v>7.0000000000000007E-2</v>
      </c>
      <c r="K6" s="1029">
        <f>SUMIF('数据-汇总表'!C$19:C$33,A6,'数据-汇总表'!E$19:E$33)</f>
        <v>117.86</v>
      </c>
      <c r="L6" s="732">
        <v>3200</v>
      </c>
      <c r="M6" s="67">
        <f t="shared" ref="M6:M14" si="0">ROUND(K6*L6/10000,0)</f>
        <v>38</v>
      </c>
      <c r="N6" s="730">
        <f>N21</f>
        <v>0.79</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3.8</v>
      </c>
      <c r="V6" s="70">
        <v>2.5000000000000001E-2</v>
      </c>
      <c r="W6" s="70">
        <v>0.1</v>
      </c>
      <c r="X6" s="1039"/>
      <c r="Y6" s="71">
        <f>N6</f>
        <v>0.79</v>
      </c>
      <c r="Z6" s="72"/>
      <c r="AA6" s="66"/>
      <c r="AB6" s="66"/>
      <c r="AC6" s="1039"/>
      <c r="AD6" s="73"/>
      <c r="AE6" s="1040">
        <f ca="1">IF(AN6="",0,SUMIF(INDIRECT("'"&amp;AN6&amp;"'"&amp;"!E:E"),$AE$5,INDIRECT("'"&amp;AN6&amp;"'"&amp;"!F:F")))</f>
        <v>20.83</v>
      </c>
      <c r="AF6" s="1347"/>
      <c r="AG6" s="138">
        <f>IF(AF6="",0,AE6-AF6)</f>
        <v>0</v>
      </c>
      <c r="AH6" s="74"/>
      <c r="AI6" s="76">
        <v>365</v>
      </c>
      <c r="AJ6" s="77"/>
      <c r="AK6" s="78">
        <v>0.01</v>
      </c>
      <c r="AL6" s="79">
        <v>1E-3</v>
      </c>
      <c r="AM6" s="80">
        <v>0.01</v>
      </c>
      <c r="AN6" s="1714" t="s">
        <v>3394</v>
      </c>
      <c r="AO6" s="52">
        <f ca="1">SUMIF(INDIRECT("'"&amp;AN6&amp;"'"&amp;"!A:A"),"总价",INDIRECT("'"&amp;AN6&amp;"'"&amp;"!B:B"))</f>
        <v>200.60220000000001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33-7-2号</v>
      </c>
      <c r="B7" s="1712" t="str">
        <f t="shared" ref="B7:B13" si="1">IF(A7=0,"","经营性")</f>
        <v>经营性</v>
      </c>
      <c r="C7" s="1713" t="s">
        <v>672</v>
      </c>
      <c r="D7" s="857">
        <f>SUMIF(项目基本情况!C$12:I$12,C7,项目基本情况!C$14:I$14)</f>
        <v>40</v>
      </c>
      <c r="E7" s="856">
        <f>IF(B7="","",SUMIF(项目基本情况!C$12:I$12,C7,项目基本情况!C$13:I$13))</f>
        <v>52777</v>
      </c>
      <c r="F7" s="64">
        <f>SUMIF(项目基本情况!C$12:I$12,C7,项目基本情况!C$15:I$15)</f>
        <v>20.83</v>
      </c>
      <c r="G7" s="65">
        <f t="shared" ref="G7:G11" si="2">IF(ISERROR(ROUND(POWER(1+H7,D7-F7)*(POWER(1+H7,F7)-1)/(POWER(1+H7,D7)-1),3)),0,ROUND(POWER(1+H7,D7-F7)*(POWER(1+H7,F7)-1)/(POWER(1+H7,D7)-1),3))</f>
        <v>0.76200000000000001</v>
      </c>
      <c r="H7" s="731">
        <v>5.5E-2</v>
      </c>
      <c r="I7" s="731">
        <v>5.5E-2</v>
      </c>
      <c r="J7" s="66">
        <v>7.0000000000000007E-2</v>
      </c>
      <c r="K7" s="1029">
        <f>SUMIF('数据-汇总表'!C$19:C$33,A7,'数据-汇总表'!E$19:E$33)</f>
        <v>231.85</v>
      </c>
      <c r="L7" s="732">
        <f>L6</f>
        <v>3200</v>
      </c>
      <c r="M7" s="67">
        <f t="shared" si="0"/>
        <v>74</v>
      </c>
      <c r="N7" s="730">
        <f>N6</f>
        <v>0.79</v>
      </c>
      <c r="O7" s="67" t="str">
        <f t="shared" ref="O7:O14" si="3">IF($N$5="成新度","——",ROUND(M7*N7,0))</f>
        <v>——</v>
      </c>
      <c r="P7" s="68" t="str">
        <f t="shared" ref="P7:P14" si="4">IF($N$5="成新度","——",M7-O7)</f>
        <v>——</v>
      </c>
      <c r="Q7" s="733">
        <v>0.15</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v>2.5000000000000001E-2</v>
      </c>
      <c r="W7" s="70">
        <v>0.1</v>
      </c>
      <c r="X7" s="1039"/>
      <c r="Y7" s="71">
        <f>Y6</f>
        <v>0.79</v>
      </c>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0.76200000000000001</v>
      </c>
      <c r="H16" s="90">
        <f>ROUND(SUMPRODUCT(H6:H13,K6:K13)/SUMPRODUCT((H6:H13&gt;0)*(K6:K13)),3)</f>
        <v>5.5E-2</v>
      </c>
      <c r="I16" s="91"/>
      <c r="J16" s="91"/>
      <c r="K16" s="92">
        <f>SUM(K6:K15)</f>
        <v>349.71</v>
      </c>
      <c r="L16" s="93">
        <f>ROUND(M16*10000/SUM(K6:K14),0)</f>
        <v>3203</v>
      </c>
      <c r="M16" s="93">
        <f>SUM(M6:M14)</f>
        <v>112</v>
      </c>
      <c r="N16" s="94">
        <f>ROUND(SUMPRODUCT(M6:M14,N6:N14)/M16,3)</f>
        <v>0.79</v>
      </c>
      <c r="O16" s="93">
        <f>SUM(O6:O14)</f>
        <v>0</v>
      </c>
      <c r="P16" s="93">
        <f>SUM(P6:P14)</f>
        <v>0</v>
      </c>
      <c r="Q16" s="95">
        <f>ROUND(SUMPRODUCT(Q6:Q13,K6:K13)/SUMPRODUCT((Q6:Q13&gt;0)*(K6:K13)),2)</f>
        <v>0.17</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v>2004</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1210</v>
      </c>
      <c r="B19" s="103">
        <v>0</v>
      </c>
      <c r="C19" s="2798" t="s">
        <v>2303</v>
      </c>
      <c r="D19" s="2675"/>
      <c r="E19" s="2672"/>
      <c r="F19" s="2672"/>
      <c r="G19" s="2672"/>
      <c r="H19" s="2672"/>
      <c r="I19" s="2672"/>
      <c r="J19" s="2672"/>
      <c r="K19" s="2671"/>
      <c r="L19" s="2671"/>
      <c r="M19" s="3789" t="s">
        <v>3391</v>
      </c>
      <c r="N19" s="2670">
        <f>ROUND(1-(1-0%)*(2023-N18)/60,2)</f>
        <v>0.68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1211</v>
      </c>
      <c r="B20" s="104">
        <v>2</v>
      </c>
      <c r="C20" s="2799" t="s">
        <v>2301</v>
      </c>
      <c r="D20" s="2675"/>
      <c r="E20" s="2672"/>
      <c r="F20" s="2672"/>
      <c r="G20" s="2672"/>
      <c r="H20" s="2672"/>
      <c r="I20" s="2672"/>
      <c r="J20" s="2672"/>
      <c r="K20" s="2671"/>
      <c r="L20" s="2671"/>
      <c r="M20" s="3789" t="s">
        <v>3392</v>
      </c>
      <c r="N20" s="2670">
        <v>0.9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1212</v>
      </c>
      <c r="B21" s="104">
        <v>2</v>
      </c>
      <c r="C21" s="2672"/>
      <c r="D21" s="2675"/>
      <c r="E21" s="2672"/>
      <c r="F21" s="2672"/>
      <c r="G21" s="2672"/>
      <c r="H21" s="2672"/>
      <c r="I21" s="2672"/>
      <c r="J21" s="2672"/>
      <c r="K21" s="2671"/>
      <c r="L21" s="2671"/>
      <c r="M21" s="3789" t="s">
        <v>3393</v>
      </c>
      <c r="N21" s="2670">
        <f>ROUND((N20+N19)/2,2)</f>
        <v>0.79</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1213</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1214</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1216</v>
      </c>
      <c r="B26" s="1725"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1219</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v>
      </c>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1229</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1230</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1235</v>
      </c>
      <c r="B44" s="119">
        <v>0.05</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1236</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1237</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1238</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1239</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1240</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1244</v>
      </c>
      <c r="B53" s="1737" t="s">
        <v>29</v>
      </c>
      <c r="C53" s="2660" t="s">
        <v>1245</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1246</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1247</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1248</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1249</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1250</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1251</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36" t="s">
        <v>2284</v>
      </c>
      <c r="B1" s="3537"/>
      <c r="C1" s="3537"/>
      <c r="D1" s="3537"/>
      <c r="E1" s="3537"/>
      <c r="F1" s="3537"/>
      <c r="G1" s="353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8"/>
      <c r="I2" s="798"/>
      <c r="J2" s="798"/>
      <c r="K2" s="798"/>
      <c r="L2" s="798"/>
      <c r="M2" s="798"/>
      <c r="N2" s="798"/>
      <c r="O2" s="798"/>
      <c r="P2" s="798"/>
      <c r="Q2" s="798"/>
      <c r="R2" s="798"/>
    </row>
    <row r="3" spans="1:29" ht="48">
      <c r="A3" s="2440" t="s">
        <v>2281</v>
      </c>
      <c r="B3" s="2462" t="s">
        <v>2250</v>
      </c>
      <c r="C3" s="2463" t="s">
        <v>2282</v>
      </c>
      <c r="D3" s="2464"/>
      <c r="E3" s="2441" t="s">
        <v>2281</v>
      </c>
      <c r="F3" s="2465" t="s">
        <v>2251</v>
      </c>
      <c r="G3" s="2466" t="s">
        <v>2283</v>
      </c>
      <c r="H3" s="798"/>
      <c r="I3" s="798"/>
      <c r="J3" s="798"/>
      <c r="K3" s="798"/>
      <c r="L3" s="798"/>
      <c r="M3" s="798"/>
      <c r="N3" s="798"/>
      <c r="O3" s="798"/>
      <c r="P3" s="798"/>
      <c r="Q3" s="798"/>
      <c r="R3" s="798"/>
    </row>
    <row r="4" spans="1:29" ht="36.75">
      <c r="A4" s="2441"/>
      <c r="B4" s="323" t="s">
        <v>2252</v>
      </c>
      <c r="C4" s="2467" t="s">
        <v>2253</v>
      </c>
      <c r="D4" s="2464"/>
      <c r="E4" s="2468"/>
      <c r="F4" s="1372" t="s">
        <v>2254</v>
      </c>
      <c r="G4" s="2469" t="s">
        <v>2255</v>
      </c>
      <c r="H4" s="798"/>
      <c r="I4" s="798"/>
      <c r="J4" s="798"/>
      <c r="K4" s="798"/>
      <c r="L4" s="798"/>
      <c r="M4" s="798"/>
      <c r="N4" s="798"/>
      <c r="O4" s="798"/>
      <c r="P4" s="798"/>
      <c r="Q4" s="798"/>
      <c r="R4" s="798"/>
    </row>
    <row r="5" spans="1:29" ht="36.75">
      <c r="A5" s="2441"/>
      <c r="B5" s="323" t="s">
        <v>2256</v>
      </c>
      <c r="C5" s="2467" t="s">
        <v>2257</v>
      </c>
      <c r="D5" s="2464"/>
      <c r="E5" s="2468"/>
      <c r="F5" s="323" t="s">
        <v>2258</v>
      </c>
      <c r="G5" s="2469" t="s">
        <v>2259</v>
      </c>
      <c r="H5" s="798"/>
      <c r="I5" s="798"/>
      <c r="J5" s="798"/>
      <c r="K5" s="798"/>
      <c r="L5" s="798"/>
      <c r="M5" s="798"/>
      <c r="N5" s="798"/>
      <c r="O5" s="798"/>
      <c r="P5" s="798"/>
      <c r="Q5" s="798"/>
      <c r="R5" s="798"/>
    </row>
    <row r="6" spans="1:29" ht="36">
      <c r="A6" s="2441"/>
      <c r="B6" s="323" t="s">
        <v>2260</v>
      </c>
      <c r="C6" s="2469" t="s">
        <v>2255</v>
      </c>
      <c r="D6" s="2464"/>
      <c r="E6" s="2468"/>
      <c r="F6" s="323" t="s">
        <v>2261</v>
      </c>
      <c r="G6" s="2469" t="s">
        <v>2262</v>
      </c>
      <c r="H6" s="798"/>
      <c r="I6" s="798"/>
      <c r="J6" s="798"/>
      <c r="K6" s="798"/>
      <c r="L6" s="798"/>
      <c r="M6" s="798"/>
      <c r="N6" s="798"/>
      <c r="O6" s="798"/>
      <c r="P6" s="798"/>
      <c r="Q6" s="798"/>
      <c r="R6" s="798"/>
    </row>
    <row r="7" spans="1:29" ht="24.75" thickBot="1">
      <c r="A7" s="2441"/>
      <c r="B7" s="323" t="s">
        <v>2258</v>
      </c>
      <c r="C7" s="2469" t="s">
        <v>2259</v>
      </c>
      <c r="D7" s="2470"/>
      <c r="E7" s="2471"/>
      <c r="F7" s="2472" t="s">
        <v>2263</v>
      </c>
      <c r="G7" s="2473" t="s">
        <v>2264</v>
      </c>
      <c r="H7" s="798"/>
      <c r="I7" s="798"/>
      <c r="J7" s="798"/>
      <c r="K7" s="798"/>
      <c r="L7" s="798"/>
      <c r="M7" s="798"/>
      <c r="N7" s="798"/>
      <c r="O7" s="798"/>
      <c r="P7" s="798"/>
      <c r="Q7" s="798"/>
      <c r="R7" s="798"/>
    </row>
    <row r="8" spans="1:29">
      <c r="A8" s="2441"/>
      <c r="B8" s="323" t="s">
        <v>2261</v>
      </c>
      <c r="C8" s="2469" t="s">
        <v>2262</v>
      </c>
      <c r="D8" s="2470"/>
      <c r="E8" s="2470"/>
      <c r="F8" s="2474"/>
      <c r="G8" s="2474"/>
      <c r="H8" s="798"/>
      <c r="I8" s="798"/>
      <c r="J8" s="798"/>
      <c r="K8" s="798"/>
      <c r="L8" s="798"/>
      <c r="M8" s="798"/>
      <c r="N8" s="798"/>
      <c r="O8" s="798"/>
      <c r="P8" s="798"/>
      <c r="Q8" s="798"/>
      <c r="R8" s="798"/>
    </row>
    <row r="9" spans="1:29" ht="24">
      <c r="A9" s="2441"/>
      <c r="B9" s="323" t="s">
        <v>2265</v>
      </c>
      <c r="C9" s="2467" t="s">
        <v>2266</v>
      </c>
      <c r="D9" s="2464"/>
      <c r="E9" s="2470"/>
      <c r="F9" s="2474"/>
      <c r="G9" s="2474"/>
      <c r="H9" s="798"/>
      <c r="I9" s="798"/>
      <c r="J9" s="798"/>
      <c r="K9" s="798"/>
      <c r="L9" s="798"/>
      <c r="M9" s="798"/>
      <c r="N9" s="798"/>
      <c r="O9" s="798"/>
      <c r="P9" s="798"/>
      <c r="Q9" s="798"/>
      <c r="R9" s="798"/>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8" customFormat="1" ht="15" thickBot="1">
      <c r="A23" s="2445"/>
      <c r="B23" s="2501" t="s">
        <v>2276</v>
      </c>
      <c r="C23" s="2504"/>
      <c r="D23" s="1740"/>
      <c r="E23" s="2447"/>
      <c r="F23" s="2505" t="s">
        <v>2277</v>
      </c>
      <c r="G23" s="2506"/>
      <c r="H23" s="2490"/>
      <c r="I23" s="2491"/>
      <c r="J23" s="2490"/>
      <c r="K23" s="2490"/>
      <c r="L23" s="2491"/>
      <c r="M23" s="2490"/>
      <c r="N23" s="2490"/>
      <c r="O23" s="2491"/>
      <c r="P23" s="2490"/>
      <c r="Q23" s="2490"/>
      <c r="R23" s="2492"/>
    </row>
    <row r="24" spans="1:18" s="798" customFormat="1" ht="15" thickBot="1">
      <c r="A24" s="2448"/>
      <c r="B24" s="2505" t="s">
        <v>2278</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5" sqref="H35"/>
    </sheetView>
  </sheetViews>
  <sheetFormatPr defaultColWidth="9" defaultRowHeight="13.5"/>
  <cols>
    <col min="1" max="1" width="25" style="2512" customWidth="1"/>
    <col min="2" max="9" width="15.75" style="2512" customWidth="1"/>
    <col min="10" max="16384" width="9" style="2512"/>
  </cols>
  <sheetData>
    <row r="1" spans="1:11" ht="16.5">
      <c r="A1" s="2511" t="s">
        <v>664</v>
      </c>
      <c r="B1" s="2511">
        <f>SUM(B14:B23)</f>
        <v>117.86</v>
      </c>
      <c r="C1" s="2685"/>
      <c r="D1" s="2685"/>
      <c r="E1" s="2685"/>
      <c r="F1" s="2685"/>
      <c r="G1" s="2686"/>
      <c r="H1" s="2687"/>
      <c r="I1" s="2687"/>
      <c r="J1" s="2687"/>
      <c r="K1" s="2687"/>
    </row>
    <row r="2" spans="1:11" ht="16.5">
      <c r="A2" s="2511" t="s">
        <v>652</v>
      </c>
      <c r="B2" s="2511">
        <f>SUM(C14:C23)</f>
        <v>0</v>
      </c>
      <c r="C2" s="2685"/>
      <c r="D2" s="2685"/>
      <c r="E2" s="2685"/>
      <c r="F2" s="2685"/>
      <c r="G2" s="2686"/>
      <c r="H2" s="2687"/>
      <c r="I2" s="2687"/>
      <c r="J2" s="2687"/>
      <c r="K2" s="2687"/>
    </row>
    <row r="3" spans="1:11" ht="16.5">
      <c r="A3" s="2511" t="s">
        <v>661</v>
      </c>
      <c r="B3" s="2513">
        <f>项目基本情况!D3</f>
        <v>45171</v>
      </c>
      <c r="C3" s="2685"/>
      <c r="D3" s="2685"/>
      <c r="E3" s="2685"/>
      <c r="F3" s="2685"/>
      <c r="G3" s="2686"/>
      <c r="H3" s="2687"/>
      <c r="I3" s="2687"/>
      <c r="J3" s="2687"/>
      <c r="K3" s="2687"/>
    </row>
    <row r="4" spans="1:11" ht="33">
      <c r="A4" s="2511" t="s">
        <v>660</v>
      </c>
      <c r="B4" s="2511" t="s">
        <v>659</v>
      </c>
      <c r="C4" s="2511" t="s">
        <v>658</v>
      </c>
      <c r="D4" s="2511" t="s">
        <v>657</v>
      </c>
      <c r="E4" s="2685"/>
      <c r="F4" s="2686"/>
      <c r="G4" s="2686"/>
      <c r="H4" s="2687"/>
      <c r="I4" s="2687"/>
      <c r="J4" s="2687"/>
      <c r="K4" s="2687"/>
    </row>
    <row r="5" spans="1:11" ht="16.5">
      <c r="A5" s="2511" t="s">
        <v>656</v>
      </c>
      <c r="B5" s="2511">
        <f ca="1">SUM(D14:D23)</f>
        <v>17994</v>
      </c>
      <c r="C5" s="2511">
        <f ca="1">IF(B5=D14,结果表!H102,ROUND(B5*10000/$B$1,0))</f>
        <v>17994</v>
      </c>
      <c r="D5" s="2511" t="e">
        <f ca="1">ROUND(B5*10000/$B$2,0)</f>
        <v>#DIV/0!</v>
      </c>
      <c r="E5" s="2685"/>
      <c r="F5" s="2686"/>
      <c r="G5" s="2686"/>
      <c r="H5" s="2687"/>
      <c r="I5" s="2687"/>
      <c r="J5" s="2687"/>
      <c r="K5" s="2687"/>
    </row>
    <row r="6" spans="1:11" ht="16.5">
      <c r="A6" s="2511" t="s">
        <v>655</v>
      </c>
      <c r="B6" s="2511">
        <f ca="1">SUM(G14:G23)</f>
        <v>17994</v>
      </c>
      <c r="C6" s="2511">
        <f ca="1">IF(B6=G14,结果表!H108,ROUND(B6*10000/$B$1,0))</f>
        <v>17994</v>
      </c>
      <c r="D6" s="2511" t="e">
        <f ca="1">ROUND(B6*10000/$B$2,0)</f>
        <v>#DIV/0!</v>
      </c>
      <c r="E6" s="2685"/>
      <c r="F6" s="2686"/>
      <c r="G6" s="2686"/>
      <c r="H6" s="2687"/>
      <c r="I6" s="2687"/>
      <c r="J6" s="2687"/>
      <c r="K6" s="2687"/>
    </row>
    <row r="7" spans="1:11" ht="16.5">
      <c r="A7" s="2511" t="s">
        <v>663</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654</v>
      </c>
      <c r="B9" s="2519"/>
      <c r="C9" s="2685"/>
      <c r="D9" s="2685"/>
      <c r="E9" s="2685"/>
      <c r="F9" s="2686"/>
      <c r="G9" s="2686"/>
      <c r="H9" s="2687"/>
      <c r="I9" s="2687"/>
      <c r="J9" s="2687"/>
      <c r="K9" s="2687"/>
    </row>
    <row r="10" spans="1:11" ht="16.5">
      <c r="A10" s="2511" t="s">
        <v>653</v>
      </c>
      <c r="B10" s="2511">
        <f>IF(E10="",0,ROUND(B1*(E10*365/G10)/10000,0))</f>
        <v>0</v>
      </c>
      <c r="C10" s="2511" t="s">
        <v>3360</v>
      </c>
      <c r="D10" s="2511" t="s">
        <v>3361</v>
      </c>
      <c r="E10" s="3440"/>
      <c r="F10" s="3444" t="s">
        <v>3362</v>
      </c>
      <c r="G10" s="3441"/>
      <c r="H10" s="2687"/>
      <c r="I10" s="2687"/>
      <c r="J10" s="2687"/>
      <c r="K10" s="2687"/>
    </row>
    <row r="11" spans="1:11" ht="16.5">
      <c r="A11" s="2511" t="s">
        <v>669</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668</v>
      </c>
      <c r="B13" s="2515" t="s">
        <v>665</v>
      </c>
      <c r="C13" s="2515" t="s">
        <v>667</v>
      </c>
      <c r="D13" s="2515" t="s">
        <v>666</v>
      </c>
      <c r="E13" s="2511" t="s">
        <v>658</v>
      </c>
      <c r="F13" s="2511" t="s">
        <v>657</v>
      </c>
      <c r="G13" s="2515" t="s">
        <v>651</v>
      </c>
      <c r="H13" s="2515" t="s">
        <v>662</v>
      </c>
      <c r="I13" s="2515" t="s">
        <v>650</v>
      </c>
      <c r="J13" s="2686"/>
      <c r="K13" s="2687"/>
    </row>
    <row r="14" spans="1:11" ht="16.5">
      <c r="A14" s="3798" t="str">
        <f>典型户型修正!A24</f>
        <v>33-7-1号</v>
      </c>
      <c r="B14" s="2517">
        <f>典型户型修正!B24</f>
        <v>117.86</v>
      </c>
      <c r="C14" s="2517"/>
      <c r="D14" s="2517">
        <f ca="1">典型户型修正!R24</f>
        <v>17994</v>
      </c>
      <c r="E14" s="2517">
        <f ca="1">ROUND(D14*10000/B14,0)</f>
        <v>1526727</v>
      </c>
      <c r="F14" s="2517" t="e">
        <f ca="1">ROUND(D14*10000/C14,0)</f>
        <v>#DIV/0!</v>
      </c>
      <c r="G14" s="2517">
        <f ca="1">D14</f>
        <v>17994</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37" sqref="J3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c r="D1" s="1746"/>
      <c r="E1" s="1746"/>
      <c r="F1" s="1748" t="s">
        <v>1262</v>
      </c>
      <c r="G1" s="1560"/>
      <c r="H1" s="1749" t="str">
        <f>IF(G1="现房","——","估价对象范围")</f>
        <v>估价对象范围</v>
      </c>
      <c r="I1" s="1750"/>
    </row>
    <row r="2" spans="1:12" ht="21.75" customHeight="1" thickBot="1">
      <c r="A2" s="3605" t="str">
        <f>项目基本情况!S2</f>
        <v>北京市平谷区平谷镇新开街33号房地产</v>
      </c>
      <c r="B2" s="3606"/>
      <c r="C2" s="3606"/>
      <c r="D2" s="3606"/>
      <c r="E2" s="3606"/>
      <c r="F2" s="3606"/>
      <c r="G2" s="3606"/>
      <c r="H2" s="3606"/>
      <c r="I2" s="3607"/>
    </row>
    <row r="3" spans="1:12" ht="12.75">
      <c r="A3" s="3609" t="s">
        <v>1263</v>
      </c>
      <c r="B3" s="3610"/>
      <c r="C3" s="3610"/>
      <c r="D3" s="3610"/>
      <c r="E3" s="3610"/>
      <c r="F3" s="3610"/>
      <c r="G3" s="3610"/>
      <c r="H3" s="3610"/>
      <c r="I3" s="3610"/>
    </row>
    <row r="4" spans="1:12" ht="14.25">
      <c r="A4" s="1753" t="s">
        <v>1264</v>
      </c>
      <c r="B4" s="1754" t="s">
        <v>1265</v>
      </c>
      <c r="C4" s="1755" t="s">
        <v>3429</v>
      </c>
      <c r="D4" s="1755" t="s">
        <v>3394</v>
      </c>
      <c r="E4" s="3614" t="s">
        <v>1266</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1267</v>
      </c>
      <c r="B5" s="3608">
        <v>25</v>
      </c>
      <c r="C5" s="3611"/>
      <c r="D5" s="3599"/>
      <c r="E5" s="131" t="s">
        <v>1268</v>
      </c>
      <c r="F5" s="1756"/>
      <c r="G5" s="1756"/>
      <c r="H5" s="1756"/>
      <c r="I5" s="1372"/>
    </row>
    <row r="6" spans="1:12" ht="12.75">
      <c r="A6" s="3553"/>
      <c r="B6" s="3608"/>
      <c r="C6" s="3613"/>
      <c r="D6" s="3599"/>
      <c r="E6" s="131" t="s">
        <v>1269</v>
      </c>
      <c r="F6" s="1756"/>
      <c r="G6" s="1756"/>
      <c r="H6" s="1756"/>
      <c r="I6" s="1372"/>
    </row>
    <row r="7" spans="1:12" ht="12.75">
      <c r="A7" s="3553"/>
      <c r="B7" s="3608"/>
      <c r="C7" s="3612"/>
      <c r="D7" s="3599"/>
      <c r="E7" s="131" t="s">
        <v>1270</v>
      </c>
      <c r="F7" s="1756"/>
      <c r="G7" s="1756"/>
      <c r="H7" s="1756"/>
      <c r="I7" s="1372"/>
    </row>
    <row r="8" spans="1:12" ht="12.75">
      <c r="A8" s="3553" t="s">
        <v>1271</v>
      </c>
      <c r="B8" s="3608">
        <v>15</v>
      </c>
      <c r="C8" s="3611"/>
      <c r="D8" s="3599"/>
      <c r="E8" s="131" t="s">
        <v>1272</v>
      </c>
      <c r="F8" s="1756"/>
      <c r="G8" s="1756"/>
      <c r="H8" s="1756"/>
      <c r="I8" s="1372"/>
    </row>
    <row r="9" spans="1:12" ht="12.75">
      <c r="A9" s="3553"/>
      <c r="B9" s="3608"/>
      <c r="C9" s="3612"/>
      <c r="D9" s="3599"/>
      <c r="E9" s="131" t="s">
        <v>1273</v>
      </c>
      <c r="F9" s="1756"/>
      <c r="G9" s="1756"/>
      <c r="H9" s="1756"/>
      <c r="I9" s="1372"/>
    </row>
    <row r="10" spans="1:12" ht="12.75">
      <c r="A10" s="3553" t="s">
        <v>1274</v>
      </c>
      <c r="B10" s="3608">
        <v>15</v>
      </c>
      <c r="C10" s="3611"/>
      <c r="D10" s="3599"/>
      <c r="E10" s="131" t="s">
        <v>1275</v>
      </c>
      <c r="F10" s="1756"/>
      <c r="G10" s="1756"/>
      <c r="H10" s="1756"/>
      <c r="I10" s="1372"/>
    </row>
    <row r="11" spans="1:12" ht="12.75">
      <c r="A11" s="3553"/>
      <c r="B11" s="3608"/>
      <c r="C11" s="3612"/>
      <c r="D11" s="3599"/>
      <c r="E11" s="131" t="s">
        <v>1276</v>
      </c>
      <c r="F11" s="1756"/>
      <c r="G11" s="1756"/>
      <c r="H11" s="1756"/>
      <c r="I11" s="1372"/>
    </row>
    <row r="12" spans="1:12" ht="12.75">
      <c r="A12" s="3553" t="s">
        <v>1277</v>
      </c>
      <c r="B12" s="3608">
        <v>15</v>
      </c>
      <c r="C12" s="3611"/>
      <c r="D12" s="3599"/>
      <c r="E12" s="131" t="s">
        <v>1278</v>
      </c>
      <c r="F12" s="1756"/>
      <c r="G12" s="1756"/>
      <c r="H12" s="1756"/>
      <c r="I12" s="1372"/>
    </row>
    <row r="13" spans="1:12" ht="12.75">
      <c r="A13" s="3553"/>
      <c r="B13" s="3608"/>
      <c r="C13" s="3612"/>
      <c r="D13" s="3599"/>
      <c r="E13" s="131" t="s">
        <v>1279</v>
      </c>
      <c r="F13" s="1756"/>
      <c r="G13" s="1756"/>
      <c r="H13" s="1756"/>
      <c r="I13" s="1372"/>
    </row>
    <row r="14" spans="1:12" ht="12.75">
      <c r="A14" s="3553" t="s">
        <v>1280</v>
      </c>
      <c r="B14" s="3608">
        <v>30</v>
      </c>
      <c r="C14" s="3611">
        <v>5</v>
      </c>
      <c r="D14" s="3599">
        <v>5</v>
      </c>
      <c r="E14" s="131" t="s">
        <v>1281</v>
      </c>
      <c r="F14" s="1756"/>
      <c r="G14" s="1756"/>
      <c r="H14" s="1756"/>
      <c r="I14" s="1372"/>
    </row>
    <row r="15" spans="1:12" ht="12.75">
      <c r="A15" s="3553"/>
      <c r="B15" s="3608"/>
      <c r="C15" s="3613"/>
      <c r="D15" s="3599"/>
      <c r="E15" s="131" t="s">
        <v>1282</v>
      </c>
      <c r="F15" s="1756"/>
      <c r="G15" s="1756"/>
      <c r="H15" s="1756"/>
      <c r="I15" s="1372"/>
    </row>
    <row r="16" spans="1:12" ht="12.75">
      <c r="A16" s="3553"/>
      <c r="B16" s="3608"/>
      <c r="C16" s="3612"/>
      <c r="D16" s="3599"/>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630" t="s">
        <v>2129</v>
      </c>
      <c r="F18" s="3631"/>
      <c r="G18" s="3631"/>
      <c r="H18" s="3631"/>
      <c r="I18" s="3631"/>
      <c r="K18" s="302" t="s">
        <v>1288</v>
      </c>
      <c r="L18" s="302">
        <f>IF(C1="",'数据-汇总表'!E3,SUMIF(项目类型,C1,'数据-汇总表'!E17:E26)+SUMIF(项目类型,C1,'数据-汇总表'!I17:I26))</f>
        <v>349.71</v>
      </c>
      <c r="M18" s="302">
        <f>IF(C1="",'数据-汇总表'!E3,SUMIF(项目类型,C1,'数据-汇总表'!E17:E26))</f>
        <v>349.71</v>
      </c>
    </row>
    <row r="19" spans="1:36" ht="15">
      <c r="A19" s="1760" t="s">
        <v>1289</v>
      </c>
      <c r="B19" s="1761" t="s">
        <v>1290</v>
      </c>
      <c r="C19" s="134">
        <f ca="1">SUMIF(INDIRECT("'"&amp;C4&amp;"'"&amp;"!A:A"),结果表!B19,INDIRECT("'"&amp;C4&amp;"'"&amp;"!B:B"))</f>
        <v>223.54509999999999</v>
      </c>
      <c r="D19" s="135">
        <f ca="1">SUMIF(INDIRECT("'"&amp;D4&amp;"'"&amp;"!A:A"),结果表!B19,INDIRECT("'"&amp;D4&amp;"'"&amp;"!B:B"))</f>
        <v>200.60220000000001</v>
      </c>
      <c r="E19" s="1760" t="s">
        <v>1291</v>
      </c>
      <c r="F19" s="1761" t="s">
        <v>1290</v>
      </c>
      <c r="G19" s="136">
        <f ca="1">ROUND(C19*$C$18+D19*$D$18,0)</f>
        <v>212</v>
      </c>
      <c r="H19" s="1762"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3"/>
      <c r="B20" s="1025" t="s">
        <v>1294</v>
      </c>
      <c r="C20" s="137">
        <f ca="1">SUMIF(INDIRECT("'"&amp;C4&amp;"'"&amp;"!A:A"),结果表!B20,INDIRECT("'"&amp;C4&amp;"'"&amp;"!B:B"))</f>
        <v>18967</v>
      </c>
      <c r="D20" s="138">
        <f ca="1">SUMIF(INDIRECT("'"&amp;D4&amp;"'"&amp;"!A:A"),结果表!B20,INDIRECT("'"&amp;D4&amp;"'"&amp;"!B:B"))</f>
        <v>17020</v>
      </c>
      <c r="E20" s="1763"/>
      <c r="F20" s="1025" t="s">
        <v>1294</v>
      </c>
      <c r="G20" s="139">
        <f ca="1">ROUND(C20*$C$18+D20*$D$18,0)</f>
        <v>17994</v>
      </c>
      <c r="H20" s="807" t="s">
        <v>1295</v>
      </c>
      <c r="I20" s="129"/>
    </row>
    <row r="21" spans="1:36" ht="15" customHeight="1" thickBot="1">
      <c r="A21" s="827"/>
      <c r="B21" s="1764" t="s">
        <v>1296</v>
      </c>
      <c r="C21" s="718" t="e">
        <f ca="1">ROUND(C19*10000/L19,0)</f>
        <v>#DIV/0!</v>
      </c>
      <c r="D21" s="719" t="e">
        <f ca="1">ROUND(D19*10000/L19,0)</f>
        <v>#DIV/0!</v>
      </c>
      <c r="E21" s="827"/>
      <c r="F21" s="1764" t="s">
        <v>1296</v>
      </c>
      <c r="G21" s="140" t="e">
        <f ca="1">ROUND(G19*10000/L19,0)</f>
        <v>#DIV/0!</v>
      </c>
      <c r="H21" s="1765" t="s">
        <v>1295</v>
      </c>
      <c r="I21" s="129"/>
    </row>
    <row r="22" spans="1:36" ht="15" thickBot="1">
      <c r="A22" s="1687" t="s">
        <v>1297</v>
      </c>
      <c r="B22" s="1766"/>
      <c r="C22" s="1767"/>
      <c r="D22" s="720">
        <f ca="1">IF(C19&lt;D19,D19/C19-1,C19/D19-1)</f>
        <v>0.11437013153395115</v>
      </c>
      <c r="E22" s="129"/>
      <c r="F22" s="129"/>
      <c r="G22" s="129"/>
      <c r="H22" s="129"/>
      <c r="I22" s="129"/>
    </row>
    <row r="23" spans="1:36" ht="13.5" thickBot="1">
      <c r="A23" s="1746"/>
      <c r="B23" s="1746"/>
      <c r="C23" s="1746"/>
      <c r="D23" s="1746"/>
      <c r="E23" s="129"/>
      <c r="F23" s="129"/>
      <c r="G23" s="129"/>
      <c r="H23" s="129"/>
      <c r="I23" s="129"/>
    </row>
    <row r="24" spans="1:36" ht="14.25">
      <c r="A24" s="3623" t="s">
        <v>1298</v>
      </c>
      <c r="B24" s="1761" t="s">
        <v>1290</v>
      </c>
      <c r="C24" s="136">
        <f>IF(B30=0,0,D30)</f>
        <v>0</v>
      </c>
      <c r="D24" s="1768"/>
      <c r="E24" s="129"/>
      <c r="F24" s="129"/>
      <c r="G24" s="129"/>
      <c r="H24" s="129"/>
      <c r="I24" s="129"/>
    </row>
    <row r="25" spans="1:36" ht="14.25">
      <c r="A25" s="3624"/>
      <c r="B25" s="1025"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17994</v>
      </c>
      <c r="D32" s="1774" t="s">
        <v>3430</v>
      </c>
      <c r="E32" s="129"/>
      <c r="F32" s="129"/>
      <c r="G32" s="129"/>
      <c r="H32" s="129"/>
      <c r="I32" s="129"/>
    </row>
    <row r="33" spans="1:15" ht="15">
      <c r="A33" s="785" t="s">
        <v>1305</v>
      </c>
      <c r="B33" s="1775"/>
      <c r="C33" s="1776" t="s">
        <v>3431</v>
      </c>
      <c r="D33" s="1777"/>
      <c r="E33" s="1778" t="s">
        <v>1306</v>
      </c>
      <c r="F33" s="1779" t="str">
        <f>IF(D32="楼面单价","取值（单价）","取值（总价）")</f>
        <v>取值（单价）</v>
      </c>
      <c r="G33" s="129"/>
      <c r="H33" s="129"/>
      <c r="I33" s="129"/>
    </row>
    <row r="34" spans="1:15" ht="15">
      <c r="A34" s="1780"/>
      <c r="B34" s="1781" t="s">
        <v>1307</v>
      </c>
      <c r="C34" s="148">
        <f>IF(C33="自定义",F34,C32-C35)</f>
        <v>0</v>
      </c>
      <c r="D34" s="860">
        <f ca="1">IF(C33="自定义",ROUND(C34/C32,3),IF(C33="收益比率",SUMIF(INDIRECT("'"&amp;D33&amp;"'"&amp;"!b:b"),"土地收益比率",INDIRECT("'"&amp;D33&amp;"'"&amp;"!c:c")),SUMIF(INDIRECT("'"&amp;D33&amp;"'"&amp;"!b:b"),"土地成本比率",INDIRECT("'"&amp;D33&amp;"'"&amp;"!c:c"))))</f>
        <v>0</v>
      </c>
      <c r="E34" s="1782" t="s">
        <v>1308</v>
      </c>
      <c r="F34" s="1329"/>
      <c r="G34" s="129"/>
      <c r="H34" s="129"/>
      <c r="I34" s="129"/>
    </row>
    <row r="35" spans="1:15" ht="15.75" thickBot="1">
      <c r="A35" s="1783"/>
      <c r="B35" s="1784" t="s">
        <v>1309</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1310</v>
      </c>
      <c r="F35" s="154"/>
      <c r="G35" s="129"/>
      <c r="H35" s="129"/>
      <c r="I35" s="129"/>
    </row>
    <row r="36" spans="1:15" ht="15.75" thickBot="1">
      <c r="A36" s="3600" t="s">
        <v>1311</v>
      </c>
      <c r="B36" s="1786" t="s">
        <v>1312</v>
      </c>
      <c r="C36" s="145"/>
      <c r="D36" s="1787"/>
      <c r="E36" s="1788"/>
      <c r="F36" s="1789"/>
      <c r="G36" s="129"/>
      <c r="H36" s="129"/>
      <c r="I36" s="129"/>
    </row>
    <row r="37" spans="1:15" ht="15.75" thickBot="1">
      <c r="A37" s="3601"/>
      <c r="B37" s="1673" t="s">
        <v>1313</v>
      </c>
      <c r="C37" s="147"/>
      <c r="D37" s="1138"/>
      <c r="E37" s="1138"/>
      <c r="F37" s="1789"/>
      <c r="G37" s="129"/>
      <c r="H37" s="129"/>
      <c r="I37" s="129"/>
    </row>
    <row r="38" spans="1:15" ht="15.75" thickBot="1">
      <c r="A38" s="3602"/>
      <c r="B38" s="1790" t="s">
        <v>1314</v>
      </c>
      <c r="C38" s="673"/>
      <c r="D38" s="1791" t="s">
        <v>1315</v>
      </c>
      <c r="E38" s="1138"/>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620" t="s">
        <v>1325</v>
      </c>
      <c r="B45" s="3621"/>
      <c r="C45" s="3622"/>
      <c r="D45" s="155">
        <f ca="1">ROUND(H101*F45,0)</f>
        <v>629</v>
      </c>
      <c r="E45" s="156" t="s">
        <v>1326</v>
      </c>
      <c r="F45" s="157">
        <v>1</v>
      </c>
      <c r="G45" s="158" t="s">
        <v>1327</v>
      </c>
      <c r="H45" s="129"/>
      <c r="I45" s="129"/>
      <c r="J45" s="3540" t="s">
        <v>1328</v>
      </c>
      <c r="K45" s="3540"/>
      <c r="L45" s="3540"/>
      <c r="M45" s="3540"/>
      <c r="N45" s="3540"/>
      <c r="O45" s="3540"/>
    </row>
    <row r="46" spans="1:15" ht="14.25" customHeight="1">
      <c r="A46" s="3617" t="s">
        <v>1329</v>
      </c>
      <c r="B46" s="3618"/>
      <c r="C46" s="3618"/>
      <c r="D46" s="3618"/>
      <c r="E46" s="3618"/>
      <c r="F46" s="3618"/>
      <c r="G46" s="3619"/>
      <c r="H46" s="1805"/>
      <c r="I46" s="159"/>
      <c r="J46" s="2522">
        <v>1</v>
      </c>
      <c r="K46" s="3541" t="s">
        <v>1330</v>
      </c>
      <c r="L46" s="3541"/>
      <c r="M46" s="3542"/>
      <c r="N46" s="3542"/>
      <c r="O46" s="3542"/>
    </row>
    <row r="47" spans="1:15" ht="12" customHeight="1">
      <c r="A47" s="160" t="s">
        <v>1331</v>
      </c>
      <c r="B47" s="161"/>
      <c r="C47" s="162"/>
      <c r="D47" s="1086" t="s">
        <v>1332</v>
      </c>
      <c r="E47" s="302" t="s">
        <v>1333</v>
      </c>
      <c r="F47" s="163" t="s">
        <v>1334</v>
      </c>
      <c r="G47" s="2545" t="s">
        <v>1335</v>
      </c>
      <c r="H47" s="2546"/>
      <c r="I47" s="159"/>
      <c r="J47" s="2522">
        <v>2</v>
      </c>
      <c r="K47" s="3541" t="s">
        <v>1336</v>
      </c>
      <c r="L47" s="3541"/>
      <c r="M47" s="3543">
        <f>'数据-取费表'!B2</f>
        <v>45171</v>
      </c>
      <c r="N47" s="3543"/>
      <c r="O47" s="3543"/>
    </row>
    <row r="48" spans="1:15" ht="25.5">
      <c r="A48" s="3603" t="s">
        <v>1337</v>
      </c>
      <c r="B48" s="3604"/>
      <c r="C48" s="360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1338</v>
      </c>
      <c r="H48" s="2549"/>
      <c r="I48" s="1805"/>
      <c r="J48" s="2522">
        <v>3</v>
      </c>
      <c r="K48" s="3541" t="s">
        <v>1339</v>
      </c>
      <c r="L48" s="3541"/>
      <c r="M48" s="3544">
        <f ca="1">H101</f>
        <v>629</v>
      </c>
      <c r="N48" s="3544"/>
      <c r="O48" s="3544"/>
    </row>
    <row r="49" spans="1:35" ht="25.5" customHeight="1">
      <c r="A49" s="2332" t="s">
        <v>1340</v>
      </c>
      <c r="B49" s="3589" t="s">
        <v>1341</v>
      </c>
      <c r="C49" s="3589"/>
      <c r="D49" s="1589">
        <v>0</v>
      </c>
      <c r="E49" s="324" t="s">
        <v>1342</v>
      </c>
      <c r="F49" s="2423" t="s">
        <v>28</v>
      </c>
      <c r="G49" s="3572"/>
      <c r="H49" s="2309" t="s">
        <v>2132</v>
      </c>
      <c r="I49" s="2310"/>
      <c r="J49" s="2522">
        <v>4</v>
      </c>
      <c r="K49" s="3541" t="str">
        <f>IF(项目基本情况!E8="房地产抵押价值","房地产抵押价值","抵押担保权已注销时的房地产抵押价值")</f>
        <v>房地产抵押价值</v>
      </c>
      <c r="L49" s="3541"/>
      <c r="M49" s="3544">
        <f ca="1">IF(项目基本情况!E8="房地产抵押价值",H107,H109)</f>
        <v>629</v>
      </c>
      <c r="N49" s="3544"/>
      <c r="O49" s="3544"/>
    </row>
    <row r="50" spans="1:35" ht="25.5" customHeight="1">
      <c r="A50" s="2550"/>
      <c r="B50" s="3589" t="s">
        <v>1343</v>
      </c>
      <c r="C50" s="3589"/>
      <c r="D50" s="2551"/>
      <c r="E50" s="332"/>
      <c r="F50" s="2423"/>
      <c r="G50" s="3573"/>
      <c r="H50" s="2311" t="s">
        <v>2133</v>
      </c>
      <c r="I50" s="2310"/>
      <c r="J50" s="3540" t="s">
        <v>1344</v>
      </c>
      <c r="K50" s="3540"/>
      <c r="L50" s="3540"/>
      <c r="M50" s="3540"/>
      <c r="N50" s="3540"/>
      <c r="O50" s="3540"/>
    </row>
    <row r="51" spans="1:35" ht="20.45" customHeight="1">
      <c r="A51" s="2552"/>
      <c r="B51" s="3589" t="s">
        <v>1345</v>
      </c>
      <c r="C51" s="3589"/>
      <c r="D51" s="1086"/>
      <c r="E51" s="327"/>
      <c r="F51" s="2423"/>
      <c r="G51" s="3574"/>
      <c r="H51" s="2311" t="s">
        <v>2134</v>
      </c>
      <c r="I51" s="2310"/>
      <c r="J51" s="2523" t="s">
        <v>1346</v>
      </c>
      <c r="K51" s="3541" t="s">
        <v>1347</v>
      </c>
      <c r="L51" s="3541"/>
      <c r="M51" s="2523" t="s">
        <v>1348</v>
      </c>
      <c r="N51" s="2523" t="s">
        <v>1349</v>
      </c>
      <c r="O51" s="2523" t="s">
        <v>1350</v>
      </c>
    </row>
    <row r="52" spans="1:35" ht="24" customHeight="1">
      <c r="A52" s="2334" t="s">
        <v>1351</v>
      </c>
      <c r="B52" s="3589" t="s">
        <v>1352</v>
      </c>
      <c r="C52" s="3589"/>
      <c r="D52" s="1086">
        <f ca="1">ROUND(D45*'数据-取费表'!B41/(1+'数据-取费表'!C42),0)</f>
        <v>33</v>
      </c>
      <c r="E52" s="2333" t="s">
        <v>1353</v>
      </c>
      <c r="F52" s="2553">
        <f>'数据-取费表'!B41</f>
        <v>5.5000000000000007E-2</v>
      </c>
      <c r="G52" s="2554"/>
      <c r="H52" s="2543"/>
      <c r="I52" s="1806"/>
      <c r="J52" s="2522">
        <v>1</v>
      </c>
      <c r="K52" s="3566" t="s">
        <v>1354</v>
      </c>
      <c r="L52" s="3566"/>
      <c r="M52" s="2524" t="b">
        <f>D48</f>
        <v>0</v>
      </c>
      <c r="N52" s="2522" t="str">
        <f>E48</f>
        <v>销售额×税（费）率</v>
      </c>
      <c r="O52" s="2525">
        <f>F48</f>
        <v>5.5000000000000007E-2</v>
      </c>
    </row>
    <row r="53" spans="1:35" ht="12" customHeight="1">
      <c r="A53" s="2334" t="s">
        <v>1355</v>
      </c>
      <c r="B53" s="3590" t="s">
        <v>2289</v>
      </c>
      <c r="C53" s="3591"/>
      <c r="D53" s="1086">
        <f ca="1">ROUND(D45*'数据-取费表'!B41/(1+'数据-取费表'!C42),0)</f>
        <v>33</v>
      </c>
      <c r="E53" s="2333" t="s">
        <v>1353</v>
      </c>
      <c r="F53" s="2553">
        <f>'数据-取费表'!B41</f>
        <v>5.5000000000000007E-2</v>
      </c>
      <c r="G53" s="2554"/>
      <c r="H53" s="2543"/>
      <c r="I53" s="1806"/>
      <c r="J53" s="2522">
        <v>2</v>
      </c>
      <c r="K53" s="3566" t="s">
        <v>1356</v>
      </c>
      <c r="L53" s="3566"/>
      <c r="M53" s="2524">
        <f t="shared" ref="M53:O54" ca="1" si="0">D55</f>
        <v>0</v>
      </c>
      <c r="N53" s="2522" t="str">
        <f t="shared" si="0"/>
        <v>销售额×税（费）率</v>
      </c>
      <c r="O53" s="2525" t="str">
        <f t="shared" si="0"/>
        <v>免征</v>
      </c>
    </row>
    <row r="54" spans="1:35" ht="12" customHeight="1">
      <c r="A54" s="2334" t="s">
        <v>1357</v>
      </c>
      <c r="B54" s="3590" t="s">
        <v>2290</v>
      </c>
      <c r="C54" s="3591"/>
      <c r="D54" s="1086">
        <f ca="1">C68</f>
        <v>33</v>
      </c>
      <c r="E54" s="327" t="s">
        <v>1358</v>
      </c>
      <c r="F54" s="2553">
        <f>'数据-取费表'!B41</f>
        <v>5.5000000000000007E-2</v>
      </c>
      <c r="G54" s="2554"/>
      <c r="H54" s="2555"/>
      <c r="I54" s="1806"/>
      <c r="J54" s="2522">
        <v>3</v>
      </c>
      <c r="K54" s="3566" t="s">
        <v>1359</v>
      </c>
      <c r="L54" s="3566"/>
      <c r="M54" s="2524">
        <f t="shared" ca="1" si="0"/>
        <v>357</v>
      </c>
      <c r="N54" s="2522" t="str">
        <f t="shared" si="0"/>
        <v>增值额×税（费）率</v>
      </c>
      <c r="O54" s="2526" t="str">
        <f t="shared" si="0"/>
        <v>免征</v>
      </c>
    </row>
    <row r="55" spans="1:35" ht="24" customHeight="1">
      <c r="A55" s="3626" t="s">
        <v>1360</v>
      </c>
      <c r="B55" s="3604"/>
      <c r="C55" s="3604"/>
      <c r="D55" s="2323">
        <f ca="1">IF(H55="个人住宅",0,ROUND(D45*I55,0))</f>
        <v>0</v>
      </c>
      <c r="E55" s="2333" t="s">
        <v>1361</v>
      </c>
      <c r="F55" s="2553" t="str">
        <f>IF(H55="正常",I55,"免征")</f>
        <v>免征</v>
      </c>
      <c r="G55" s="2554"/>
      <c r="H55" s="2549"/>
      <c r="I55" s="165">
        <f>'数据-取费表'!B49</f>
        <v>5.0000000000000001E-4</v>
      </c>
      <c r="J55" s="2522">
        <f>IF(H59="非个人房产","",4)</f>
        <v>4</v>
      </c>
      <c r="K55" s="3566" t="str">
        <f>IF(H59="非个人房产","——","个人所得税")</f>
        <v>个人所得税</v>
      </c>
      <c r="L55" s="3566"/>
      <c r="M55" s="2527">
        <f ca="1">D59</f>
        <v>6</v>
      </c>
      <c r="N55" s="2039" t="str">
        <f>E59</f>
        <v>差额计税</v>
      </c>
      <c r="O55" s="2528">
        <f>F59</f>
        <v>0.01</v>
      </c>
    </row>
    <row r="56" spans="1:35" ht="24.75">
      <c r="A56" s="3626" t="s">
        <v>1362</v>
      </c>
      <c r="B56" s="3604"/>
      <c r="C56" s="3604"/>
      <c r="D56" s="2323">
        <f ca="1">IF(H56="个人住宅",D57,D58)</f>
        <v>357</v>
      </c>
      <c r="E56" s="2333" t="s">
        <v>1363</v>
      </c>
      <c r="F56" s="2553" t="str">
        <f>IF(H56="正常",F58,"免征")</f>
        <v>免征</v>
      </c>
      <c r="G56" s="2556" t="s">
        <v>1364</v>
      </c>
      <c r="H56" s="2557"/>
      <c r="I56" s="1807"/>
      <c r="J56" s="2522" t="str">
        <f>IF(项目基本情况!K6="上海银行",IF(J55="",4,J55+1),"")</f>
        <v/>
      </c>
      <c r="K56" s="3547" t="str">
        <f>IF(项目基本情况!K6="上海银行","其他处置费用","")</f>
        <v/>
      </c>
      <c r="L56" s="3548"/>
      <c r="M56" s="2524" t="str">
        <f>IF(项目基本情况!K6="上海银行",M69,"")</f>
        <v/>
      </c>
      <c r="N56" s="3547" t="str">
        <f>IF(项目基本情况!K6="上海银行","包含处置中涉及的律师、诉讼、拍卖、评估等费用","")</f>
        <v/>
      </c>
      <c r="O56" s="3550"/>
    </row>
    <row r="57" spans="1:35" ht="12.75">
      <c r="A57" s="2334" t="s">
        <v>1340</v>
      </c>
      <c r="B57" s="3590" t="s">
        <v>1365</v>
      </c>
      <c r="C57" s="3591"/>
      <c r="D57" s="1589">
        <v>0</v>
      </c>
      <c r="E57" s="324" t="s">
        <v>1342</v>
      </c>
      <c r="F57" s="302"/>
      <c r="G57" s="2554"/>
      <c r="H57" s="2558"/>
      <c r="I57" s="1807"/>
      <c r="J57" s="3566">
        <f>IF(AND(J55="",J56=""),4,IF(项目基本情况!K6="上海银行",结果表!J56+1,结果表!J55+1))</f>
        <v>5</v>
      </c>
      <c r="K57" s="3566" t="s">
        <v>1366</v>
      </c>
      <c r="L57" s="2529" t="s">
        <v>1367</v>
      </c>
      <c r="M57" s="2530"/>
      <c r="N57" s="2531">
        <f ca="1">SUMIF(M52:M56,"&lt;9e307")</f>
        <v>363</v>
      </c>
      <c r="O57" s="2532"/>
      <c r="P57" s="2689">
        <f ca="1">N57/M49</f>
        <v>0.57710651828298887</v>
      </c>
    </row>
    <row r="58" spans="1:35" ht="24.75">
      <c r="A58" s="2334" t="s">
        <v>1351</v>
      </c>
      <c r="B58" s="3590" t="s">
        <v>1368</v>
      </c>
      <c r="C58" s="3589"/>
      <c r="D58" s="2323">
        <f ca="1">IF(H58="转让取得",C81,C97)</f>
        <v>357</v>
      </c>
      <c r="E58" s="2333" t="s">
        <v>1363</v>
      </c>
      <c r="F58" s="302" t="s">
        <v>28</v>
      </c>
      <c r="G58" s="2554"/>
      <c r="H58" s="2557"/>
      <c r="I58" s="1807"/>
      <c r="J58" s="3566"/>
      <c r="K58" s="3566"/>
      <c r="L58" s="2529" t="s">
        <v>1369</v>
      </c>
      <c r="M58" s="2533"/>
      <c r="N58" s="2534" t="str">
        <f ca="1">NUMBERSTRING(INT(N57*10000),2)&amp;"元整"</f>
        <v>叁佰陆拾叁万元整</v>
      </c>
      <c r="O58" s="2535"/>
    </row>
    <row r="59" spans="1:35" ht="24.75" thickBot="1">
      <c r="A59" s="3570" t="s">
        <v>1370</v>
      </c>
      <c r="B59" s="3571"/>
      <c r="C59" s="3571"/>
      <c r="D59" s="2559">
        <f ca="1">IF(H59="非个人房产","——",IF(H59="个人住宅（满五唯一有凭证）",0,IF(H59="个人其他（无凭证）",ROUND(D45*F59,0),ROUND(C67*F59,0))))</f>
        <v>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3"/>
      <c r="I59" s="2312" t="s">
        <v>2135</v>
      </c>
      <c r="J59" s="3568">
        <f>J57+1</f>
        <v>6</v>
      </c>
      <c r="K59" s="3566" t="s">
        <v>1371</v>
      </c>
      <c r="L59" s="2522" t="s">
        <v>1367</v>
      </c>
      <c r="M59" s="2536"/>
      <c r="N59" s="2537">
        <f ca="1">M49-N57</f>
        <v>266</v>
      </c>
      <c r="O59" s="2538"/>
    </row>
    <row r="60" spans="1:35" ht="12" customHeight="1">
      <c r="A60" s="1808"/>
      <c r="B60" s="1746"/>
      <c r="C60" s="1746"/>
      <c r="D60" s="1746"/>
      <c r="E60" s="1577"/>
      <c r="F60" s="1807"/>
      <c r="G60" s="1807"/>
      <c r="H60" s="1809"/>
      <c r="I60" s="129"/>
      <c r="J60" s="3569"/>
      <c r="K60" s="3566"/>
      <c r="L60" s="2529" t="s">
        <v>1369</v>
      </c>
      <c r="M60" s="2533"/>
      <c r="N60" s="2534" t="str">
        <f ca="1">NUMBERSTRING(INT(N59*10000),2)&amp;"元整"</f>
        <v>贰佰陆拾陆万元整</v>
      </c>
      <c r="O60" s="2535"/>
    </row>
    <row r="61" spans="1:35" ht="13.5" thickBot="1">
      <c r="A61" s="3625" t="s">
        <v>1372</v>
      </c>
      <c r="B61" s="3625"/>
      <c r="C61" s="3625"/>
      <c r="D61" s="3625"/>
      <c r="E61" s="3625"/>
      <c r="F61" s="1807"/>
      <c r="G61" s="1807"/>
      <c r="H61" s="1809"/>
      <c r="I61" s="129"/>
      <c r="J61" s="2522">
        <f>J59+1</f>
        <v>7</v>
      </c>
      <c r="K61" s="3566" t="s">
        <v>1373</v>
      </c>
      <c r="L61" s="3566"/>
      <c r="M61" s="2539"/>
      <c r="N61" s="2540">
        <f ca="1">ROUND(N59*10000/'数据-汇总表'!E3,0)</f>
        <v>7606</v>
      </c>
      <c r="O61" s="2541"/>
    </row>
    <row r="62" spans="1:35" ht="12.75">
      <c r="A62" s="3585" t="s">
        <v>1374</v>
      </c>
      <c r="B62" s="3586"/>
      <c r="C62" s="2020"/>
      <c r="D62" s="2020" t="s">
        <v>1375</v>
      </c>
      <c r="E62" s="166" t="s">
        <v>1376</v>
      </c>
      <c r="F62" s="1807"/>
      <c r="G62" s="1807"/>
      <c r="H62" s="1809"/>
      <c r="I62" s="129"/>
    </row>
    <row r="63" spans="1:35" ht="12.75">
      <c r="A63" s="173" t="s">
        <v>330</v>
      </c>
      <c r="B63" s="167" t="s">
        <v>1377</v>
      </c>
      <c r="C63" s="2563">
        <f ca="1">ROUND((C64+C65)/(1+'数据-取费表'!C42),0)</f>
        <v>599</v>
      </c>
      <c r="D63" s="167"/>
      <c r="E63" s="168"/>
      <c r="F63" s="1807"/>
      <c r="G63" s="1807"/>
      <c r="H63" s="1809"/>
      <c r="I63" s="129"/>
      <c r="J63" s="3549" t="s">
        <v>1378</v>
      </c>
      <c r="K63" s="1331" t="s">
        <v>1379</v>
      </c>
      <c r="L63" s="1331">
        <f ca="1">IF(M49&gt;10000,M49*0.5%,IF(AND(M49&gt;1000,M49&lt;=10000),M49*1%,IF(AND(M49&gt;100,M49&lt;=1000),M49*3%,IF(AND(M49&gt;10,M49&lt;=100),M49*5%,M49*8%))))</f>
        <v>18.87</v>
      </c>
      <c r="M63" s="302">
        <f ca="1">ROUND(L63,1)</f>
        <v>18.899999999999999</v>
      </c>
      <c r="N63" s="2542"/>
      <c r="Z63" s="1751"/>
      <c r="AI63" s="1752"/>
    </row>
    <row r="64" spans="1:35" ht="14.25" customHeight="1">
      <c r="A64" s="169" t="s">
        <v>325</v>
      </c>
      <c r="B64" s="170" t="s">
        <v>1380</v>
      </c>
      <c r="C64" s="2564">
        <f ca="1">D45</f>
        <v>629</v>
      </c>
      <c r="D64" s="170" t="s">
        <v>26</v>
      </c>
      <c r="E64" s="172"/>
      <c r="F64" s="1807"/>
      <c r="G64" s="1807"/>
      <c r="H64" s="1809"/>
      <c r="I64" s="129"/>
      <c r="J64" s="3549"/>
      <c r="K64" s="1331" t="s">
        <v>1381</v>
      </c>
      <c r="L64" s="1331">
        <f ca="1">IF(M49&gt;2000,M49*0.5%,IF(AND(M49&gt;1000,M49&lt;=2000),M49*0.6%,IF(AND(M49&gt;500,M49&lt;=1000),M49*0.7%,IF(AND(M49&gt;200,M49&lt;=500),M49*0.8%,IF(AND(M49&gt;100,M49&lt;=200),M49*0.9%,IF(AND(M49&gt;50,M49&lt;=100),M49*1%,IF(AND(M49&gt;20,M49&lt;=50),M49*1.5%,IF(AND(M49&gt;10,M49&lt;=20),M49*2%,IF(AND(M49&gt;1,M49&lt;=10),M49*2.5%)))))))))</f>
        <v>4.4029999999999996</v>
      </c>
      <c r="M64" s="302">
        <f t="shared" ref="M64:M65" ca="1" si="1">ROUND(L64,1)</f>
        <v>4.4000000000000004</v>
      </c>
      <c r="N64" s="2543" t="s">
        <v>1382</v>
      </c>
      <c r="Z64" s="1751"/>
      <c r="AI64" s="1752"/>
    </row>
    <row r="65" spans="1:35" ht="14.25" customHeight="1">
      <c r="A65" s="169" t="s">
        <v>326</v>
      </c>
      <c r="B65" s="170" t="s">
        <v>1383</v>
      </c>
      <c r="C65" s="2565"/>
      <c r="D65" s="170"/>
      <c r="E65" s="172"/>
      <c r="F65" s="1807"/>
      <c r="G65" s="1807"/>
      <c r="H65" s="1809"/>
      <c r="I65" s="129"/>
      <c r="J65" s="3549"/>
      <c r="K65" s="1331" t="s">
        <v>1384</v>
      </c>
      <c r="L65" s="1331">
        <f ca="1">IF(M49&gt;1000,M49*0.1%,IF(AND(M49&gt;500,M49&lt;=1000),M49*0.5%,IF(AND(M49&gt;50,M49&lt;=500),M49*1%,IF(AND(M49&gt;1,M49&lt;=50),M49*1.5%))))</f>
        <v>3.145</v>
      </c>
      <c r="M65" s="302">
        <f t="shared" ca="1" si="1"/>
        <v>3.1</v>
      </c>
      <c r="N65" s="2543" t="s">
        <v>1382</v>
      </c>
      <c r="Z65" s="1751"/>
      <c r="AI65" s="1752"/>
    </row>
    <row r="66" spans="1:35" ht="14.25" customHeight="1">
      <c r="A66" s="173" t="s">
        <v>327</v>
      </c>
      <c r="B66" s="174" t="s">
        <v>1385</v>
      </c>
      <c r="C66" s="2566"/>
      <c r="D66" s="174" t="s">
        <v>26</v>
      </c>
      <c r="E66" s="1337" t="s">
        <v>670</v>
      </c>
      <c r="F66" s="1807"/>
      <c r="G66" s="1807"/>
      <c r="H66" s="1809"/>
      <c r="I66" s="129"/>
      <c r="J66" s="3549"/>
      <c r="K66" s="1331" t="s">
        <v>1386</v>
      </c>
      <c r="L66" s="1331">
        <f ca="1">M49*0.5%</f>
        <v>3.145</v>
      </c>
      <c r="M66" s="302">
        <f ca="1">IF(L66&gt;0.5,0.5,ROUND(L66,0))</f>
        <v>0.5</v>
      </c>
      <c r="N66" s="2543" t="s">
        <v>1387</v>
      </c>
      <c r="Z66" s="1751"/>
      <c r="AI66" s="1752"/>
    </row>
    <row r="67" spans="1:35" ht="14.25" customHeight="1">
      <c r="A67" s="173" t="s">
        <v>328</v>
      </c>
      <c r="B67" s="174" t="s">
        <v>1388</v>
      </c>
      <c r="C67" s="2567">
        <f ca="1">C63-C66</f>
        <v>599</v>
      </c>
      <c r="D67" s="170" t="s">
        <v>26</v>
      </c>
      <c r="E67" s="172"/>
      <c r="F67" s="1807"/>
      <c r="G67" s="1807"/>
      <c r="H67" s="1809"/>
      <c r="I67" s="129"/>
      <c r="J67" s="3549"/>
      <c r="K67" s="1331" t="s">
        <v>1389</v>
      </c>
      <c r="L67" s="1331">
        <f ca="1">IF(M49&gt;=10000,(8.25+(M49-10000)*0.01%),IF(AND(M49&gt;=8000,M49&lt;10000),(7.85+(M49-8000)*0.02%),IF(AND(M49&gt;=5000,M49&lt;8000),(6.65+(M49-5000)*0.04%),IF(AND(M49&gt;=2000,M49&lt;5000),(4.25+(PM49-2000)*0.08%),IF(AND(M49&gt;=1000,M49&lt;2000),(2.75+(M49-1000)*0.15%),IF(AND(M49&gt;=100,M49&lt;1000),(0.5+(M49-100)*0.25%),IF(AND(M49&gt;0,M49&lt;100),M49*0.5%)))))))</f>
        <v>1.8225</v>
      </c>
      <c r="M67" s="302">
        <f ca="1">ROUND(L67*0.9,1)</f>
        <v>1.6</v>
      </c>
      <c r="N67" s="2542"/>
      <c r="Z67" s="1751"/>
      <c r="AI67" s="1752"/>
    </row>
    <row r="68" spans="1:35" ht="14.25" customHeight="1" thickBot="1">
      <c r="A68" s="176" t="s">
        <v>329</v>
      </c>
      <c r="B68" s="177" t="s">
        <v>1390</v>
      </c>
      <c r="C68" s="2568">
        <f ca="1">IF(C67&lt;=0,0,ROUND(C67*D68,0))</f>
        <v>33</v>
      </c>
      <c r="D68" s="2569">
        <f>'数据-取费表'!B41</f>
        <v>5.5000000000000007E-2</v>
      </c>
      <c r="E68" s="178"/>
      <c r="F68" s="1807"/>
      <c r="G68" s="1807"/>
      <c r="H68" s="1809"/>
      <c r="I68" s="129"/>
      <c r="J68" s="3549"/>
      <c r="K68" s="1331" t="s">
        <v>1391</v>
      </c>
      <c r="L68" s="1331">
        <f ca="1">IF(M49&gt;10000,M49*0.5%,IF(AND(M49&gt;5000,M49&lt;=10000),M49*1%,IF(AND(M49&gt;1000,M49&lt;=5000),M49*2%,IF(AND(M49&gt;200,M49&lt;=1000),M49*3%,M49*5%))))</f>
        <v>18.87</v>
      </c>
      <c r="M68" s="302">
        <f ca="1">ROUND(L68,1)</f>
        <v>18.899999999999999</v>
      </c>
      <c r="N68" s="2542"/>
      <c r="Z68" s="1751"/>
      <c r="AI68" s="1752"/>
    </row>
    <row r="69" spans="1:35" s="1771" customFormat="1" ht="16.5" customHeight="1">
      <c r="A69" s="1810"/>
      <c r="B69" s="1811"/>
      <c r="C69" s="1812"/>
      <c r="D69" s="1813"/>
      <c r="E69" s="1814"/>
      <c r="F69" s="1577"/>
      <c r="G69" s="1577"/>
      <c r="H69" s="1576"/>
      <c r="I69" s="1746"/>
      <c r="J69" s="3549"/>
      <c r="K69" s="1331" t="s">
        <v>1392</v>
      </c>
      <c r="L69" s="1331"/>
      <c r="M69" s="302">
        <f ca="1">ROUND(SUM(M63:M68),0)</f>
        <v>47</v>
      </c>
      <c r="N69" s="2544">
        <f ca="1">M69/M49</f>
        <v>7.472178060413355E-2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3" t="s">
        <v>1393</v>
      </c>
      <c r="B70" s="3594"/>
      <c r="C70" s="3594"/>
      <c r="D70" s="3594"/>
      <c r="E70" s="3594"/>
      <c r="F70" s="3594"/>
      <c r="G70" s="3594"/>
      <c r="H70" s="359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5" t="s">
        <v>1374</v>
      </c>
      <c r="B71" s="3586"/>
      <c r="C71" s="2020"/>
      <c r="D71" s="2020" t="s">
        <v>1375</v>
      </c>
      <c r="E71" s="179" t="s">
        <v>1376</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7">
        <f ca="1">ROUND(D45/(1+'数据-取费表'!C42),0)</f>
        <v>599</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7">
        <f ca="1">C74+C78</f>
        <v>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70"/>
      <c r="D75" s="170" t="s">
        <v>26</v>
      </c>
      <c r="E75" s="184" t="s">
        <v>1398</v>
      </c>
      <c r="F75" s="2571"/>
      <c r="G75" s="184" t="s">
        <v>1399</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3">
        <v>0.05</v>
      </c>
      <c r="E76" s="3590" t="s">
        <v>1401</v>
      </c>
      <c r="F76" s="3589"/>
      <c r="G76" s="3589"/>
      <c r="H76" s="359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5">
        <f ca="1">ROUND(D45*D78/(1+'数据-取费表'!C42),0)</f>
        <v>3</v>
      </c>
      <c r="D78" s="2576">
        <f>'数据-取费表'!B43</f>
        <v>5.000000000000001E-3</v>
      </c>
      <c r="E78" s="3582" t="s">
        <v>1405</v>
      </c>
      <c r="F78" s="3583"/>
      <c r="G78" s="3583"/>
      <c r="H78" s="358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7">
        <f ca="1">C72-C73</f>
        <v>596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7">
        <f ca="1">IF(C79&lt;=0,0,C79/C73)</f>
        <v>198.66666666666666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8">
        <f ca="1">ROUND(IF(C79&lt;=0,0,IF(C80&gt;=200%,C79*60%-C73*35%,IF(C80&gt;=100%,C79*50%-C73*15%,IF(C80&gt;=50%,C79*40%-C73*5%,IF(C80&lt;50%,C79*30%,0))))),0)</f>
        <v>357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3" t="s">
        <v>1409</v>
      </c>
      <c r="B83" s="3594"/>
      <c r="C83" s="3594"/>
      <c r="D83" s="3594"/>
      <c r="E83" s="3594"/>
      <c r="F83" s="3594"/>
      <c r="G83" s="3594"/>
      <c r="H83" s="359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5" t="s">
        <v>1374</v>
      </c>
      <c r="B84" s="3586"/>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7">
        <f ca="1">ROUND(D45/(1+'数据-取费表'!C42),0)</f>
        <v>599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7">
        <f ca="1">IF(H88="仅含出让金",C87+C90+C91+C92+C93+C94,C87+C91+C92+C93+C94)</f>
        <v>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81"/>
      <c r="D88" s="2576"/>
      <c r="E88" s="193" t="s">
        <v>1412</v>
      </c>
      <c r="F88" s="2326"/>
      <c r="G88" s="194" t="s">
        <v>1413</v>
      </c>
      <c r="H88" s="1823"/>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5">
        <f>ROUND(C88*D89,0)</f>
        <v>0</v>
      </c>
      <c r="D89" s="2576">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81"/>
      <c r="D90" s="2576"/>
      <c r="E90" s="193" t="str">
        <f>IF(H88="-","土地取得成本中已包含该笔费用"," ")</f>
        <v xml:space="preserve"> </v>
      </c>
      <c r="F90" s="2326"/>
      <c r="G90" s="3551" t="s">
        <v>2127</v>
      </c>
      <c r="H90" s="3552"/>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5">
        <f>IF(H91="——",成本法!C33,I91)</f>
        <v>0</v>
      </c>
      <c r="D91" s="2576"/>
      <c r="E91" s="3582" t="s">
        <v>1418</v>
      </c>
      <c r="F91" s="3583"/>
      <c r="G91" s="358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5">
        <f>ROUND((C87+C90+C91)*D92,0)</f>
        <v>0</v>
      </c>
      <c r="D92" s="2582"/>
      <c r="E92" s="3582" t="s">
        <v>1421</v>
      </c>
      <c r="F92" s="3583"/>
      <c r="G92" s="3583"/>
      <c r="H92" s="3584"/>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5">
        <f ca="1">ROUND(D45*D93/(1+'数据-取费表'!C42),0)</f>
        <v>3</v>
      </c>
      <c r="D93" s="2576">
        <f>'数据-取费表'!B43</f>
        <v>5.000000000000001E-3</v>
      </c>
      <c r="E93" s="3582" t="s">
        <v>1405</v>
      </c>
      <c r="F93" s="3583"/>
      <c r="G93" s="3583"/>
      <c r="H93" s="358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81">
        <f>ROUND((C87+C90+C91)*D94,0)</f>
        <v>0</v>
      </c>
      <c r="D94" s="2576">
        <v>0.2</v>
      </c>
      <c r="E94" s="3627" t="s">
        <v>1425</v>
      </c>
      <c r="F94" s="3628"/>
      <c r="G94" s="3628"/>
      <c r="H94" s="362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7">
        <f ca="1">ROUND(C85-C86,0)</f>
        <v>596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7">
        <f ca="1">IF(C95&lt;=0,0,C95/C86)</f>
        <v>198.66666666666666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8">
        <f ca="1">ROUND(IF(C95&lt;=0,0,IF(C96&gt;=200%,C95*60%-C86*35%,IF(C96&gt;=100%,C95*50%-C86*15%,IF(C96&gt;=50%,C95*40%-C86*5%,IF(C96&lt;50%,C95*30%,0))))),0)</f>
        <v>357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32" t="s">
        <v>1427</v>
      </c>
      <c r="B100" s="3533"/>
      <c r="C100" s="3533"/>
      <c r="D100" s="3567"/>
      <c r="E100" s="3533" t="s">
        <v>1428</v>
      </c>
      <c r="F100" s="3533"/>
      <c r="G100" s="3533"/>
      <c r="H100" s="3567"/>
      <c r="I100" s="129"/>
    </row>
    <row r="101" spans="1:35" ht="18.75" customHeight="1">
      <c r="A101" s="3575" t="s">
        <v>1429</v>
      </c>
      <c r="B101" s="3576"/>
      <c r="C101" s="2584" t="str">
        <f>C4</f>
        <v>比较法-商业</v>
      </c>
      <c r="D101" s="2585" t="str">
        <f>D4</f>
        <v>收益法 (元)</v>
      </c>
      <c r="E101" s="3545" t="s">
        <v>1430</v>
      </c>
      <c r="F101" s="3546"/>
      <c r="G101" s="1826" t="s">
        <v>1431</v>
      </c>
      <c r="H101" s="2594">
        <f ca="1">H118</f>
        <v>629</v>
      </c>
      <c r="I101" s="129"/>
    </row>
    <row r="102" spans="1:35" ht="18.75" customHeight="1">
      <c r="A102" s="3577" t="s">
        <v>1432</v>
      </c>
      <c r="B102" s="2583" t="s">
        <v>1431</v>
      </c>
      <c r="C102" s="2584">
        <f ca="1">IF(D32="楼面单价",ROUND(C19,0),C19)</f>
        <v>224</v>
      </c>
      <c r="D102" s="2585">
        <f ca="1">IF(D32="楼面单价",ROUND(D19,0),D19)</f>
        <v>201</v>
      </c>
      <c r="E102" s="3545"/>
      <c r="F102" s="3546"/>
      <c r="G102" s="1826" t="s">
        <v>1433</v>
      </c>
      <c r="H102" s="2554">
        <f ca="1">I118</f>
        <v>17994</v>
      </c>
      <c r="I102" s="129"/>
    </row>
    <row r="103" spans="1:35" ht="42.75" customHeight="1">
      <c r="A103" s="3577"/>
      <c r="B103" s="2583" t="s">
        <v>1433</v>
      </c>
      <c r="C103" s="2586">
        <f ca="1">C20</f>
        <v>18967</v>
      </c>
      <c r="D103" s="2587">
        <f ca="1">D20</f>
        <v>17020</v>
      </c>
      <c r="E103" s="3538" t="s">
        <v>1434</v>
      </c>
      <c r="F103" s="3539"/>
      <c r="G103" s="1827" t="s">
        <v>1435</v>
      </c>
      <c r="H103" s="2594">
        <f>IF(D36="正常操作",H104+H105+H106,H105+H106)</f>
        <v>0</v>
      </c>
      <c r="I103" s="129"/>
    </row>
    <row r="104" spans="1:35" ht="18.75" customHeight="1">
      <c r="A104" s="3577" t="s">
        <v>1436</v>
      </c>
      <c r="B104" s="2588" t="s">
        <v>1431</v>
      </c>
      <c r="C104" s="2589">
        <f ca="1">H118</f>
        <v>629</v>
      </c>
      <c r="D104" s="2590"/>
      <c r="E104" s="1673" t="s">
        <v>1437</v>
      </c>
      <c r="F104" s="1665"/>
      <c r="G104" s="1827" t="s">
        <v>1435</v>
      </c>
      <c r="H104" s="2595">
        <f>IF(D36="同一抵押权人同一抵押物续贷",C36&amp;"（续贷，未扣减，详见特别提示）",C36)</f>
        <v>0</v>
      </c>
      <c r="I104" s="129"/>
    </row>
    <row r="105" spans="1:35" ht="18.75" customHeight="1" thickBot="1">
      <c r="A105" s="3587"/>
      <c r="B105" s="2591" t="s">
        <v>1433</v>
      </c>
      <c r="C105" s="2592">
        <f ca="1">I118</f>
        <v>17994</v>
      </c>
      <c r="D105" s="2593"/>
      <c r="E105" s="1673" t="s">
        <v>1438</v>
      </c>
      <c r="F105" s="1665"/>
      <c r="G105" s="1827" t="s">
        <v>1435</v>
      </c>
      <c r="H105" s="2596">
        <f>C37</f>
        <v>0</v>
      </c>
      <c r="I105" s="129"/>
    </row>
    <row r="106" spans="1:35" ht="18.75" customHeight="1">
      <c r="A106" s="1746" t="s">
        <v>1439</v>
      </c>
      <c r="B106" s="1746"/>
      <c r="C106" s="1746"/>
      <c r="D106" s="1746"/>
      <c r="E106" s="1828" t="s">
        <v>1440</v>
      </c>
      <c r="F106" s="1665"/>
      <c r="G106" s="1827" t="s">
        <v>1435</v>
      </c>
      <c r="H106" s="2596">
        <f>C38</f>
        <v>0</v>
      </c>
      <c r="I106" s="129"/>
    </row>
    <row r="107" spans="1:35" ht="18.75" customHeight="1">
      <c r="A107" s="129"/>
      <c r="B107" s="129"/>
      <c r="C107" s="129"/>
      <c r="D107" s="129"/>
      <c r="E107" s="3578" t="str">
        <f>IF(项目基本情况!E8="已注销","——","3.房地产抵押价值")</f>
        <v>3.房地产抵押价值</v>
      </c>
      <c r="F107" s="3546"/>
      <c r="G107" s="1826" t="s">
        <v>1431</v>
      </c>
      <c r="H107" s="2594">
        <f ca="1">IF(E107="——","——",H101-H103)</f>
        <v>629</v>
      </c>
      <c r="I107" s="129"/>
    </row>
    <row r="108" spans="1:35" ht="18.75" customHeight="1">
      <c r="A108" s="129"/>
      <c r="B108" s="129"/>
      <c r="C108" s="129"/>
      <c r="D108" s="129"/>
      <c r="E108" s="3578"/>
      <c r="F108" s="3546"/>
      <c r="G108" s="1826" t="s">
        <v>1433</v>
      </c>
      <c r="H108" s="2554">
        <f ca="1">IF(H107=H101,H102,ROUND(H107*10000/'数据-汇总表'!E3,0))</f>
        <v>17994</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6" t="s">
        <v>1431</v>
      </c>
      <c r="H109" s="2597" t="str">
        <f>IF(E109="——","——",H101-H105-H106)</f>
        <v>——</v>
      </c>
      <c r="I109" s="129"/>
    </row>
    <row r="110" spans="1:35" ht="18.75" customHeight="1">
      <c r="A110" s="129"/>
      <c r="B110" s="129"/>
      <c r="C110" s="129"/>
      <c r="D110" s="129"/>
      <c r="E110" s="3578"/>
      <c r="F110" s="3546"/>
      <c r="G110" s="1826" t="s">
        <v>1433</v>
      </c>
      <c r="H110" s="2554"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6" t="s">
        <v>1431</v>
      </c>
      <c r="H111" s="2594" t="str">
        <f>IF(E111="——","——",N59)</f>
        <v>——</v>
      </c>
      <c r="I111" s="129"/>
    </row>
    <row r="112" spans="1:35" ht="18.75" customHeight="1" thickBot="1">
      <c r="A112" s="129"/>
      <c r="B112" s="129"/>
      <c r="C112" s="129"/>
      <c r="D112" s="129"/>
      <c r="E112" s="3580"/>
      <c r="F112" s="3581"/>
      <c r="G112" s="1829" t="s">
        <v>1433</v>
      </c>
      <c r="H112" s="2598" t="str">
        <f>IF(E111="——","——",N61)</f>
        <v>——</v>
      </c>
      <c r="I112" s="129"/>
    </row>
    <row r="113" spans="1:27" ht="18.75" customHeight="1">
      <c r="A113" s="129"/>
      <c r="B113" s="129"/>
      <c r="C113" s="129"/>
      <c r="D113" s="129"/>
      <c r="E113" s="3588" t="s">
        <v>1439</v>
      </c>
      <c r="F113" s="3588"/>
      <c r="G113" s="3588"/>
      <c r="H113" s="3588"/>
      <c r="I113" s="129"/>
    </row>
    <row r="114" spans="1:27" ht="3.75" customHeight="1">
      <c r="A114" s="1746"/>
      <c r="B114" s="1746"/>
      <c r="C114" s="1746"/>
      <c r="D114" s="1746"/>
      <c r="E114" s="1808"/>
      <c r="F114" s="1808"/>
      <c r="G114" s="1808"/>
      <c r="H114" s="1808"/>
      <c r="I114" s="1746"/>
    </row>
    <row r="115" spans="1:27" ht="18.75" customHeight="1">
      <c r="A115" s="3596" t="s">
        <v>1441</v>
      </c>
      <c r="B115" s="3597"/>
      <c r="C115" s="3597"/>
      <c r="D115" s="3597"/>
      <c r="E115" s="3597"/>
      <c r="F115" s="3597"/>
      <c r="G115" s="3597"/>
      <c r="H115" s="3597"/>
      <c r="I115" s="3598"/>
    </row>
    <row r="116" spans="1:27" ht="27" customHeight="1">
      <c r="A116" s="3553" t="s">
        <v>1442</v>
      </c>
      <c r="B116" s="3557" t="s">
        <v>1443</v>
      </c>
      <c r="C116" s="3557" t="s">
        <v>1444</v>
      </c>
      <c r="D116" s="3563" t="s">
        <v>1445</v>
      </c>
      <c r="E116" s="3564"/>
      <c r="F116" s="3595" t="s">
        <v>1446</v>
      </c>
      <c r="G116" s="3595"/>
      <c r="H116" s="3553" t="s">
        <v>1447</v>
      </c>
      <c r="I116" s="3553"/>
    </row>
    <row r="117" spans="1:27" ht="18.75" customHeight="1">
      <c r="A117" s="3553"/>
      <c r="B117" s="3558"/>
      <c r="C117" s="3558"/>
      <c r="D117" s="2328" t="s">
        <v>1448</v>
      </c>
      <c r="E117" s="2328" t="s">
        <v>1449</v>
      </c>
      <c r="F117" s="2328" t="s">
        <v>1448</v>
      </c>
      <c r="G117" s="2328" t="s">
        <v>1450</v>
      </c>
      <c r="H117" s="2328" t="s">
        <v>1448</v>
      </c>
      <c r="I117" s="2328" t="s">
        <v>1450</v>
      </c>
    </row>
    <row r="118" spans="1:27" ht="24.75" customHeight="1">
      <c r="A118" s="2599" t="str">
        <f>项目基本情况!S2</f>
        <v>北京市平谷区平谷镇新开街33号房地产</v>
      </c>
      <c r="B118" s="2328">
        <f>M18</f>
        <v>349.71</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629</v>
      </c>
      <c r="I118" s="2328">
        <f ca="1">ROUND(IF(D32="楼面单价",C32,H118*10000/B118),0)</f>
        <v>17994</v>
      </c>
    </row>
    <row r="119" spans="1:27" ht="18.75" customHeight="1">
      <c r="A119" s="3553" t="s">
        <v>1451</v>
      </c>
      <c r="B119" s="3553"/>
      <c r="C119" s="3553"/>
      <c r="D119" s="3559" t="str">
        <f>NUMBERSTRING(INT(D118*10000),2)&amp;"元整"</f>
        <v>零元整</v>
      </c>
      <c r="E119" s="3560"/>
      <c r="F119" s="3559" t="str">
        <f>NUMBERSTRING(INT(F118*10000),2)&amp;"元整"</f>
        <v>零元整</v>
      </c>
      <c r="G119" s="3560"/>
      <c r="H119" s="3559" t="str">
        <f ca="1">NUMBERSTRING(INT(H118*10000),2)&amp;"元整"</f>
        <v>陆佰贰拾玖万元整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59" t="s">
        <v>1451</v>
      </c>
      <c r="B121" s="3561"/>
      <c r="C121" s="3560"/>
      <c r="D121" s="3559" t="str">
        <f>IF(D120=0,"零元整",NUMBERSTRING(INT(D120*10000),2)&amp;"元整")</f>
        <v>零元整</v>
      </c>
      <c r="E121" s="3561"/>
      <c r="F121" s="3561"/>
      <c r="G121" s="3561"/>
      <c r="H121" s="3561"/>
      <c r="I121" s="3560"/>
      <c r="AA121" s="724"/>
    </row>
    <row r="122" spans="1:27" ht="18.75" customHeight="1">
      <c r="A122" s="3565" t="str">
        <f>IF(项目基本情况!B9="房地产市场价值","",MID(E107,3,LEN(E107)-2))</f>
        <v>房地产抵押价值</v>
      </c>
      <c r="B122" s="3565"/>
      <c r="C122" s="3565"/>
      <c r="D122" s="3554">
        <f ca="1">H107</f>
        <v>629</v>
      </c>
      <c r="E122" s="3555"/>
      <c r="F122" s="3555"/>
      <c r="G122" s="3555"/>
      <c r="H122" s="3555"/>
      <c r="I122" s="3556"/>
      <c r="AA122" s="724"/>
    </row>
    <row r="123" spans="1:27" ht="18.75" customHeight="1">
      <c r="A123" s="3553" t="s">
        <v>1451</v>
      </c>
      <c r="B123" s="3553"/>
      <c r="C123" s="3553"/>
      <c r="D123" s="3559" t="str">
        <f ca="1">NUMBERSTRING(INT(D122*10000),2)&amp;"元整"</f>
        <v>陆佰贰拾玖万元整</v>
      </c>
      <c r="E123" s="3561"/>
      <c r="F123" s="3561"/>
      <c r="G123" s="3561"/>
      <c r="H123" s="3561"/>
      <c r="I123" s="3560"/>
      <c r="AA123" s="724"/>
    </row>
    <row r="124" spans="1:27" ht="18.75" customHeight="1">
      <c r="A124" s="3565" t="str">
        <f>IF(项目基本情况!B9="房地产市场价值","",MID(E109,3,LEN(E109)-2))</f>
        <v/>
      </c>
      <c r="B124" s="3565"/>
      <c r="C124" s="3565"/>
      <c r="D124" s="3554" t="str">
        <f>H109</f>
        <v>——</v>
      </c>
      <c r="E124" s="3555"/>
      <c r="F124" s="3555"/>
      <c r="G124" s="3555"/>
      <c r="H124" s="3555"/>
      <c r="I124" s="3556"/>
      <c r="AA124" s="724"/>
    </row>
    <row r="125" spans="1:27" ht="18.75" customHeight="1">
      <c r="A125" s="3553" t="s">
        <v>1451</v>
      </c>
      <c r="B125" s="3553"/>
      <c r="C125" s="3553"/>
      <c r="D125" s="3559" t="e">
        <f>NUMBERSTRING(INT(D124*10000),2)&amp;"元整"</f>
        <v>#VALUE!</v>
      </c>
      <c r="E125" s="3561"/>
      <c r="F125" s="3561"/>
      <c r="G125" s="3561"/>
      <c r="H125" s="3561"/>
      <c r="I125" s="3560"/>
      <c r="AA125" s="724"/>
    </row>
    <row r="126" spans="1:27" ht="18.75" customHeight="1">
      <c r="A126" s="3565" t="str">
        <f>IF(项目基本情况!B9="房地产市场价值","",MID(E111,3,LEN(E111)-2))</f>
        <v/>
      </c>
      <c r="B126" s="3565"/>
      <c r="C126" s="3565"/>
      <c r="D126" s="3554" t="str">
        <f>H111</f>
        <v>——</v>
      </c>
      <c r="E126" s="3555"/>
      <c r="F126" s="3555"/>
      <c r="G126" s="3555"/>
      <c r="H126" s="3555"/>
      <c r="I126" s="3556"/>
      <c r="AA126" s="724"/>
    </row>
    <row r="127" spans="1:27" ht="18.75" customHeight="1">
      <c r="A127" s="3553" t="s">
        <v>1451</v>
      </c>
      <c r="B127" s="3553"/>
      <c r="C127" s="3553"/>
      <c r="D127" s="3559" t="e">
        <f>NUMBERSTRING(INT(D126*10000),2)&amp;"元整"</f>
        <v>#VALUE!</v>
      </c>
      <c r="E127" s="3561"/>
      <c r="F127" s="3561"/>
      <c r="G127" s="3561"/>
      <c r="H127" s="3561"/>
      <c r="I127" s="3560"/>
      <c r="AA127" s="724"/>
    </row>
    <row r="128" spans="1:27" ht="21.75" customHeight="1">
      <c r="A128" s="3562" t="s">
        <v>1452</v>
      </c>
      <c r="B128" s="3562"/>
      <c r="C128" s="3562"/>
      <c r="D128" s="3562"/>
      <c r="E128" s="3562"/>
      <c r="F128" s="3562"/>
      <c r="G128" s="3562"/>
      <c r="H128" s="3562"/>
      <c r="I128" s="3562"/>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5">
        <f>MATCH(B1,'数据-取费表'!A6:A16,0)+5</f>
        <v>8</v>
      </c>
    </row>
    <row r="2" spans="1:9" s="200" customFormat="1" ht="18" customHeight="1">
      <c r="A2" s="201" t="s">
        <v>1461</v>
      </c>
      <c r="B2" s="202">
        <f ca="1">IF(D2="——",C52,C52-E2)</f>
        <v>139</v>
      </c>
      <c r="C2" s="199" t="s">
        <v>1462</v>
      </c>
      <c r="D2" s="1852" t="s">
        <v>43</v>
      </c>
      <c r="E2" s="1168"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3975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7" t="s">
        <v>1471</v>
      </c>
      <c r="B6" s="215" t="s">
        <v>1472</v>
      </c>
      <c r="C6" s="216"/>
      <c r="D6" s="217"/>
      <c r="E6" s="218"/>
      <c r="F6" s="218"/>
      <c r="G6" s="219"/>
    </row>
    <row r="7" spans="1:9" s="214" customFormat="1" ht="13.5" customHeight="1">
      <c r="A7" s="777" t="s">
        <v>1473</v>
      </c>
      <c r="B7" s="215" t="s">
        <v>1474</v>
      </c>
      <c r="C7" s="220">
        <f>ROUND(C6*F7,0)</f>
        <v>0</v>
      </c>
      <c r="D7" s="220"/>
      <c r="E7" s="218"/>
      <c r="F7" s="221">
        <f>IF(项目基本情况!B8="出让",0,'数据-取费表'!B48+'数据-取费表'!B49)</f>
        <v>3.0499999999999999E-2</v>
      </c>
      <c r="G7" s="219"/>
    </row>
    <row r="8" spans="1:9" s="223" customFormat="1">
      <c r="A8" s="777" t="s">
        <v>1475</v>
      </c>
      <c r="B8" s="215" t="s">
        <v>1476</v>
      </c>
      <c r="C8" s="220">
        <f>IF(G8="已包含在土地购买价格中","0",IF(B1="",'数据-取费表'!B29,IF(G9="全部缴纳",C9+C10,H9)))</f>
        <v>0</v>
      </c>
      <c r="D8" s="222"/>
      <c r="E8" s="220"/>
      <c r="F8" s="221"/>
      <c r="G8" s="1855"/>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0</v>
      </c>
      <c r="F9" s="221"/>
      <c r="G9" s="1856"/>
      <c r="H9" s="1136"/>
      <c r="I9" s="1857" t="s">
        <v>1478</v>
      </c>
    </row>
    <row r="10" spans="1:9" s="214" customFormat="1" ht="13.5" customHeight="1">
      <c r="A10" s="778" t="s">
        <v>356</v>
      </c>
      <c r="B10" s="224" t="s">
        <v>1479</v>
      </c>
      <c r="C10" s="225">
        <f ca="1">ROUND(D10*E10/10000,0)</f>
        <v>7</v>
      </c>
      <c r="D10" s="844">
        <f ca="1">IF(B1="",'数据-汇总表'!E6,IF(INDIRECT("'数据-取费表'!c"&amp;$G$1)="住宅",INDIRECT("'数据-取费表'!s"&amp;$G$1),INDIRECT("'数据-取费表'!k"&amp;$G$1)+INDIRECT("'数据-取费表'!s"&amp;$G$1)))</f>
        <v>349.71</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f ca="1">IF(G19="已包含在土地取得成本中","0",ROUND(D19*E19/10000,0))</f>
        <v>7</v>
      </c>
      <c r="D19" s="848">
        <f ca="1">D9+D10</f>
        <v>349.71</v>
      </c>
      <c r="E19" s="211">
        <f>'数据-取费表'!B31</f>
        <v>200</v>
      </c>
      <c r="F19" s="231"/>
      <c r="G19" s="1855"/>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0</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0</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0</v>
      </c>
      <c r="D25" s="238"/>
      <c r="E25" s="241"/>
      <c r="F25" s="239"/>
      <c r="G25" s="242" t="s">
        <v>1509</v>
      </c>
    </row>
    <row r="26" spans="1:7" s="214" customFormat="1">
      <c r="A26" s="779"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v>
      </c>
      <c r="D27" s="235">
        <f ca="1">C29</f>
        <v>3.3999999999999998E-3</v>
      </c>
      <c r="E27" s="236" t="s">
        <v>1513</v>
      </c>
      <c r="F27" s="246">
        <f ca="1">IF(B1="",'数据-取费表'!Q16,INDIRECT("'数据-取费表'!q"&amp;$G$1))</f>
        <v>0.17</v>
      </c>
      <c r="G27" s="247" t="s">
        <v>1514</v>
      </c>
    </row>
    <row r="28" spans="1:7" s="214" customFormat="1" ht="13.5" customHeight="1">
      <c r="A28" s="779" t="s">
        <v>346</v>
      </c>
      <c r="B28" s="248" t="s">
        <v>1515</v>
      </c>
      <c r="C28" s="249">
        <f ca="1">ROUND((C5+C19+C20)*F27*'数据-取费表'!B21/'数据-取费表'!B20,0)</f>
        <v>1</v>
      </c>
      <c r="D28" s="235"/>
      <c r="E28" s="236"/>
      <c r="F28" s="246"/>
      <c r="G28" s="247"/>
    </row>
    <row r="29" spans="1:7" s="214" customFormat="1" ht="13.5" customHeight="1">
      <c r="A29" s="779" t="s">
        <v>347</v>
      </c>
      <c r="B29" s="248" t="s">
        <v>1516</v>
      </c>
      <c r="C29" s="238">
        <f ca="1">ROUND(C21*F27*'数据-取费表'!B21/'数据-取费表'!B20,4)</f>
        <v>3.3999999999999998E-3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124</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112</v>
      </c>
      <c r="D34" s="217"/>
      <c r="E34" s="220"/>
      <c r="F34" s="257">
        <f ca="1">IF('数据-取费表'!B24=0,1,IF(B1="",'数据-取费表'!N16,INDIRECT("'数据-取费表'!n"&amp;$G$1)))</f>
        <v>1</v>
      </c>
      <c r="G34" s="219" t="s">
        <v>1525</v>
      </c>
    </row>
    <row r="35" spans="1:7" ht="13.5" customHeight="1">
      <c r="A35" s="779" t="s">
        <v>351</v>
      </c>
      <c r="B35" s="215" t="s">
        <v>1526</v>
      </c>
      <c r="C35" s="220">
        <f ca="1">ROUND(C34*F35,0)</f>
        <v>3</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7</v>
      </c>
      <c r="D37" s="217">
        <f ca="1">D19</f>
        <v>349.71</v>
      </c>
      <c r="E37" s="249">
        <f>'数据-取费表'!B35</f>
        <v>200</v>
      </c>
      <c r="F37" s="259"/>
      <c r="G37" s="261" t="s">
        <v>1531</v>
      </c>
    </row>
    <row r="38" spans="1:7" ht="13.5" customHeight="1">
      <c r="A38" s="779" t="s">
        <v>354</v>
      </c>
      <c r="B38" s="215" t="s">
        <v>1532</v>
      </c>
      <c r="C38" s="220">
        <f ca="1">ROUND(C34*F38,0)</f>
        <v>2</v>
      </c>
      <c r="D38" s="220"/>
      <c r="E38" s="220"/>
      <c r="F38" s="259">
        <f>'数据-取费表'!B36</f>
        <v>1.4999999999999999E-2</v>
      </c>
      <c r="G38" s="219" t="s">
        <v>1527</v>
      </c>
    </row>
    <row r="39" spans="1:7" s="214" customFormat="1" ht="13.5" customHeight="1">
      <c r="A39" s="255" t="s">
        <v>1533</v>
      </c>
      <c r="B39" s="210" t="s">
        <v>1534</v>
      </c>
      <c r="C39" s="232">
        <f ca="1">ROUND(C33*F20,0)</f>
        <v>2</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4</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4</v>
      </c>
      <c r="D42" s="238"/>
      <c r="E42" s="238"/>
      <c r="F42" s="239"/>
      <c r="G42" s="3632" t="s">
        <v>1543</v>
      </c>
    </row>
    <row r="43" spans="1:7" ht="13.5" customHeight="1">
      <c r="A43" s="779" t="s">
        <v>347</v>
      </c>
      <c r="B43" s="215" t="s">
        <v>1544</v>
      </c>
      <c r="C43" s="238">
        <f ca="1">ROUND(IF('数据-取费表'!B22&lt;=1,C39*F22*'数据-取费表'!B21/2,C39*(POWER((1+F22),'数据-取费表'!B21/2)-1)),0)</f>
        <v>0</v>
      </c>
      <c r="D43" s="238"/>
      <c r="E43" s="238"/>
      <c r="F43" s="239"/>
      <c r="G43" s="3633"/>
    </row>
    <row r="44" spans="1:7" ht="13.5" customHeight="1">
      <c r="A44" s="779" t="s">
        <v>348</v>
      </c>
      <c r="B44" s="215" t="s">
        <v>1545</v>
      </c>
      <c r="C44" s="238">
        <f ca="1">ROUND(IF('数据-取费表'!B22&lt;=1,C40*F22*'数据-取费表'!B21/2,C40*(POWER((1+F22),'数据-取费表'!B21/2)-1)),4)</f>
        <v>6.9999999999999999E-4</v>
      </c>
      <c r="D44" s="238"/>
      <c r="E44" s="238"/>
      <c r="F44" s="239"/>
      <c r="G44" s="3634"/>
    </row>
    <row r="45" spans="1:7" s="214" customFormat="1" ht="13.5" customHeight="1">
      <c r="A45" s="255" t="s">
        <v>1546</v>
      </c>
      <c r="B45" s="244" t="s">
        <v>1512</v>
      </c>
      <c r="C45" s="245">
        <f ca="1">C46</f>
        <v>21</v>
      </c>
      <c r="D45" s="235">
        <f ca="1">C47</f>
        <v>3.3999999999999998E-3</v>
      </c>
      <c r="E45" s="236" t="s">
        <v>1538</v>
      </c>
      <c r="F45" s="246">
        <f ca="1">F27</f>
        <v>0.17</v>
      </c>
      <c r="G45" s="247" t="s">
        <v>1547</v>
      </c>
    </row>
    <row r="46" spans="1:7" s="214" customFormat="1" ht="13.5" customHeight="1">
      <c r="A46" s="779" t="s">
        <v>346</v>
      </c>
      <c r="B46" s="248" t="s">
        <v>1548</v>
      </c>
      <c r="C46" s="249">
        <f ca="1">ROUND((C33+C39)*F27,0)</f>
        <v>21</v>
      </c>
      <c r="D46" s="263"/>
      <c r="E46" s="236"/>
      <c r="F46" s="246"/>
      <c r="G46" s="247"/>
    </row>
    <row r="47" spans="1:7" s="214" customFormat="1" ht="13.5" customHeight="1">
      <c r="A47" s="779" t="s">
        <v>347</v>
      </c>
      <c r="B47" s="248" t="s">
        <v>1549</v>
      </c>
      <c r="C47" s="238">
        <f ca="1">ROUND(C40*F27,4)</f>
        <v>3.3999999999999998E-3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164</v>
      </c>
      <c r="D49" s="232"/>
      <c r="E49" s="232"/>
      <c r="F49" s="264"/>
      <c r="G49" s="234" t="s">
        <v>1553</v>
      </c>
    </row>
    <row r="50" spans="1:7" s="258" customFormat="1" ht="24">
      <c r="A50" s="255" t="s">
        <v>1554</v>
      </c>
      <c r="B50" s="210" t="s">
        <v>1555</v>
      </c>
      <c r="C50" s="232"/>
      <c r="D50" s="232"/>
      <c r="E50" s="232"/>
      <c r="F50" s="264">
        <f>IF('数据-取费表'!B24=0,'数据-取费表'!N16,1)</f>
        <v>0.79</v>
      </c>
      <c r="G50" s="247" t="s">
        <v>1556</v>
      </c>
    </row>
    <row r="51" spans="1:7" ht="16.5" customHeight="1">
      <c r="A51" s="255" t="s">
        <v>1557</v>
      </c>
      <c r="B51" s="210" t="s">
        <v>1558</v>
      </c>
      <c r="C51" s="232">
        <f ca="1">ROUND(C49*F50,0)</f>
        <v>130</v>
      </c>
      <c r="D51" s="232"/>
      <c r="E51" s="232"/>
      <c r="F51" s="264"/>
      <c r="G51" s="234" t="s">
        <v>1559</v>
      </c>
    </row>
    <row r="52" spans="1:7" s="208" customFormat="1" ht="16.5" thickBot="1">
      <c r="A52" s="265" t="s">
        <v>1560</v>
      </c>
      <c r="B52" s="266"/>
      <c r="C52" s="267">
        <f ca="1">C31+C51</f>
        <v>139</v>
      </c>
      <c r="D52" s="266"/>
      <c r="E52" s="266"/>
      <c r="F52" s="266"/>
      <c r="G52" s="268"/>
    </row>
    <row r="55" spans="1:7" ht="15">
      <c r="B55" s="270" t="s">
        <v>1561</v>
      </c>
      <c r="C55" s="271"/>
    </row>
    <row r="56" spans="1:7">
      <c r="B56" s="273" t="s">
        <v>801</v>
      </c>
      <c r="C56" s="275">
        <f ca="1">1-C57</f>
        <v>6.4999999999999947E-2</v>
      </c>
    </row>
    <row r="57" spans="1:7">
      <c r="B57" s="273" t="s">
        <v>802</v>
      </c>
      <c r="C57" s="274">
        <f ca="1">ROUND(C51/C52,3)</f>
        <v>0.93500000000000005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49" t="str">
        <f>项目基本情况!B1</f>
        <v>北京市平谷区平谷镇新开街33号房地产抵押价值预评估</v>
      </c>
      <c r="C37" s="3449"/>
      <c r="D37" s="3449"/>
      <c r="E37" s="3449"/>
      <c r="F37" s="3449"/>
      <c r="G37" s="3449"/>
      <c r="H37" s="3449"/>
      <c r="I37" s="344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5">
        <f>MATCH(B1,'数据-取费表'!A6:A16,0)+5</f>
        <v>8</v>
      </c>
      <c r="H1" s="1060" t="str">
        <f>IF(ISERROR(FIND("住宅",B1)),"非住宅","住宅")</f>
        <v>非住宅</v>
      </c>
    </row>
    <row r="2" spans="1:8" s="200" customFormat="1" ht="18" customHeight="1">
      <c r="A2" s="201" t="s">
        <v>1461</v>
      </c>
      <c r="B2" s="3423">
        <f ca="1">ROUND(IF(D2="——",C52/10000,C52/10000-E2),4)</f>
        <v>149.40649999999999</v>
      </c>
      <c r="C2" s="199" t="s">
        <v>1462</v>
      </c>
      <c r="D2" s="1852" t="s">
        <v>43</v>
      </c>
      <c r="E2" s="1168"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4272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69942</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69942</v>
      </c>
      <c r="D8" s="222"/>
      <c r="E8" s="220"/>
      <c r="F8" s="221"/>
      <c r="G8" s="1855"/>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1479</v>
      </c>
      <c r="C10" s="225">
        <f ca="1">ROUND(D10*E10,0)</f>
        <v>69942</v>
      </c>
      <c r="D10" s="844">
        <f ca="1">IF(B1="",'数据-汇总表'!E6,IF(INDIRECT("'数据-取费表'!c"&amp;$G$1)="住宅",INDIRECT("'数据-取费表'!s"&amp;$G$1),INDIRECT("'数据-取费表'!k"&amp;$G$1)+INDIRECT("'数据-取费表'!s"&amp;$G$1)))</f>
        <v>349.71</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69942</v>
      </c>
      <c r="D19" s="848">
        <f ca="1">D9+D10</f>
        <v>349.71</v>
      </c>
      <c r="E19" s="211">
        <f>'数据-取费表'!B31</f>
        <v>200</v>
      </c>
      <c r="F19" s="231"/>
      <c r="G19" s="1855"/>
    </row>
    <row r="20" spans="1:7" s="214" customFormat="1" ht="13.5" customHeight="1">
      <c r="A20" s="255" t="s">
        <v>1573</v>
      </c>
      <c r="B20" s="210" t="s">
        <v>1574</v>
      </c>
      <c r="C20" s="232">
        <f ca="1">ROUND((C5+C19)*F20,0)</f>
        <v>2798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9915</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4909</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4909</v>
      </c>
      <c r="D24" s="238"/>
      <c r="E24" s="238"/>
      <c r="F24" s="239"/>
      <c r="G24" s="240" t="s">
        <v>1585</v>
      </c>
    </row>
    <row r="25" spans="1:7" s="214" customFormat="1" ht="24">
      <c r="A25" s="779" t="s">
        <v>1475</v>
      </c>
      <c r="B25" s="215" t="s">
        <v>1586</v>
      </c>
      <c r="C25" s="1127">
        <f ca="1">ROUND(IF('数据-取费表'!B22&lt;=1,C20*F22*'数据-取费表'!B22/2,C20*(POWER((1+F22),'数据-取费表'!B22/2)-1)),0)</f>
        <v>97</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24256</v>
      </c>
      <c r="D27" s="235">
        <f ca="1">C29</f>
        <v>3.3999999999999998E-3</v>
      </c>
      <c r="E27" s="236" t="s">
        <v>1513</v>
      </c>
      <c r="F27" s="246">
        <f ca="1">IF(B1="",'数据-取费表'!Q16,INDIRECT("'数据-取费表'!q"&amp;$G$1))</f>
        <v>0.17</v>
      </c>
      <c r="G27" s="247" t="s">
        <v>1514</v>
      </c>
    </row>
    <row r="28" spans="1:7" s="214" customFormat="1" ht="13.5" customHeight="1">
      <c r="A28" s="779" t="s">
        <v>346</v>
      </c>
      <c r="B28" s="248" t="s">
        <v>1515</v>
      </c>
      <c r="C28" s="249">
        <f ca="1">ROUND((C5+C19+C20)*F27,0)</f>
        <v>24256</v>
      </c>
      <c r="D28" s="235"/>
      <c r="E28" s="236"/>
      <c r="F28" s="246"/>
      <c r="G28" s="247"/>
    </row>
    <row r="29" spans="1:7" s="214" customFormat="1" ht="13.5" customHeight="1">
      <c r="A29" s="779" t="s">
        <v>347</v>
      </c>
      <c r="B29" s="248" t="s">
        <v>1516</v>
      </c>
      <c r="C29" s="238">
        <f ca="1">ROUND(C21*F27,4)</f>
        <v>3.3999999999999998E-3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191503</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1239372</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1119072</v>
      </c>
      <c r="D34" s="217"/>
      <c r="E34" s="220"/>
      <c r="F34" s="257"/>
      <c r="G34" s="219"/>
    </row>
    <row r="35" spans="1:7" ht="13.5" customHeight="1">
      <c r="A35" s="779" t="s">
        <v>351</v>
      </c>
      <c r="B35" s="215" t="s">
        <v>1526</v>
      </c>
      <c r="C35" s="220">
        <f ca="1">ROUND(C34*F35,0)</f>
        <v>33572</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69942</v>
      </c>
      <c r="D37" s="217">
        <f ca="1">D19</f>
        <v>349.71</v>
      </c>
      <c r="E37" s="249">
        <f>'数据-取费表'!B35</f>
        <v>200</v>
      </c>
      <c r="F37" s="259"/>
      <c r="G37" s="261"/>
    </row>
    <row r="38" spans="1:7" ht="13.5" customHeight="1">
      <c r="A38" s="779" t="s">
        <v>354</v>
      </c>
      <c r="B38" s="215" t="s">
        <v>1532</v>
      </c>
      <c r="C38" s="220">
        <f ca="1">ROUND(C34*F38,0)</f>
        <v>16786</v>
      </c>
      <c r="D38" s="220"/>
      <c r="E38" s="220"/>
      <c r="F38" s="259">
        <f>'数据-取费表'!B36</f>
        <v>1.4999999999999999E-2</v>
      </c>
      <c r="G38" s="219" t="s">
        <v>1527</v>
      </c>
    </row>
    <row r="39" spans="1:7" s="214" customFormat="1" ht="13.5" customHeight="1">
      <c r="A39" s="255" t="s">
        <v>1533</v>
      </c>
      <c r="B39" s="210" t="s">
        <v>1534</v>
      </c>
      <c r="C39" s="232">
        <f ca="1">ROUND(C33*F20,0)</f>
        <v>24787</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43613</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42758</v>
      </c>
      <c r="D42" s="238"/>
      <c r="E42" s="238"/>
      <c r="F42" s="239"/>
      <c r="G42" s="3632" t="s">
        <v>1590</v>
      </c>
    </row>
    <row r="43" spans="1:7" ht="13.5" customHeight="1">
      <c r="A43" s="779" t="s">
        <v>347</v>
      </c>
      <c r="B43" s="215" t="s">
        <v>1544</v>
      </c>
      <c r="C43" s="238">
        <f ca="1">ROUND(IF('数据-取费表'!B22&lt;=1,C39*F22*'数据-取费表'!B20/2,C39*(POWER((1+F22),'数据-取费表'!B20/2)-1)),0)</f>
        <v>855</v>
      </c>
      <c r="D43" s="238"/>
      <c r="E43" s="238"/>
      <c r="F43" s="239"/>
      <c r="G43" s="3633"/>
    </row>
    <row r="44" spans="1:7" ht="13.5" customHeight="1">
      <c r="A44" s="779" t="s">
        <v>348</v>
      </c>
      <c r="B44" s="215" t="s">
        <v>1545</v>
      </c>
      <c r="C44" s="238">
        <f ca="1">ROUND(IF('数据-取费表'!B22&lt;=1,C40*F22*'数据-取费表'!B20/2,C40*(POWER((1+F22),'数据-取费表'!B20/2)-1)),4)</f>
        <v>6.9999999999999999E-4</v>
      </c>
      <c r="D44" s="238"/>
      <c r="E44" s="238"/>
      <c r="F44" s="239"/>
      <c r="G44" s="3634"/>
    </row>
    <row r="45" spans="1:7" s="214" customFormat="1" ht="13.5" customHeight="1">
      <c r="A45" s="255" t="s">
        <v>1546</v>
      </c>
      <c r="B45" s="244" t="s">
        <v>1512</v>
      </c>
      <c r="C45" s="245">
        <f ca="1">C46</f>
        <v>214907</v>
      </c>
      <c r="D45" s="235">
        <f ca="1">C47</f>
        <v>3.3999999999999998E-3</v>
      </c>
      <c r="E45" s="236" t="s">
        <v>1538</v>
      </c>
      <c r="F45" s="246">
        <f ca="1">F27</f>
        <v>0.17</v>
      </c>
      <c r="G45" s="247" t="s">
        <v>1547</v>
      </c>
    </row>
    <row r="46" spans="1:7" s="214" customFormat="1" ht="13.5" customHeight="1">
      <c r="A46" s="779" t="s">
        <v>346</v>
      </c>
      <c r="B46" s="248" t="s">
        <v>1548</v>
      </c>
      <c r="C46" s="249">
        <f ca="1">ROUND((C33+C39)*F27,0)</f>
        <v>214907</v>
      </c>
      <c r="D46" s="263"/>
      <c r="E46" s="236"/>
      <c r="F46" s="246"/>
      <c r="G46" s="247"/>
    </row>
    <row r="47" spans="1:7" s="214" customFormat="1" ht="13.5" customHeight="1">
      <c r="A47" s="779" t="s">
        <v>347</v>
      </c>
      <c r="B47" s="248" t="s">
        <v>1549</v>
      </c>
      <c r="C47" s="238">
        <f ca="1">ROUND(C40*F27,4)</f>
        <v>3.3999999999999998E-3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1648813</v>
      </c>
      <c r="D49" s="232"/>
      <c r="E49" s="232"/>
      <c r="F49" s="264"/>
      <c r="G49" s="234" t="s">
        <v>1553</v>
      </c>
    </row>
    <row r="50" spans="1:7" s="258" customFormat="1">
      <c r="A50" s="255" t="s">
        <v>1554</v>
      </c>
      <c r="B50" s="210" t="s">
        <v>1555</v>
      </c>
      <c r="C50" s="232"/>
      <c r="D50" s="232"/>
      <c r="E50" s="232"/>
      <c r="F50" s="264">
        <f>IF('数据-取费表'!B24=0,'数据-取费表'!N16,1)</f>
        <v>0.79</v>
      </c>
      <c r="G50" s="247"/>
    </row>
    <row r="51" spans="1:7" ht="16.5" customHeight="1">
      <c r="A51" s="255" t="s">
        <v>1557</v>
      </c>
      <c r="B51" s="210" t="s">
        <v>1592</v>
      </c>
      <c r="C51" s="232">
        <f ca="1">ROUND(C49*F50,0)</f>
        <v>1302562</v>
      </c>
      <c r="D51" s="232"/>
      <c r="E51" s="232"/>
      <c r="F51" s="264"/>
      <c r="G51" s="234" t="s">
        <v>1559</v>
      </c>
    </row>
    <row r="52" spans="1:7" s="208" customFormat="1" ht="16.5" thickBot="1">
      <c r="A52" s="265" t="s">
        <v>1560</v>
      </c>
      <c r="B52" s="266"/>
      <c r="C52" s="267">
        <f ca="1">C31+C51</f>
        <v>1494065</v>
      </c>
      <c r="D52" s="266"/>
      <c r="E52" s="266"/>
      <c r="F52" s="266"/>
      <c r="G52" s="268"/>
    </row>
    <row r="55" spans="1:7" ht="15">
      <c r="B55" s="270" t="s">
        <v>1561</v>
      </c>
      <c r="C55" s="271"/>
    </row>
    <row r="56" spans="1:7">
      <c r="B56" s="273" t="s">
        <v>801</v>
      </c>
      <c r="C56" s="275">
        <f ca="1">1-C57</f>
        <v>0.128</v>
      </c>
    </row>
    <row r="57" spans="1:7">
      <c r="B57" s="273" t="s">
        <v>802</v>
      </c>
      <c r="C57" s="274">
        <f ca="1">ROUND(C51/C52,3)</f>
        <v>0.872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5"/>
      <c r="F1" s="2805"/>
      <c r="G1" s="2670"/>
      <c r="H1" s="2805"/>
      <c r="I1" s="2805"/>
      <c r="J1" s="2805"/>
      <c r="K1" s="2806">
        <f>MATCH(C1,'数据-取费表'!A6:A16,0)+5</f>
        <v>8</v>
      </c>
    </row>
    <row r="2" spans="1:33" ht="18" customHeight="1">
      <c r="A2" s="201" t="s">
        <v>1461</v>
      </c>
      <c r="B2" s="204">
        <f ca="1">C32</f>
        <v>-8</v>
      </c>
      <c r="C2" s="276" t="s">
        <v>1594</v>
      </c>
      <c r="D2" s="276"/>
      <c r="E2" s="2805"/>
      <c r="F2" s="2805"/>
      <c r="G2" s="2805"/>
      <c r="H2" s="2805"/>
      <c r="I2" s="2805"/>
      <c r="J2" s="2805"/>
      <c r="K2" s="2805"/>
    </row>
    <row r="3" spans="1:33" ht="18" customHeight="1" thickBot="1">
      <c r="A3" s="203" t="s">
        <v>1463</v>
      </c>
      <c r="B3" s="204">
        <f ca="1">ROUND(B2*10000/IF(C1="",'数据-汇总表'!E3,INDIRECT("'数据-取费表'!K"&amp;$K$1)),0)</f>
        <v>-229</v>
      </c>
      <c r="C3" s="276" t="s">
        <v>1595</v>
      </c>
      <c r="D3" s="276"/>
      <c r="E3" s="2805"/>
      <c r="F3" s="2805"/>
      <c r="G3" s="2805"/>
      <c r="H3" s="2805"/>
      <c r="I3" s="2805"/>
      <c r="J3" s="2805"/>
      <c r="K3" s="2805"/>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349.71</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349.71</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7</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1626</v>
      </c>
      <c r="C20" s="21">
        <f ca="1">ROUND(D20*E20/10000,0)</f>
        <v>7</v>
      </c>
      <c r="D20" s="845">
        <f ca="1">IF(C1="",'数据-汇总表'!E6,IF(INDIRECT("'数据-取费表'!c"&amp;$K$1)="住宅",INDIRECT("'数据-取费表'!s"&amp;$K$1),INDIRECT("'数据-取费表'!k"&amp;$K$1)+INDIRECT("'数据-取费表'!s"&amp;$K$1)))</f>
        <v>349.71</v>
      </c>
      <c r="E20" s="21">
        <f>'数据-取费表'!B28</f>
        <v>200</v>
      </c>
      <c r="F20" s="803"/>
      <c r="G20" s="12"/>
      <c r="H20" s="808"/>
      <c r="I20" s="808"/>
      <c r="J20" s="808"/>
      <c r="K20" s="809"/>
    </row>
    <row r="21" spans="1:33" s="802" customFormat="1" ht="13.5" customHeight="1">
      <c r="A21" s="789" t="s">
        <v>357</v>
      </c>
      <c r="B21" s="812" t="s">
        <v>1627</v>
      </c>
      <c r="C21" s="813">
        <f ca="1">C16+C17+C18</f>
        <v>7</v>
      </c>
      <c r="D21" s="814"/>
      <c r="E21" s="281"/>
      <c r="F21" s="281"/>
      <c r="G21" s="131" t="s">
        <v>1628</v>
      </c>
      <c r="H21" s="806"/>
      <c r="I21" s="806"/>
      <c r="J21" s="806"/>
      <c r="K21" s="807"/>
    </row>
    <row r="22" spans="1:33" s="802" customFormat="1" ht="13.5" customHeight="1">
      <c r="A22" s="789" t="s">
        <v>1600</v>
      </c>
      <c r="B22" s="812" t="s">
        <v>1629</v>
      </c>
      <c r="C22" s="813">
        <f ca="1">ROUND(C21*F22,0)</f>
        <v>0</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1640</v>
      </c>
      <c r="B28" s="1864" t="s">
        <v>1641</v>
      </c>
      <c r="C28" s="287">
        <f ca="1">C30</f>
        <v>1</v>
      </c>
      <c r="D28" s="280">
        <f ca="1">C29</f>
        <v>0</v>
      </c>
      <c r="E28" s="282" t="s">
        <v>12</v>
      </c>
      <c r="F28" s="288">
        <f ca="1">IF(C1="",'数据-取费表'!Q16,INDIRECT("'数据-取费表'!q"&amp;$K$1))</f>
        <v>0.17</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1</v>
      </c>
      <c r="D30" s="284"/>
      <c r="E30" s="285"/>
      <c r="F30" s="290"/>
      <c r="G30" s="131"/>
      <c r="H30" s="806"/>
      <c r="I30" s="806"/>
      <c r="J30" s="806"/>
      <c r="K30" s="807"/>
    </row>
    <row r="31" spans="1:33" s="802" customFormat="1" ht="13.5" customHeight="1" thickBot="1">
      <c r="A31" s="1865" t="s">
        <v>1645</v>
      </c>
      <c r="B31" s="832" t="s">
        <v>1646</v>
      </c>
      <c r="C31" s="833">
        <f>ROUND(C4*F31/(1+'数据-取费表'!C42),0)</f>
        <v>0</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-8</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876</v>
      </c>
      <c r="B1" s="712"/>
      <c r="C1" s="1378"/>
      <c r="D1" s="1361" t="s">
        <v>43</v>
      </c>
      <c r="E1" s="1362" t="s">
        <v>677</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803</v>
      </c>
      <c r="B2" s="1385" t="e">
        <f ca="1">C40+J29+L46</f>
        <v>#DIV/0!</v>
      </c>
      <c r="C2" s="1386" t="s">
        <v>804</v>
      </c>
      <c r="D2" s="1386"/>
      <c r="E2" s="1387"/>
      <c r="F2" s="1388"/>
      <c r="G2" s="2705"/>
      <c r="H2" s="2694"/>
      <c r="I2" s="2694"/>
      <c r="J2" s="2694"/>
      <c r="K2" s="2695"/>
      <c r="L2" s="2694"/>
      <c r="M2" s="2694"/>
    </row>
    <row r="3" spans="1:37" ht="18" customHeight="1" thickBot="1">
      <c r="A3" s="1389" t="s">
        <v>805</v>
      </c>
      <c r="B3" s="1390">
        <f ca="1">IF(ISERROR(B2*10000/F43),0,ROUND(B2*10000/F43,0))</f>
        <v>0</v>
      </c>
      <c r="C3" s="1386" t="s">
        <v>806</v>
      </c>
      <c r="D3" s="1386"/>
      <c r="E3" s="1387"/>
      <c r="F3" s="1388"/>
      <c r="G3" s="2705"/>
      <c r="H3" s="682" t="s">
        <v>875</v>
      </c>
      <c r="I3" s="1381"/>
      <c r="J3" s="1381"/>
      <c r="K3" s="1382"/>
      <c r="L3" s="1381"/>
      <c r="M3" s="1381"/>
    </row>
    <row r="4" spans="1:37" ht="18" customHeight="1">
      <c r="A4" s="295" t="s">
        <v>686</v>
      </c>
      <c r="B4" s="296" t="s">
        <v>687</v>
      </c>
      <c r="C4" s="296" t="s">
        <v>688</v>
      </c>
      <c r="D4" s="296" t="s">
        <v>689</v>
      </c>
      <c r="E4" s="297" t="s">
        <v>690</v>
      </c>
      <c r="F4" s="298"/>
      <c r="G4" s="1383"/>
      <c r="H4" s="295" t="s">
        <v>686</v>
      </c>
      <c r="I4" s="296" t="s">
        <v>687</v>
      </c>
      <c r="J4" s="296" t="s">
        <v>688</v>
      </c>
      <c r="K4" s="296" t="s">
        <v>689</v>
      </c>
      <c r="L4" s="297" t="s">
        <v>690</v>
      </c>
      <c r="M4" s="298"/>
    </row>
    <row r="5" spans="1:37" ht="18" customHeight="1">
      <c r="A5" s="299">
        <v>1</v>
      </c>
      <c r="B5" s="300" t="s">
        <v>691</v>
      </c>
      <c r="C5" s="1069">
        <f ca="1">C6+C10+C12</f>
        <v>0</v>
      </c>
      <c r="D5" s="1363" t="s">
        <v>692</v>
      </c>
      <c r="E5" s="1070"/>
      <c r="F5" s="1071"/>
      <c r="G5" s="1383"/>
      <c r="H5" s="299">
        <v>1</v>
      </c>
      <c r="I5" s="300" t="s">
        <v>691</v>
      </c>
      <c r="J5" s="1069">
        <f ca="1">J6+J10+J12</f>
        <v>0</v>
      </c>
      <c r="K5" s="1363" t="s">
        <v>692</v>
      </c>
      <c r="L5" s="1070"/>
      <c r="M5" s="1071"/>
    </row>
    <row r="6" spans="1:37" ht="18" customHeight="1">
      <c r="A6" s="1068" t="s">
        <v>398</v>
      </c>
      <c r="B6" s="3637" t="s">
        <v>693</v>
      </c>
      <c r="C6" s="1073">
        <f ca="1">ROUND(F6*F8*F7*(1-F9)/10000,0)</f>
        <v>0</v>
      </c>
      <c r="D6" s="155" t="s">
        <v>2107</v>
      </c>
      <c r="E6" s="302" t="s">
        <v>695</v>
      </c>
      <c r="F6" s="303">
        <f ca="1">INDIRECT("'数据-取费表'!u"&amp;$G$1)</f>
        <v>0</v>
      </c>
      <c r="G6" s="1383"/>
      <c r="H6" s="1068" t="s">
        <v>398</v>
      </c>
      <c r="I6" s="3637" t="s">
        <v>693</v>
      </c>
      <c r="J6" s="301">
        <f ca="1">ROUND(M6*M8*M7*(1-M9)/10000,0)</f>
        <v>0</v>
      </c>
      <c r="K6" s="155" t="s">
        <v>2106</v>
      </c>
      <c r="L6" s="302" t="s">
        <v>695</v>
      </c>
      <c r="M6" s="303">
        <f ca="1">INDIRECT("'数据-取费表'!z"&amp;$G$1)</f>
        <v>0</v>
      </c>
    </row>
    <row r="7" spans="1:37" ht="18" customHeight="1">
      <c r="A7" s="1072"/>
      <c r="B7" s="3638"/>
      <c r="C7" s="1074"/>
      <c r="D7" s="307"/>
      <c r="E7" s="1075" t="s">
        <v>696</v>
      </c>
      <c r="F7" s="303">
        <f ca="1">IF(INDIRECT("'数据-取费表'!ah"&amp;$G$1)="",INDIRECT("'数据-取费表'!k"&amp;$G$1),INDIRECT("'数据-取费表'!ah"&amp;$G$1))</f>
        <v>0</v>
      </c>
      <c r="G7" s="1383"/>
      <c r="H7" s="304"/>
      <c r="I7" s="3638"/>
      <c r="J7" s="306"/>
      <c r="K7" s="307"/>
      <c r="L7" s="302" t="s">
        <v>696</v>
      </c>
      <c r="M7" s="303">
        <f ca="1">F7</f>
        <v>0</v>
      </c>
    </row>
    <row r="8" spans="1:37" ht="18" customHeight="1">
      <c r="A8" s="304"/>
      <c r="B8" s="3638"/>
      <c r="C8" s="306"/>
      <c r="D8" s="307"/>
      <c r="E8" s="302" t="s">
        <v>697</v>
      </c>
      <c r="F8" s="303">
        <f ca="1">INDIRECT("'数据-取费表'!ai"&amp;$G$1)</f>
        <v>0</v>
      </c>
      <c r="G8" s="1383"/>
      <c r="H8" s="304"/>
      <c r="I8" s="3638"/>
      <c r="J8" s="306"/>
      <c r="K8" s="307"/>
      <c r="L8" s="302" t="s">
        <v>697</v>
      </c>
      <c r="M8" s="303">
        <f ca="1">INDIRECT("'数据-取费表'!ai"&amp;$G$1)</f>
        <v>0</v>
      </c>
    </row>
    <row r="9" spans="1:37" ht="18" customHeight="1">
      <c r="A9" s="304"/>
      <c r="B9" s="3639"/>
      <c r="C9" s="306"/>
      <c r="D9" s="307"/>
      <c r="E9" s="302" t="s">
        <v>698</v>
      </c>
      <c r="F9" s="312">
        <f ca="1">INDIRECT("'数据-取费表'!w"&amp;$G$1)</f>
        <v>0</v>
      </c>
      <c r="G9" s="1383"/>
      <c r="H9" s="304"/>
      <c r="I9" s="3639"/>
      <c r="J9" s="306"/>
      <c r="K9" s="307"/>
      <c r="L9" s="313" t="s">
        <v>698</v>
      </c>
      <c r="M9" s="314">
        <f ca="1">INDIRECT("'数据-取费表'!ab"&amp;$G$1)</f>
        <v>0</v>
      </c>
    </row>
    <row r="10" spans="1:37" ht="18" customHeight="1">
      <c r="A10" s="1068" t="s">
        <v>402</v>
      </c>
      <c r="B10" s="1364" t="s">
        <v>699</v>
      </c>
      <c r="C10" s="316">
        <f ca="1">ROUND(IF(F10="押一",C6/12*F11,IF(F10="押二",C6/12*2*F11,IF(F10="押三",C6/12*3*F11,C11*F11))),0)</f>
        <v>0</v>
      </c>
      <c r="D10" s="1365" t="s">
        <v>2115</v>
      </c>
      <c r="E10" s="313" t="s">
        <v>700</v>
      </c>
      <c r="F10" s="1115"/>
      <c r="G10" s="1383"/>
      <c r="H10" s="1068" t="s">
        <v>402</v>
      </c>
      <c r="I10" s="1364" t="s">
        <v>699</v>
      </c>
      <c r="J10" s="301">
        <f ca="1">ROUND(IF(M10="押一",J6/12*M11,IF(M10="押二",J6/12*2*M11,IF(M10="押三",J6/12*3*M11,J11*M11))),0)</f>
        <v>0</v>
      </c>
      <c r="K10" s="1365" t="s">
        <v>2114</v>
      </c>
      <c r="L10" s="313" t="s">
        <v>700</v>
      </c>
      <c r="M10" s="1115"/>
    </row>
    <row r="11" spans="1:37" ht="18" customHeight="1">
      <c r="A11" s="308"/>
      <c r="B11" s="1366" t="s">
        <v>678</v>
      </c>
      <c r="C11" s="958"/>
      <c r="D11" s="1367"/>
      <c r="E11" s="313" t="s">
        <v>701</v>
      </c>
      <c r="F11" s="314">
        <f ca="1">'数据-取费表'!B39</f>
        <v>1.4999999999999999E-2</v>
      </c>
      <c r="G11" s="1383"/>
      <c r="H11" s="1076"/>
      <c r="I11" s="1366" t="s">
        <v>678</v>
      </c>
      <c r="J11" s="958"/>
      <c r="K11" s="683"/>
      <c r="L11" s="313" t="s">
        <v>701</v>
      </c>
      <c r="M11" s="861">
        <f ca="1">'数据-取费表'!B39</f>
        <v>1.4999999999999999E-2</v>
      </c>
    </row>
    <row r="12" spans="1:37" ht="18" customHeight="1" thickBot="1">
      <c r="A12" s="1082" t="s">
        <v>437</v>
      </c>
      <c r="B12" s="1368" t="s">
        <v>702</v>
      </c>
      <c r="C12" s="1083"/>
      <c r="D12" s="1084"/>
      <c r="E12" s="1089"/>
      <c r="F12" s="1085"/>
      <c r="G12" s="1383"/>
      <c r="H12" s="1082" t="s">
        <v>437</v>
      </c>
      <c r="I12" s="1368" t="s">
        <v>702</v>
      </c>
      <c r="J12" s="1083"/>
      <c r="K12" s="1097"/>
      <c r="L12" s="1089"/>
      <c r="M12" s="1098"/>
    </row>
    <row r="13" spans="1:37" ht="18" customHeight="1" thickTop="1">
      <c r="A13" s="1078">
        <v>2</v>
      </c>
      <c r="B13" s="1079" t="s">
        <v>703</v>
      </c>
      <c r="C13" s="310">
        <f ca="1">ROUND(C29*F13,0)</f>
        <v>0</v>
      </c>
      <c r="D13" s="1080" t="s">
        <v>704</v>
      </c>
      <c r="E13" s="1080" t="s">
        <v>705</v>
      </c>
      <c r="F13" s="1081">
        <f ca="1">INDIRECT("'数据-取费表'!y"&amp;$G$1)</f>
        <v>0</v>
      </c>
      <c r="G13" s="1383"/>
      <c r="H13" s="1078">
        <v>2</v>
      </c>
      <c r="I13" s="1079" t="s">
        <v>703</v>
      </c>
      <c r="J13" s="1067">
        <f ca="1">ROUND(J14*J15,0)</f>
        <v>0</v>
      </c>
      <c r="K13" s="1086" t="s">
        <v>704</v>
      </c>
      <c r="L13" s="1391"/>
      <c r="M13" s="1392"/>
    </row>
    <row r="14" spans="1:37" ht="18" customHeight="1">
      <c r="A14" s="981" t="s">
        <v>397</v>
      </c>
      <c r="B14" s="302" t="s">
        <v>706</v>
      </c>
      <c r="C14" s="318">
        <f ca="1">INDIRECT("'数据-取费表'!m"&amp;$G$1)+INDIRECT("'数据-取费表'!t"&amp;$G$1)</f>
        <v>0</v>
      </c>
      <c r="D14" s="1344" t="s">
        <v>707</v>
      </c>
      <c r="E14" s="1341"/>
      <c r="F14" s="319"/>
      <c r="G14" s="1383"/>
      <c r="H14" s="981" t="s">
        <v>398</v>
      </c>
      <c r="I14" s="302" t="s">
        <v>708</v>
      </c>
      <c r="J14" s="21">
        <f ca="1">C29</f>
        <v>0</v>
      </c>
      <c r="K14" s="12"/>
      <c r="L14" s="806"/>
      <c r="M14" s="807"/>
    </row>
    <row r="15" spans="1:37" s="1396" customFormat="1" ht="18" customHeight="1" thickBot="1">
      <c r="A15" s="981" t="s">
        <v>399</v>
      </c>
      <c r="B15" s="302" t="s">
        <v>709</v>
      </c>
      <c r="C15" s="21">
        <f ca="1">ROUND(C14*F15,0)</f>
        <v>0</v>
      </c>
      <c r="D15" s="320" t="s">
        <v>710</v>
      </c>
      <c r="E15" s="320" t="s">
        <v>711</v>
      </c>
      <c r="F15" s="321">
        <f>'数据-取费表'!B33</f>
        <v>0.03</v>
      </c>
      <c r="G15" s="1395"/>
      <c r="H15" s="1088" t="s">
        <v>402</v>
      </c>
      <c r="I15" s="1089" t="s">
        <v>705</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679</v>
      </c>
      <c r="B16" s="302" t="s">
        <v>712</v>
      </c>
      <c r="C16" s="21">
        <f ca="1">ROUND(INDIRECT("'数据-取费表'!m"&amp;$G$1)*F16,0)</f>
        <v>0</v>
      </c>
      <c r="D16" s="302" t="s">
        <v>710</v>
      </c>
      <c r="E16" s="302" t="s">
        <v>711</v>
      </c>
      <c r="F16" s="322">
        <f ca="1">IF(INDIRECT("'数据-取费表'!c"&amp;$G$1)="住宅",'数据-取费表'!B34,0)</f>
        <v>0</v>
      </c>
      <c r="G16" s="1383"/>
      <c r="H16" s="1078" t="s">
        <v>393</v>
      </c>
      <c r="I16" s="1079" t="s">
        <v>713</v>
      </c>
      <c r="J16" s="310">
        <f ca="1">ROUND(J17+J22+J23+J24,0)</f>
        <v>0</v>
      </c>
      <c r="K16" s="1086" t="s">
        <v>714</v>
      </c>
      <c r="L16" s="1087"/>
      <c r="M16" s="1071"/>
    </row>
    <row r="17" spans="1:37" s="1396" customFormat="1" ht="18" customHeight="1">
      <c r="A17" s="981" t="s">
        <v>680</v>
      </c>
      <c r="B17" s="302" t="s">
        <v>715</v>
      </c>
      <c r="C17" s="21">
        <f ca="1">ROUND(F17*(F43+INDIRECT("'数据-取费表'!S"&amp;$G$1))/10000,0)</f>
        <v>0</v>
      </c>
      <c r="D17" s="302" t="s">
        <v>716</v>
      </c>
      <c r="E17" s="302" t="s">
        <v>717</v>
      </c>
      <c r="F17" s="23">
        <f>'数据-取费表'!B35</f>
        <v>200</v>
      </c>
      <c r="G17" s="1395"/>
      <c r="H17" s="981" t="s">
        <v>398</v>
      </c>
      <c r="I17" s="302" t="s">
        <v>718</v>
      </c>
      <c r="J17" s="2315">
        <f ca="1">ROUND(IF(AND(项目基本情况!B11="自然人",项目基本情况!B10="北京市"),J6*M17/(1+'数据-取费表'!C42),J18+J19+J20),2)</f>
        <v>0</v>
      </c>
      <c r="K17" s="1344" t="s">
        <v>719</v>
      </c>
      <c r="L17" s="1343" t="s">
        <v>720</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681</v>
      </c>
      <c r="B18" s="302" t="s">
        <v>721</v>
      </c>
      <c r="C18" s="21">
        <f ca="1">ROUND(C14*F18,0)</f>
        <v>0</v>
      </c>
      <c r="D18" s="302" t="s">
        <v>710</v>
      </c>
      <c r="E18" s="302" t="s">
        <v>711</v>
      </c>
      <c r="F18" s="322">
        <f>'数据-取费表'!B36</f>
        <v>1.4999999999999999E-2</v>
      </c>
      <c r="G18" s="1395"/>
      <c r="H18" s="981" t="s">
        <v>397</v>
      </c>
      <c r="I18" s="302" t="s">
        <v>722</v>
      </c>
      <c r="J18" s="21">
        <f ca="1">ROUND(J6*M18/(1+'数据-取费表'!C42),2)</f>
        <v>0</v>
      </c>
      <c r="K18" s="1343" t="s">
        <v>723</v>
      </c>
      <c r="L18" s="302" t="s">
        <v>711</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724</v>
      </c>
      <c r="C19" s="21">
        <f ca="1">SUM(C14:C18)</f>
        <v>0</v>
      </c>
      <c r="D19" s="131" t="s">
        <v>725</v>
      </c>
      <c r="E19" s="1359"/>
      <c r="F19" s="23"/>
      <c r="G19" s="1383"/>
      <c r="H19" s="981" t="s">
        <v>399</v>
      </c>
      <c r="I19" s="302" t="s">
        <v>726</v>
      </c>
      <c r="J19" s="21">
        <f ca="1">IF(K19="按租金收入计税",ROUND(J6*M19/(1+'数据-取费表'!C42),2),ROUND(C29*M19*0.7,2))</f>
        <v>0</v>
      </c>
      <c r="K19" s="1369" t="s">
        <v>3340</v>
      </c>
      <c r="L19" s="302" t="s">
        <v>711</v>
      </c>
      <c r="M19" s="322">
        <f>IF(K19="按租金收入计税",'数据-取费表'!B51,'数据-取费表'!B50)</f>
        <v>0.12</v>
      </c>
    </row>
    <row r="20" spans="1:37" s="1396" customFormat="1" ht="18" customHeight="1">
      <c r="A20" s="981" t="s">
        <v>402</v>
      </c>
      <c r="B20" s="302" t="s">
        <v>727</v>
      </c>
      <c r="C20" s="21">
        <f ca="1">ROUND(C19*F20,0)</f>
        <v>0</v>
      </c>
      <c r="D20" s="323" t="s">
        <v>728</v>
      </c>
      <c r="E20" s="302" t="s">
        <v>711</v>
      </c>
      <c r="F20" s="322">
        <f>'数据-取费表'!B37</f>
        <v>0.02</v>
      </c>
      <c r="G20" s="1395"/>
      <c r="H20" s="981" t="s">
        <v>679</v>
      </c>
      <c r="I20" s="155" t="s">
        <v>729</v>
      </c>
      <c r="J20" s="22">
        <f ca="1">ROUND(M20*M21/10000,2)</f>
        <v>0</v>
      </c>
      <c r="K20" s="324" t="s">
        <v>730</v>
      </c>
      <c r="L20" s="302" t="s">
        <v>731</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732</v>
      </c>
      <c r="C21" s="21" t="s">
        <v>15</v>
      </c>
      <c r="D21" s="323" t="s">
        <v>733</v>
      </c>
      <c r="E21" s="302" t="s">
        <v>734</v>
      </c>
      <c r="F21" s="322">
        <f>'数据-取费表'!B38</f>
        <v>0.02</v>
      </c>
      <c r="G21" s="1395"/>
      <c r="H21" s="326"/>
      <c r="I21" s="311"/>
      <c r="J21" s="26"/>
      <c r="K21" s="327"/>
      <c r="L21" s="302" t="s">
        <v>735</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682</v>
      </c>
      <c r="B22" s="302" t="s">
        <v>736</v>
      </c>
      <c r="C22" s="21"/>
      <c r="D22" s="131" t="str">
        <f>IF(F23&lt;=1,"单利计息。","复利计息。")&amp;"建造成本、管理费用、销售费用产生的利息。"</f>
        <v>复利计息。建造成本、管理费用、销售费用产生的利息。</v>
      </c>
      <c r="E22" s="1359"/>
      <c r="F22" s="23"/>
      <c r="G22" s="1383"/>
      <c r="H22" s="981" t="s">
        <v>402</v>
      </c>
      <c r="I22" s="302" t="s">
        <v>737</v>
      </c>
      <c r="J22" s="21">
        <f ca="1">ROUND(J14*M22,2)</f>
        <v>0</v>
      </c>
      <c r="K22" s="1343" t="s">
        <v>738</v>
      </c>
      <c r="L22" s="302" t="s">
        <v>711</v>
      </c>
      <c r="M22" s="328">
        <f ca="1">INDIRECT("'数据-取费表'!Ak"&amp;$G$1)</f>
        <v>0</v>
      </c>
    </row>
    <row r="23" spans="1:37" s="1396" customFormat="1" ht="18" customHeight="1">
      <c r="A23" s="981" t="s">
        <v>397</v>
      </c>
      <c r="B23" s="302" t="s">
        <v>739</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740</v>
      </c>
      <c r="F23" s="325">
        <f>'数据-取费表'!B20</f>
        <v>2</v>
      </c>
      <c r="G23" s="1395"/>
      <c r="H23" s="981" t="s">
        <v>437</v>
      </c>
      <c r="I23" s="302" t="s">
        <v>741</v>
      </c>
      <c r="J23" s="21">
        <f ca="1">ROUND(J13*M23,2)</f>
        <v>0</v>
      </c>
      <c r="K23" s="1343" t="s">
        <v>742</v>
      </c>
      <c r="L23" s="302" t="s">
        <v>743</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5"/>
      <c r="H24" s="1088" t="s">
        <v>683</v>
      </c>
      <c r="I24" s="1089" t="s">
        <v>727</v>
      </c>
      <c r="J24" s="1090">
        <f ca="1">ROUND(J5*M24,2)</f>
        <v>0</v>
      </c>
      <c r="K24" s="1091" t="s">
        <v>747</v>
      </c>
      <c r="L24" s="1089" t="s">
        <v>743</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748</v>
      </c>
      <c r="B25" s="302" t="s">
        <v>749</v>
      </c>
      <c r="C25" s="21"/>
      <c r="D25" s="131" t="s">
        <v>750</v>
      </c>
      <c r="E25" s="1359"/>
      <c r="F25" s="23"/>
      <c r="G25" s="1383"/>
      <c r="H25" s="1078" t="s">
        <v>394</v>
      </c>
      <c r="I25" s="1093" t="s">
        <v>751</v>
      </c>
      <c r="J25" s="310">
        <f ca="1">J5-J16</f>
        <v>0</v>
      </c>
      <c r="K25" s="1094" t="s">
        <v>752</v>
      </c>
      <c r="L25" s="1095"/>
      <c r="M25" s="1096"/>
    </row>
    <row r="26" spans="1:37">
      <c r="A26" s="981" t="s">
        <v>397</v>
      </c>
      <c r="B26" s="302" t="s">
        <v>753</v>
      </c>
      <c r="C26" s="21">
        <f ca="1">ROUND((C19+C20)*F26,0)</f>
        <v>0</v>
      </c>
      <c r="D26" s="323" t="s">
        <v>754</v>
      </c>
      <c r="E26" s="313" t="s">
        <v>755</v>
      </c>
      <c r="F26" s="312">
        <f ca="1">INDIRECT("'数据-取费表'!q"&amp;$G$1)</f>
        <v>0</v>
      </c>
      <c r="G26" s="1383"/>
      <c r="H26" s="299" t="s">
        <v>395</v>
      </c>
      <c r="I26" s="300" t="s">
        <v>756</v>
      </c>
      <c r="J26" s="301">
        <f ca="1">IF(J5&lt;&gt;0,ROUND(J25*(1-((1+M28)/(1+M26))^M27)/(M26-M28),0),0)</f>
        <v>0</v>
      </c>
      <c r="K26" s="324" t="s">
        <v>757</v>
      </c>
      <c r="L26" s="302" t="s">
        <v>758</v>
      </c>
      <c r="M26" s="312">
        <f ca="1">INDIRECT("'数据-取费表'!I"&amp;$G$1)</f>
        <v>0</v>
      </c>
    </row>
    <row r="27" spans="1:37" ht="18" customHeight="1">
      <c r="A27" s="981" t="s">
        <v>399</v>
      </c>
      <c r="B27" s="302" t="s">
        <v>759</v>
      </c>
      <c r="C27" s="21">
        <f ca="1">ROUND(F21*F26,4)</f>
        <v>0</v>
      </c>
      <c r="D27" s="323" t="s">
        <v>760</v>
      </c>
      <c r="E27" s="320"/>
      <c r="F27" s="321"/>
      <c r="G27" s="1383"/>
      <c r="H27" s="304"/>
      <c r="I27" s="305"/>
      <c r="J27" s="306"/>
      <c r="K27" s="332" t="s">
        <v>761</v>
      </c>
      <c r="L27" s="302" t="s">
        <v>762</v>
      </c>
      <c r="M27" s="333">
        <f ca="1">INDIRECT("'数据-取费表'!ag"&amp;$G$1)</f>
        <v>0</v>
      </c>
    </row>
    <row r="28" spans="1:37" s="1396" customFormat="1" ht="18" customHeight="1">
      <c r="A28" s="981" t="s">
        <v>400</v>
      </c>
      <c r="B28" s="302" t="s">
        <v>763</v>
      </c>
      <c r="C28" s="21">
        <f>ROUND(F28/(1+'数据-取费表'!C42),4)</f>
        <v>5.2400000000000002E-2</v>
      </c>
      <c r="D28" s="323" t="s">
        <v>764</v>
      </c>
      <c r="E28" s="302" t="s">
        <v>711</v>
      </c>
      <c r="F28" s="322">
        <f>'数据-取费表'!B41</f>
        <v>5.5000000000000007E-2</v>
      </c>
      <c r="G28" s="1395"/>
      <c r="H28" s="308"/>
      <c r="I28" s="309"/>
      <c r="J28" s="310"/>
      <c r="K28" s="327"/>
      <c r="L28" s="302" t="s">
        <v>765</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766</v>
      </c>
      <c r="C29" s="1090">
        <f ca="1">ROUND((C19+C20+C23+C26)/(1-F21-C24-C27-C28),0)</f>
        <v>0</v>
      </c>
      <c r="D29" s="1091"/>
      <c r="E29" s="1089"/>
      <c r="F29" s="1092"/>
      <c r="G29" s="1395"/>
      <c r="H29" s="334" t="s">
        <v>396</v>
      </c>
      <c r="I29" s="335" t="s">
        <v>767</v>
      </c>
      <c r="J29" s="336">
        <f ca="1">ROUND(J26/(1+F40)^F41,0)</f>
        <v>0</v>
      </c>
      <c r="K29" s="337" t="s">
        <v>768</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713</v>
      </c>
      <c r="C30" s="310">
        <f ca="1">ROUND(C31+C36+C37+C38,0)</f>
        <v>0</v>
      </c>
      <c r="D30" s="1086" t="s">
        <v>714</v>
      </c>
      <c r="E30" s="1087"/>
      <c r="F30" s="1071"/>
      <c r="G30" s="1383"/>
      <c r="H30" s="2696"/>
      <c r="I30" s="1397"/>
      <c r="J30" s="1398"/>
      <c r="K30" s="2474"/>
      <c r="L30" s="2697"/>
      <c r="M30" s="2698"/>
    </row>
    <row r="31" spans="1:37" ht="18" customHeight="1">
      <c r="A31" s="981" t="s">
        <v>398</v>
      </c>
      <c r="B31" s="302" t="s">
        <v>718</v>
      </c>
      <c r="C31" s="2315">
        <f ca="1">ROUND(IF(AND(项目基本情况!B11="自然人",项目基本情况!B10="北京市"),C6*F31/(1+'数据-取费表'!C42),C32+C33+C34),2)</f>
        <v>0</v>
      </c>
      <c r="D31" s="1344" t="s">
        <v>719</v>
      </c>
      <c r="E31" s="1343" t="s">
        <v>769</v>
      </c>
      <c r="F31" s="2314">
        <f ca="1">IF(项目基本情况!B11="企业","——",IF(M47="住宅",IF(F6*F7*F8/12/(1+'数据-取费表'!F30)&gt;100000,4%,2.5%),IF(F6*F7*F8/12/(1+'数据-取费表'!F30)&gt;100000,12%,7%)))</f>
        <v>7.0000000000000007E-2</v>
      </c>
      <c r="G31" s="1383"/>
      <c r="H31" s="2807" t="s">
        <v>2308</v>
      </c>
      <c r="I31" s="1397"/>
      <c r="J31" s="1398"/>
      <c r="K31" s="2474"/>
      <c r="L31" s="2697"/>
      <c r="M31" s="2698"/>
    </row>
    <row r="32" spans="1:37" ht="18" customHeight="1">
      <c r="A32" s="981" t="s">
        <v>397</v>
      </c>
      <c r="B32" s="302" t="s">
        <v>722</v>
      </c>
      <c r="C32" s="21" t="str">
        <f>IF(项目基本情况!B11="自然人","——",ROUND(C6*F32/(1+'数据-取费表'!C42),2))</f>
        <v>——</v>
      </c>
      <c r="D32" s="1343" t="s">
        <v>723</v>
      </c>
      <c r="E32" s="302" t="s">
        <v>711</v>
      </c>
      <c r="F32" s="331">
        <f>'数据-取费表'!B41</f>
        <v>5.5000000000000007E-2</v>
      </c>
      <c r="G32" s="1383"/>
      <c r="H32" s="2696"/>
      <c r="I32" s="1397"/>
      <c r="J32" s="1398"/>
      <c r="K32" s="2474"/>
      <c r="L32" s="2697"/>
      <c r="M32" s="2698"/>
    </row>
    <row r="33" spans="1:18" ht="18" customHeight="1">
      <c r="A33" s="981" t="s">
        <v>399</v>
      </c>
      <c r="B33" s="302" t="s">
        <v>726</v>
      </c>
      <c r="C33" s="21" t="str">
        <f ca="1">IF(项目基本情况!B11="自然人","——",IF(D33="按租金收入计税",ROUND(C6*F33/(1+'数据-取费表'!C42),2),IF(D33="按房产原值计税",ROUND(C29*F33*0.7,2),INDIRECT("'数据-取费表'!Aj"&amp;$G$1))))</f>
        <v>——</v>
      </c>
      <c r="D33" s="1369" t="s">
        <v>3340</v>
      </c>
      <c r="E33" s="302" t="s">
        <v>711</v>
      </c>
      <c r="F33" s="322">
        <f>IF(D33="按票据","——",IF(D33="按租金收入计税",'数据-取费表'!B51,'数据-取费表'!B50))</f>
        <v>0.12</v>
      </c>
      <c r="G33" s="1383"/>
      <c r="H33" s="2699"/>
      <c r="I33" s="1397"/>
      <c r="J33" s="1398"/>
      <c r="K33" s="2700"/>
      <c r="L33" s="2699"/>
      <c r="M33" s="2699"/>
    </row>
    <row r="34" spans="1:18" ht="18" customHeight="1">
      <c r="A34" s="1068" t="s">
        <v>679</v>
      </c>
      <c r="B34" s="155" t="s">
        <v>729</v>
      </c>
      <c r="C34" s="22" t="str">
        <f>IF(项目基本情况!B11="自然人","——",ROUND(F34*F35/10000,2))</f>
        <v>——</v>
      </c>
      <c r="D34" s="324" t="s">
        <v>730</v>
      </c>
      <c r="E34" s="302" t="s">
        <v>731</v>
      </c>
      <c r="F34" s="325">
        <f>'数据-取费表'!B52</f>
        <v>1.5</v>
      </c>
      <c r="G34" s="1383"/>
      <c r="H34" s="2696"/>
      <c r="I34" s="1397"/>
      <c r="J34" s="1398"/>
      <c r="K34" s="2701"/>
      <c r="L34" s="2702"/>
      <c r="M34" s="2702"/>
    </row>
    <row r="35" spans="1:18" ht="18" customHeight="1">
      <c r="A35" s="1102"/>
      <c r="B35" s="1100"/>
      <c r="C35" s="26"/>
      <c r="D35" s="327"/>
      <c r="E35" s="302" t="s">
        <v>735</v>
      </c>
      <c r="F35" s="303">
        <f ca="1">INDIRECT("'数据-取费表'!r"&amp;$G$1)</f>
        <v>0</v>
      </c>
      <c r="G35" s="1383"/>
      <c r="H35" s="2696"/>
      <c r="I35" s="1397"/>
      <c r="J35" s="1398"/>
      <c r="K35" s="2700"/>
      <c r="L35" s="2699"/>
      <c r="M35" s="2699"/>
    </row>
    <row r="36" spans="1:18" ht="18" customHeight="1">
      <c r="A36" s="1101" t="s">
        <v>402</v>
      </c>
      <c r="B36" s="302" t="s">
        <v>737</v>
      </c>
      <c r="C36" s="21">
        <f ca="1">ROUND(C29*F36,2)</f>
        <v>0</v>
      </c>
      <c r="D36" s="1343" t="s">
        <v>770</v>
      </c>
      <c r="E36" s="302" t="s">
        <v>711</v>
      </c>
      <c r="F36" s="328">
        <f ca="1">INDIRECT("'数据-取费表'!Ak"&amp;$G$1)</f>
        <v>0</v>
      </c>
      <c r="G36" s="1383"/>
      <c r="H36" s="2699"/>
      <c r="I36" s="1397"/>
      <c r="J36" s="1398"/>
      <c r="K36" s="2543"/>
      <c r="L36" s="2699"/>
      <c r="M36" s="2699"/>
    </row>
    <row r="37" spans="1:18" ht="18" customHeight="1">
      <c r="A37" s="981" t="s">
        <v>437</v>
      </c>
      <c r="B37" s="302" t="s">
        <v>741</v>
      </c>
      <c r="C37" s="21">
        <f ca="1">ROUND(C13*F37,2)</f>
        <v>0</v>
      </c>
      <c r="D37" s="1343" t="s">
        <v>742</v>
      </c>
      <c r="E37" s="302" t="s">
        <v>743</v>
      </c>
      <c r="F37" s="330">
        <f ca="1">INDIRECT("'数据-取费表'!Al"&amp;$G$1)</f>
        <v>0</v>
      </c>
      <c r="G37" s="1383"/>
      <c r="H37" s="2699"/>
      <c r="I37" s="1397"/>
      <c r="J37" s="1398"/>
      <c r="K37" s="2543"/>
      <c r="L37" s="2699"/>
      <c r="M37" s="2699"/>
    </row>
    <row r="38" spans="1:18" ht="18" customHeight="1" thickBot="1">
      <c r="A38" s="1088" t="s">
        <v>683</v>
      </c>
      <c r="B38" s="1089" t="s">
        <v>727</v>
      </c>
      <c r="C38" s="1090">
        <f ca="1">ROUND(C5*F38,2)</f>
        <v>0</v>
      </c>
      <c r="D38" s="1091" t="s">
        <v>747</v>
      </c>
      <c r="E38" s="1089" t="s">
        <v>743</v>
      </c>
      <c r="F38" s="1085">
        <f ca="1">INDIRECT("'数据-取费表'!Am"&amp;$G$1)</f>
        <v>0</v>
      </c>
      <c r="G38" s="1383"/>
      <c r="H38" s="2699"/>
      <c r="I38" s="1397"/>
      <c r="J38" s="1398"/>
      <c r="K38" s="2703"/>
      <c r="L38" s="2699"/>
      <c r="M38" s="2699"/>
    </row>
    <row r="39" spans="1:18" ht="24.6" customHeight="1" thickTop="1">
      <c r="A39" s="1078" t="s">
        <v>394</v>
      </c>
      <c r="B39" s="1093" t="s">
        <v>771</v>
      </c>
      <c r="C39" s="310">
        <f ca="1">C5-C30</f>
        <v>0</v>
      </c>
      <c r="D39" s="1094" t="s">
        <v>772</v>
      </c>
      <c r="E39" s="1095"/>
      <c r="F39" s="1096"/>
      <c r="G39" s="1383"/>
      <c r="H39" s="2699"/>
      <c r="I39" s="1397"/>
      <c r="J39" s="1398"/>
      <c r="K39" s="2703"/>
      <c r="L39" s="2699"/>
      <c r="M39" s="2699"/>
    </row>
    <row r="40" spans="1:18" ht="18" customHeight="1">
      <c r="A40" s="299" t="s">
        <v>395</v>
      </c>
      <c r="B40" s="300" t="s">
        <v>773</v>
      </c>
      <c r="C40" s="301" t="e">
        <f ca="1">ROUND(C39*(1-((1+F42)/(1+F40))^F41)/(F40-F42),0)</f>
        <v>#DIV/0!</v>
      </c>
      <c r="D40" s="324" t="s">
        <v>757</v>
      </c>
      <c r="E40" s="302" t="s">
        <v>758</v>
      </c>
      <c r="F40" s="312">
        <f ca="1">INDIRECT("'数据-取费表'!I"&amp;$G$1)</f>
        <v>0</v>
      </c>
      <c r="G40" s="1383"/>
      <c r="H40" s="1460"/>
      <c r="I40" s="1397"/>
      <c r="J40" s="1398"/>
      <c r="K40" s="2703"/>
      <c r="L40" s="1460"/>
      <c r="M40" s="1460"/>
    </row>
    <row r="41" spans="1:18" ht="18" customHeight="1">
      <c r="A41" s="304"/>
      <c r="B41" s="305"/>
      <c r="C41" s="306"/>
      <c r="D41" s="332" t="s">
        <v>774</v>
      </c>
      <c r="E41" s="302" t="s">
        <v>762</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765</v>
      </c>
      <c r="F42" s="312">
        <f ca="1">INDIRECT("'数据-取费表'!v"&amp;$G$1)</f>
        <v>0</v>
      </c>
      <c r="G42" s="1383"/>
      <c r="H42" s="1190"/>
      <c r="I42" s="1397"/>
      <c r="J42" s="1398"/>
      <c r="K42" s="2543"/>
      <c r="L42" s="1190"/>
      <c r="M42" s="1190"/>
    </row>
    <row r="43" spans="1:18" ht="18" customHeight="1" thickBot="1">
      <c r="A43" s="334" t="s">
        <v>396</v>
      </c>
      <c r="B43" s="335" t="s">
        <v>775</v>
      </c>
      <c r="C43" s="336" t="e">
        <f ca="1">ROUND(C40*10000/F43,0)</f>
        <v>#DIV/0!</v>
      </c>
      <c r="D43" s="337" t="s">
        <v>776</v>
      </c>
      <c r="E43" s="338" t="s">
        <v>777</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807</v>
      </c>
      <c r="P45" s="1460"/>
      <c r="Q45" s="1460"/>
      <c r="R45" s="1460"/>
    </row>
    <row r="46" spans="1:18" s="1383" customFormat="1" ht="13.5" thickBot="1">
      <c r="A46" s="1403" t="s">
        <v>808</v>
      </c>
      <c r="C46" s="1404" t="e">
        <f ca="1">C68-C40</f>
        <v>#DIV/0!</v>
      </c>
      <c r="D46" s="1405" t="str">
        <f>C2</f>
        <v>万元</v>
      </c>
      <c r="E46" s="1399"/>
      <c r="F46" s="1399"/>
      <c r="I46" s="1406" t="s">
        <v>809</v>
      </c>
      <c r="J46" s="1407"/>
      <c r="K46" s="1408"/>
      <c r="L46" s="1409" t="e">
        <f ca="1">IF(M47="住宅",0,IF(L48&gt;J51,L60,J60))</f>
        <v>#DIV/0!</v>
      </c>
      <c r="O46" s="1410" t="s">
        <v>810</v>
      </c>
      <c r="P46" s="1411" t="s">
        <v>811</v>
      </c>
      <c r="Q46" s="1412" t="s">
        <v>812</v>
      </c>
      <c r="R46" s="1412" t="s">
        <v>813</v>
      </c>
    </row>
    <row r="47" spans="1:18" s="1383" customFormat="1" ht="13.5" thickBot="1">
      <c r="A47" s="945" t="s">
        <v>686</v>
      </c>
      <c r="B47" s="977" t="s">
        <v>687</v>
      </c>
      <c r="C47" s="1116" t="s">
        <v>688</v>
      </c>
      <c r="D47" s="977" t="s">
        <v>689</v>
      </c>
      <c r="E47" s="1057" t="s">
        <v>690</v>
      </c>
      <c r="F47" s="1058"/>
      <c r="G47" s="721"/>
      <c r="I47" s="1413" t="s">
        <v>814</v>
      </c>
      <c r="J47" s="1414"/>
      <c r="K47" s="1415" t="s">
        <v>815</v>
      </c>
      <c r="L47" s="1416">
        <f ca="1">INDIRECT("'数据-取费表'!d"&amp;$G$1)</f>
        <v>0</v>
      </c>
      <c r="M47" s="1379" t="str">
        <f>IF(ISNUMBER(FIND("住宅",C1)),"住宅","非住宅")</f>
        <v>非住宅</v>
      </c>
      <c r="O47" s="1417" t="s">
        <v>403</v>
      </c>
      <c r="P47" s="1418" t="s">
        <v>816</v>
      </c>
      <c r="Q47" s="1419" t="e">
        <f ca="1">C40+J29</f>
        <v>#DIV/0!</v>
      </c>
      <c r="R47" s="1419" t="s">
        <v>817</v>
      </c>
    </row>
    <row r="48" spans="1:18" s="1383" customFormat="1" ht="28.5" thickBot="1">
      <c r="A48" s="1109" t="s">
        <v>438</v>
      </c>
      <c r="B48" s="300" t="s">
        <v>691</v>
      </c>
      <c r="C48" s="1358">
        <f ca="1">C49+C53+C55</f>
        <v>0</v>
      </c>
      <c r="D48" s="1111"/>
      <c r="E48" s="1112"/>
      <c r="F48" s="961"/>
      <c r="G48" s="721"/>
      <c r="H48" s="722"/>
      <c r="I48" s="1420" t="s">
        <v>818</v>
      </c>
      <c r="J48" s="1421"/>
      <c r="K48" s="1422" t="s">
        <v>819</v>
      </c>
      <c r="L48" s="1423">
        <f ca="1">INDIRECT("'数据-取费表'!f"&amp;$G$1)</f>
        <v>0</v>
      </c>
      <c r="O48" s="1417" t="s">
        <v>404</v>
      </c>
      <c r="P48" s="1418" t="s">
        <v>820</v>
      </c>
      <c r="Q48" s="1419" t="e">
        <f ca="1">J60</f>
        <v>#DIV/0!</v>
      </c>
      <c r="R48" s="1419" t="s">
        <v>821</v>
      </c>
    </row>
    <row r="49" spans="1:18" s="1383" customFormat="1" ht="13.5" thickBot="1">
      <c r="A49" s="974" t="s">
        <v>439</v>
      </c>
      <c r="B49" s="1370" t="s">
        <v>778</v>
      </c>
      <c r="C49" s="1113">
        <f ca="1">ROUND(F49*F51*F50*(1-F52)/10000,0)</f>
        <v>0</v>
      </c>
      <c r="D49" s="1054" t="s">
        <v>2108</v>
      </c>
      <c r="E49" s="1371" t="s">
        <v>779</v>
      </c>
      <c r="F49" s="1059"/>
      <c r="G49" s="1424"/>
      <c r="H49" s="722"/>
      <c r="I49" s="1420" t="s">
        <v>822</v>
      </c>
      <c r="J49" s="1425"/>
      <c r="K49" s="1422" t="s">
        <v>823</v>
      </c>
      <c r="L49" s="1426"/>
      <c r="O49" s="1427" t="s">
        <v>405</v>
      </c>
      <c r="P49" s="1418" t="s">
        <v>824</v>
      </c>
      <c r="Q49" s="1419">
        <f ca="1">C29</f>
        <v>0</v>
      </c>
      <c r="R49" s="1419" t="s">
        <v>817</v>
      </c>
    </row>
    <row r="50" spans="1:18" s="1383" customFormat="1" ht="13.5" thickBot="1">
      <c r="A50" s="975"/>
      <c r="B50" s="978"/>
      <c r="C50" s="1117"/>
      <c r="D50" s="952"/>
      <c r="E50" s="1055" t="s">
        <v>696</v>
      </c>
      <c r="F50" s="1056">
        <f ca="1">F7</f>
        <v>0</v>
      </c>
      <c r="H50" s="722"/>
      <c r="I50" s="1420" t="s">
        <v>825</v>
      </c>
      <c r="J50" s="1428">
        <f>SUMPRODUCT((I63:I65=J47)*(J62:L62=J48)*(J63:L65))</f>
        <v>0</v>
      </c>
      <c r="K50" s="1422" t="s">
        <v>826</v>
      </c>
      <c r="L50" s="1426"/>
      <c r="M50" s="1429"/>
      <c r="O50" s="1427" t="s">
        <v>406</v>
      </c>
      <c r="P50" s="1418" t="s">
        <v>827</v>
      </c>
      <c r="Q50" s="1430" t="e">
        <f ca="1">J58</f>
        <v>#DIV/0!</v>
      </c>
      <c r="R50" s="1419"/>
    </row>
    <row r="51" spans="1:18" s="1383" customFormat="1" ht="13.5" thickBot="1">
      <c r="A51" s="976"/>
      <c r="B51" s="978"/>
      <c r="C51" s="979"/>
      <c r="D51" s="952"/>
      <c r="E51" s="980" t="s">
        <v>697</v>
      </c>
      <c r="F51" s="303">
        <f ca="1">F8</f>
        <v>0</v>
      </c>
      <c r="I51" s="1431" t="s">
        <v>828</v>
      </c>
      <c r="J51" s="1432">
        <f>IF(J49="",J50,J49+J50-YEAR('数据-取费表'!B2))</f>
        <v>0</v>
      </c>
      <c r="K51" s="1433" t="s">
        <v>829</v>
      </c>
      <c r="L51" s="1434">
        <f ca="1">ROUND(-PV(INDIRECT("'数据-取费表'!h"&amp;$G$1),J51,(C39-C13*C76),0),0)</f>
        <v>0</v>
      </c>
      <c r="M51" s="1435"/>
      <c r="O51" s="1427" t="s">
        <v>407</v>
      </c>
      <c r="P51" s="1418" t="s">
        <v>830</v>
      </c>
      <c r="Q51" s="1430">
        <f>J52</f>
        <v>0</v>
      </c>
      <c r="R51" s="1419"/>
    </row>
    <row r="52" spans="1:18" s="1383" customFormat="1" ht="13.5" thickBot="1">
      <c r="A52" s="976"/>
      <c r="B52" s="978"/>
      <c r="C52" s="979"/>
      <c r="D52" s="952"/>
      <c r="E52" s="980" t="s">
        <v>698</v>
      </c>
      <c r="F52" s="1053"/>
      <c r="I52" s="1436" t="s">
        <v>831</v>
      </c>
      <c r="J52" s="1437"/>
      <c r="K52" s="1436" t="s">
        <v>832</v>
      </c>
      <c r="L52" s="1437"/>
      <c r="O52" s="1427" t="s">
        <v>408</v>
      </c>
      <c r="P52" s="1418" t="s">
        <v>833</v>
      </c>
      <c r="Q52" s="1419">
        <f ca="1">J53</f>
        <v>0</v>
      </c>
      <c r="R52" s="1419" t="s">
        <v>834</v>
      </c>
    </row>
    <row r="53" spans="1:18" s="1383" customFormat="1" ht="24.75" thickBot="1">
      <c r="A53" s="1151" t="s">
        <v>440</v>
      </c>
      <c r="B53" s="1372" t="s">
        <v>699</v>
      </c>
      <c r="C53" s="316">
        <f ca="1">ROUND(IF(F53="押一",C49/12*F11,IF(F53="押二",C49/12*2*F11,IF(F53="押三",C49/12*3*F11,C54*F11))),0)</f>
        <v>0</v>
      </c>
      <c r="D53" s="1365" t="s">
        <v>2114</v>
      </c>
      <c r="E53" s="313" t="s">
        <v>700</v>
      </c>
      <c r="F53" s="1115"/>
      <c r="I53" s="1438" t="s">
        <v>835</v>
      </c>
      <c r="J53" s="2167">
        <f ca="1">IF(M47="住宅",IF(D1="——",MAX(J51,L48),MAX(J51,L48-'数据-取费表'!B24)),IF(D1="——",MIN(J51,L48),MIN(J51,L48-'数据-取费表'!B24)))</f>
        <v>0</v>
      </c>
      <c r="K53" s="3635" t="s">
        <v>836</v>
      </c>
      <c r="L53" s="3636"/>
      <c r="O53" s="1417" t="s">
        <v>409</v>
      </c>
      <c r="P53" s="1418" t="s">
        <v>837</v>
      </c>
      <c r="Q53" s="1419" t="e">
        <f ca="1">Q47+Q48</f>
        <v>#DIV/0!</v>
      </c>
      <c r="R53" s="1419" t="s">
        <v>410</v>
      </c>
    </row>
    <row r="54" spans="1:18" s="1383" customFormat="1" ht="13.5" thickBot="1">
      <c r="A54" s="1152"/>
      <c r="B54" s="1366" t="s">
        <v>678</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838</v>
      </c>
      <c r="P54" s="1380"/>
      <c r="Q54" s="1380"/>
      <c r="R54" s="1380"/>
    </row>
    <row r="55" spans="1:18" s="1383" customFormat="1" ht="13.5" thickBot="1">
      <c r="A55" s="1082" t="s">
        <v>437</v>
      </c>
      <c r="B55" s="1368" t="s">
        <v>702</v>
      </c>
      <c r="C55" s="1083"/>
      <c r="D55" s="1365"/>
      <c r="E55" s="1373"/>
      <c r="F55" s="1439"/>
      <c r="I55" s="1442" t="s">
        <v>839</v>
      </c>
      <c r="J55" s="1443" t="e">
        <f ca="1">ROUND(IF(J47="钢混",J57/J50,1-(1-2%)*(J50-J57)/J50),3)</f>
        <v>#DIV/0!</v>
      </c>
      <c r="K55" s="1444" t="s">
        <v>840</v>
      </c>
      <c r="L55" s="1445"/>
      <c r="O55" s="1410" t="s">
        <v>810</v>
      </c>
      <c r="P55" s="1411" t="s">
        <v>811</v>
      </c>
      <c r="Q55" s="1412" t="s">
        <v>812</v>
      </c>
      <c r="R55" s="1412" t="s">
        <v>813</v>
      </c>
    </row>
    <row r="56" spans="1:18" s="1383" customFormat="1" ht="25.5" thickTop="1" thickBot="1">
      <c r="A56" s="956">
        <v>2</v>
      </c>
      <c r="B56" s="957" t="s">
        <v>703</v>
      </c>
      <c r="C56" s="232">
        <f ca="1">C13</f>
        <v>0</v>
      </c>
      <c r="D56" s="1446"/>
      <c r="E56" s="1447"/>
      <c r="F56" s="1439"/>
      <c r="I56" s="1448" t="s">
        <v>841</v>
      </c>
      <c r="J56" s="1449"/>
      <c r="K56" s="1420" t="s">
        <v>842</v>
      </c>
      <c r="L56" s="1423">
        <f ca="1">IF(L48&lt;J51,"——",L48-J53)</f>
        <v>0</v>
      </c>
      <c r="O56" s="1417" t="s">
        <v>403</v>
      </c>
      <c r="P56" s="1418" t="s">
        <v>816</v>
      </c>
      <c r="Q56" s="1419" t="e">
        <f ca="1">C40+J29</f>
        <v>#DIV/0!</v>
      </c>
      <c r="R56" s="1419" t="s">
        <v>817</v>
      </c>
    </row>
    <row r="57" spans="1:18" s="1383" customFormat="1" ht="24.75" thickBot="1">
      <c r="A57" s="1450"/>
      <c r="B57" s="949" t="s">
        <v>766</v>
      </c>
      <c r="C57" s="238">
        <f ca="1">C29</f>
        <v>0</v>
      </c>
      <c r="D57" s="1451"/>
      <c r="E57" s="1452"/>
      <c r="F57" s="1453"/>
      <c r="I57" s="1454" t="s">
        <v>843</v>
      </c>
      <c r="J57" s="1455">
        <f ca="1">IF(OR(M47="住宅",J51&lt;L48,J56="是"),"——",J51-L48)</f>
        <v>0</v>
      </c>
      <c r="K57" s="1420" t="s">
        <v>844</v>
      </c>
      <c r="L57" s="1423">
        <f ca="1">IF(L48&lt;J51,"——",IF(L55="比较法",L49,IF(L55="基准地价",L50,L51)))</f>
        <v>0</v>
      </c>
      <c r="O57" s="1417" t="s">
        <v>404</v>
      </c>
      <c r="P57" s="1418" t="s">
        <v>845</v>
      </c>
      <c r="Q57" s="1419" t="e">
        <f ca="1">L60</f>
        <v>#DIV/0!</v>
      </c>
      <c r="R57" s="1419" t="s">
        <v>846</v>
      </c>
    </row>
    <row r="58" spans="1:18" s="1383" customFormat="1" ht="24.75" thickBot="1">
      <c r="A58" s="315" t="s">
        <v>393</v>
      </c>
      <c r="B58" s="957" t="s">
        <v>713</v>
      </c>
      <c r="C58" s="316">
        <f ca="1">ROUND(C59+C64+C65+C66,0)</f>
        <v>0</v>
      </c>
      <c r="D58" s="959" t="s">
        <v>714</v>
      </c>
      <c r="E58" s="960"/>
      <c r="F58" s="961"/>
      <c r="I58" s="1454" t="s">
        <v>847</v>
      </c>
      <c r="J58" s="1456" t="e">
        <f ca="1">IF(J55&lt;0.4,0.4,J55)</f>
        <v>#DIV/0!</v>
      </c>
      <c r="K58" s="1433" t="s">
        <v>848</v>
      </c>
      <c r="L58" s="1423" t="e">
        <f ca="1">ROUND(POWER(1+L52,L47-L48)*(POWER(1+L52,L48)-1)/(POWER(1+L52,L47)-1),4)</f>
        <v>#DIV/0!</v>
      </c>
      <c r="O58" s="1427" t="s">
        <v>405</v>
      </c>
      <c r="P58" s="1418" t="s">
        <v>849</v>
      </c>
      <c r="Q58" s="1419">
        <f>IF(L55="比较法",L49,IF(L55="基准地价",L50,0))</f>
        <v>0</v>
      </c>
      <c r="R58" s="1419" t="s">
        <v>817</v>
      </c>
    </row>
    <row r="59" spans="1:18" s="1383" customFormat="1" ht="24.75" thickBot="1">
      <c r="A59" s="981" t="s">
        <v>398</v>
      </c>
      <c r="B59" s="949" t="s">
        <v>718</v>
      </c>
      <c r="C59" s="2315">
        <f ca="1">ROUND(IF(AND(项目基本情况!B11="自然人",项目基本情况!B10="北京市"),C49*F59/(1+'数据-取费表'!C42),C60+C61+C62),0)</f>
        <v>0</v>
      </c>
      <c r="D59" s="962" t="s">
        <v>719</v>
      </c>
      <c r="E59" s="963" t="s">
        <v>720</v>
      </c>
      <c r="F59" s="2314">
        <f ca="1">IF(项目基本情况!B11="企业","——",IF('数据-取费表'!B10="住宅",IF(F49*F50*F51/12/(1+'数据-取费表'!F30)&gt;100000,4%,2.5%),IF(F49*F50*F51/12/(1+'数据-取费表'!F30)&gt;100000,12%,7%)))</f>
        <v>7.0000000000000007E-2</v>
      </c>
      <c r="I59" s="1454" t="s">
        <v>850</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851</v>
      </c>
      <c r="Q59" s="1430">
        <f>L52</f>
        <v>0</v>
      </c>
      <c r="R59" s="1419"/>
    </row>
    <row r="60" spans="1:18" s="1383" customFormat="1" ht="16.5" thickBot="1">
      <c r="A60" s="981" t="s">
        <v>397</v>
      </c>
      <c r="B60" s="949" t="s">
        <v>722</v>
      </c>
      <c r="C60" s="21" t="str">
        <f>IF(项目基本情况!B11="自然人","——",ROUND(C48*F60/(1+'数据-取费表'!C42),2))</f>
        <v>——</v>
      </c>
      <c r="D60" s="963" t="s">
        <v>723</v>
      </c>
      <c r="E60" s="949" t="s">
        <v>711</v>
      </c>
      <c r="F60" s="331">
        <f t="shared" ref="F60:F66" si="0">F32</f>
        <v>5.5000000000000007E-2</v>
      </c>
      <c r="I60" s="1457" t="s">
        <v>852</v>
      </c>
      <c r="J60" s="1458" t="e">
        <f ca="1">IF(OR(M47="住宅",J51&lt;L48,J56="是"),"0",ROUND(J59/(1+J52)^J53,0))</f>
        <v>#DIV/0!</v>
      </c>
      <c r="K60" s="1459" t="s">
        <v>853</v>
      </c>
      <c r="L60" s="1458" t="e">
        <f ca="1">IF(OR(M47="住宅",L48&lt;J51),0,ROUND(L57*(L58/L59-1),0))</f>
        <v>#DIV/0!</v>
      </c>
      <c r="O60" s="1427" t="s">
        <v>407</v>
      </c>
      <c r="P60" s="1418" t="s">
        <v>854</v>
      </c>
      <c r="Q60" s="1419" t="e">
        <f ca="1">L58</f>
        <v>#DIV/0!</v>
      </c>
      <c r="R60" s="1419" t="s">
        <v>855</v>
      </c>
    </row>
    <row r="61" spans="1:18" s="1383" customFormat="1" ht="13.5" thickBot="1">
      <c r="A61" s="981" t="s">
        <v>780</v>
      </c>
      <c r="B61" s="949" t="s">
        <v>781</v>
      </c>
      <c r="C61" s="21" t="str">
        <f ca="1">IF(项目基本情况!B11="自然人","——",IF(D61="按租金收入计税",ROUND(C49*F61/(1+'数据-取费表'!C42),2),IF(D61="按房产原值计税",ROUND(C57*F61*0.7,2),INDIRECT("'数据-取费表'!Aj"&amp;$G$1))))</f>
        <v>——</v>
      </c>
      <c r="D61" s="1369" t="s">
        <v>3340</v>
      </c>
      <c r="E61" s="949" t="s">
        <v>782</v>
      </c>
      <c r="F61" s="322">
        <f t="shared" si="0"/>
        <v>0.12</v>
      </c>
      <c r="I61" s="1460"/>
      <c r="J61" s="1460"/>
      <c r="K61" s="1460"/>
      <c r="L61" s="1460"/>
      <c r="O61" s="1427" t="s">
        <v>408</v>
      </c>
      <c r="P61" s="1418" t="str">
        <f>K59</f>
        <v>建筑物剩余耐用年限下的土地年期修正系数Kn</v>
      </c>
      <c r="Q61" s="1419" t="e">
        <f ca="1">L59</f>
        <v>#DIV/0!</v>
      </c>
      <c r="R61" s="1419" t="s">
        <v>856</v>
      </c>
    </row>
    <row r="62" spans="1:18" s="1383" customFormat="1" ht="13.5" thickBot="1">
      <c r="A62" s="981" t="s">
        <v>783</v>
      </c>
      <c r="B62" s="948" t="s">
        <v>784</v>
      </c>
      <c r="C62" s="22" t="str">
        <f>IF(项目基本情况!B11="自然人","——",ROUND(F62*F63/10000,2))</f>
        <v>——</v>
      </c>
      <c r="D62" s="964" t="s">
        <v>785</v>
      </c>
      <c r="E62" s="949" t="s">
        <v>786</v>
      </c>
      <c r="F62" s="325">
        <f t="shared" si="0"/>
        <v>1.5</v>
      </c>
      <c r="I62" s="1461" t="s">
        <v>857</v>
      </c>
      <c r="J62" s="1462" t="s">
        <v>858</v>
      </c>
      <c r="K62" s="1462" t="s">
        <v>859</v>
      </c>
      <c r="L62" s="1462" t="s">
        <v>860</v>
      </c>
      <c r="M62" s="1463" t="s">
        <v>861</v>
      </c>
      <c r="O62" s="1417" t="s">
        <v>409</v>
      </c>
      <c r="P62" s="1418" t="s">
        <v>862</v>
      </c>
      <c r="Q62" s="1419" t="e">
        <f ca="1">Q56+Q57</f>
        <v>#DIV/0!</v>
      </c>
      <c r="R62" s="1419" t="s">
        <v>410</v>
      </c>
    </row>
    <row r="63" spans="1:18" s="1383" customFormat="1" ht="13.5" thickBot="1">
      <c r="A63" s="326"/>
      <c r="B63" s="955"/>
      <c r="C63" s="26"/>
      <c r="D63" s="965"/>
      <c r="E63" s="949" t="s">
        <v>787</v>
      </c>
      <c r="F63" s="303">
        <f t="shared" ca="1" si="0"/>
        <v>0</v>
      </c>
      <c r="I63" s="1461" t="s">
        <v>863</v>
      </c>
      <c r="J63" s="1462">
        <v>70</v>
      </c>
      <c r="K63" s="1462">
        <v>50</v>
      </c>
      <c r="L63" s="1462">
        <v>80</v>
      </c>
      <c r="M63" s="1464">
        <v>0.02</v>
      </c>
      <c r="O63" s="1402" t="s">
        <v>864</v>
      </c>
      <c r="P63" s="1380"/>
      <c r="Q63" s="1380"/>
      <c r="R63" s="1380"/>
    </row>
    <row r="64" spans="1:18" s="1383" customFormat="1" ht="13.5" thickBot="1">
      <c r="A64" s="981" t="s">
        <v>788</v>
      </c>
      <c r="B64" s="949" t="s">
        <v>789</v>
      </c>
      <c r="C64" s="21">
        <f ca="1">ROUND(C57*F64,2)</f>
        <v>0</v>
      </c>
      <c r="D64" s="963" t="s">
        <v>790</v>
      </c>
      <c r="E64" s="949" t="s">
        <v>782</v>
      </c>
      <c r="F64" s="328">
        <f t="shared" ca="1" si="0"/>
        <v>0</v>
      </c>
      <c r="I64" s="1461" t="s">
        <v>865</v>
      </c>
      <c r="J64" s="1462">
        <v>50</v>
      </c>
      <c r="K64" s="1462">
        <v>35</v>
      </c>
      <c r="L64" s="1462">
        <v>60</v>
      </c>
      <c r="M64" s="1463">
        <v>0</v>
      </c>
      <c r="O64" s="1410" t="s">
        <v>810</v>
      </c>
      <c r="P64" s="1411" t="s">
        <v>811</v>
      </c>
      <c r="Q64" s="1412" t="s">
        <v>812</v>
      </c>
      <c r="R64" s="1412" t="s">
        <v>813</v>
      </c>
    </row>
    <row r="65" spans="1:18" s="1383" customFormat="1" ht="13.5" thickBot="1">
      <c r="A65" s="981" t="s">
        <v>791</v>
      </c>
      <c r="B65" s="949" t="s">
        <v>741</v>
      </c>
      <c r="C65" s="21">
        <f ca="1">ROUND(C56*F65,2)</f>
        <v>0</v>
      </c>
      <c r="D65" s="963" t="s">
        <v>742</v>
      </c>
      <c r="E65" s="949" t="s">
        <v>743</v>
      </c>
      <c r="F65" s="330">
        <f t="shared" ca="1" si="0"/>
        <v>0</v>
      </c>
      <c r="I65" s="1461" t="s">
        <v>866</v>
      </c>
      <c r="J65" s="1462">
        <v>40</v>
      </c>
      <c r="K65" s="1462">
        <v>30</v>
      </c>
      <c r="L65" s="1462">
        <v>50</v>
      </c>
      <c r="M65" s="1464">
        <v>0.02</v>
      </c>
      <c r="O65" s="1417" t="s">
        <v>403</v>
      </c>
      <c r="P65" s="1418" t="s">
        <v>867</v>
      </c>
      <c r="Q65" s="1419" t="e">
        <f ca="1">C40+J29</f>
        <v>#DIV/0!</v>
      </c>
      <c r="R65" s="1419" t="s">
        <v>817</v>
      </c>
    </row>
    <row r="66" spans="1:18" s="1383" customFormat="1" ht="16.5" thickBot="1">
      <c r="A66" s="981" t="s">
        <v>792</v>
      </c>
      <c r="B66" s="949" t="s">
        <v>727</v>
      </c>
      <c r="C66" s="21">
        <f ca="1">ROUND(C48*F66,2)</f>
        <v>0</v>
      </c>
      <c r="D66" s="963" t="s">
        <v>793</v>
      </c>
      <c r="E66" s="949" t="s">
        <v>711</v>
      </c>
      <c r="F66" s="312">
        <f t="shared" ca="1" si="0"/>
        <v>0</v>
      </c>
      <c r="O66" s="1417" t="s">
        <v>404</v>
      </c>
      <c r="P66" s="1418" t="s">
        <v>845</v>
      </c>
      <c r="Q66" s="1419" t="e">
        <f ca="1">L60</f>
        <v>#DIV/0!</v>
      </c>
      <c r="R66" s="1419" t="s">
        <v>868</v>
      </c>
    </row>
    <row r="67" spans="1:18" s="1383" customFormat="1" ht="16.5" thickBot="1">
      <c r="A67" s="956" t="s">
        <v>394</v>
      </c>
      <c r="B67" s="966" t="s">
        <v>751</v>
      </c>
      <c r="C67" s="316">
        <f ca="1">C48-C58</f>
        <v>0</v>
      </c>
      <c r="D67" s="962" t="s">
        <v>752</v>
      </c>
      <c r="E67" s="967"/>
      <c r="F67" s="968"/>
      <c r="O67" s="1427" t="s">
        <v>405</v>
      </c>
      <c r="P67" s="1418" t="s">
        <v>849</v>
      </c>
      <c r="Q67" s="1465">
        <f ca="1">L51</f>
        <v>0</v>
      </c>
      <c r="R67" s="1419" t="s">
        <v>869</v>
      </c>
    </row>
    <row r="68" spans="1:18" s="1383" customFormat="1" ht="16.5" thickBot="1">
      <c r="A68" s="946" t="s">
        <v>395</v>
      </c>
      <c r="B68" s="947" t="s">
        <v>773</v>
      </c>
      <c r="C68" s="301" t="e">
        <f ca="1">ROUND(C67*(1-((1+F70)/(1+F68))^F69)/(F68-F70),0)</f>
        <v>#DIV/0!</v>
      </c>
      <c r="D68" s="964" t="s">
        <v>757</v>
      </c>
      <c r="E68" s="949" t="s">
        <v>758</v>
      </c>
      <c r="F68" s="312">
        <f ca="1">F40</f>
        <v>0</v>
      </c>
      <c r="O68" s="1427" t="s">
        <v>406</v>
      </c>
      <c r="P68" s="1466" t="s">
        <v>870</v>
      </c>
      <c r="Q68" s="1419">
        <f ca="1">ROUND(Q69-Q70*Q71,0)</f>
        <v>0</v>
      </c>
      <c r="R68" s="1419" t="s">
        <v>414</v>
      </c>
    </row>
    <row r="69" spans="1:18" s="1383" customFormat="1" ht="13.5" thickBot="1">
      <c r="A69" s="950"/>
      <c r="B69" s="951"/>
      <c r="C69" s="306"/>
      <c r="D69" s="969" t="s">
        <v>761</v>
      </c>
      <c r="E69" s="949" t="s">
        <v>762</v>
      </c>
      <c r="F69" s="333">
        <f ca="1">F41</f>
        <v>0</v>
      </c>
      <c r="O69" s="1427" t="s">
        <v>411</v>
      </c>
      <c r="P69" s="1466" t="s">
        <v>871</v>
      </c>
      <c r="Q69" s="1419">
        <f ca="1">C39</f>
        <v>0</v>
      </c>
      <c r="R69" s="1419" t="s">
        <v>817</v>
      </c>
    </row>
    <row r="70" spans="1:18" s="1383" customFormat="1" ht="13.5" thickBot="1">
      <c r="A70" s="953"/>
      <c r="B70" s="954"/>
      <c r="C70" s="310"/>
      <c r="D70" s="965"/>
      <c r="E70" s="949" t="s">
        <v>765</v>
      </c>
      <c r="F70" s="1053"/>
      <c r="O70" s="1427" t="s">
        <v>412</v>
      </c>
      <c r="P70" s="1466" t="s">
        <v>872</v>
      </c>
      <c r="Q70" s="1419">
        <f ca="1">C13</f>
        <v>0</v>
      </c>
      <c r="R70" s="1419" t="s">
        <v>817</v>
      </c>
    </row>
    <row r="71" spans="1:18" s="1383" customFormat="1" ht="13.5" thickBot="1">
      <c r="A71" s="970" t="s">
        <v>396</v>
      </c>
      <c r="B71" s="971" t="s">
        <v>775</v>
      </c>
      <c r="C71" s="336" t="e">
        <f ca="1">ROUND(C68*10000/F71,0)</f>
        <v>#DIV/0!</v>
      </c>
      <c r="D71" s="972" t="s">
        <v>776</v>
      </c>
      <c r="E71" s="973" t="s">
        <v>777</v>
      </c>
      <c r="F71" s="339">
        <f ca="1">F43</f>
        <v>0</v>
      </c>
      <c r="O71" s="1427" t="s">
        <v>413</v>
      </c>
      <c r="P71" s="1466" t="s">
        <v>873</v>
      </c>
      <c r="Q71" s="1430">
        <f ca="1">C76</f>
        <v>0</v>
      </c>
      <c r="R71" s="1419"/>
    </row>
    <row r="72" spans="1:18" s="1383" customFormat="1" ht="13.5" thickBot="1">
      <c r="B72" s="725"/>
      <c r="C72" s="725"/>
      <c r="O72" s="1427" t="s">
        <v>407</v>
      </c>
      <c r="P72" s="1418" t="s">
        <v>851</v>
      </c>
      <c r="Q72" s="1430">
        <f>L52</f>
        <v>0</v>
      </c>
      <c r="R72" s="1419"/>
    </row>
    <row r="73" spans="1:18" ht="16.5" thickBot="1">
      <c r="A73" s="1383"/>
      <c r="B73" s="725"/>
      <c r="C73" s="725"/>
      <c r="D73" s="1383"/>
      <c r="E73" s="1383"/>
      <c r="F73" s="1383"/>
      <c r="O73" s="1427" t="s">
        <v>408</v>
      </c>
      <c r="P73" s="1418" t="s">
        <v>854</v>
      </c>
      <c r="Q73" s="1419" t="e">
        <f ca="1">L58</f>
        <v>#DIV/0!</v>
      </c>
      <c r="R73" s="1419" t="s">
        <v>855</v>
      </c>
    </row>
    <row r="74" spans="1:18" ht="13.5" thickBot="1">
      <c r="A74" s="1383"/>
      <c r="B74" s="273" t="s">
        <v>874</v>
      </c>
      <c r="C74" s="1468"/>
      <c r="D74" s="1383"/>
      <c r="E74" s="1383"/>
      <c r="F74" s="1383"/>
      <c r="O74" s="1427" t="s">
        <v>415</v>
      </c>
      <c r="P74" s="1418" t="str">
        <f>K59</f>
        <v>建筑物剩余耐用年限下的土地年期修正系数Kn</v>
      </c>
      <c r="Q74" s="1419" t="e">
        <f ca="1">L59</f>
        <v>#DIV/0!</v>
      </c>
      <c r="R74" s="1419" t="s">
        <v>856</v>
      </c>
    </row>
    <row r="75" spans="1:18" ht="13.5" thickBot="1">
      <c r="A75" s="1383"/>
      <c r="B75" s="340" t="s">
        <v>794</v>
      </c>
      <c r="C75" s="341">
        <f ca="1">ROUND(C13*C76,0)</f>
        <v>0</v>
      </c>
      <c r="D75" s="1383"/>
      <c r="E75" s="1383"/>
      <c r="F75" s="1383"/>
      <c r="K75" s="1401"/>
      <c r="L75" s="1383"/>
      <c r="O75" s="1417" t="s">
        <v>409</v>
      </c>
      <c r="P75" s="1418" t="s">
        <v>837</v>
      </c>
      <c r="Q75" s="1419" t="e">
        <f ca="1">Q65+Q66</f>
        <v>#DIV/0!</v>
      </c>
      <c r="R75" s="1419" t="s">
        <v>410</v>
      </c>
    </row>
    <row r="76" spans="1:18">
      <c r="B76" s="342" t="s">
        <v>795</v>
      </c>
      <c r="C76" s="343">
        <f ca="1">INDIRECT("'数据-取费表'!j"&amp;$G$1)</f>
        <v>0</v>
      </c>
      <c r="I76" s="1383"/>
      <c r="J76" s="1383"/>
      <c r="K76" s="1401"/>
      <c r="L76" s="1383"/>
    </row>
    <row r="77" spans="1:18">
      <c r="B77" s="344" t="s">
        <v>796</v>
      </c>
      <c r="C77" s="345"/>
      <c r="I77" s="1383"/>
      <c r="J77" s="1383"/>
      <c r="K77" s="1401"/>
      <c r="L77" s="1383"/>
    </row>
    <row r="78" spans="1:18">
      <c r="B78" s="270" t="s">
        <v>797</v>
      </c>
      <c r="C78" s="346"/>
    </row>
    <row r="79" spans="1:18">
      <c r="B79" s="340" t="s">
        <v>798</v>
      </c>
      <c r="C79" s="274" t="e">
        <f ca="1">1-C80</f>
        <v>#DIV/0!</v>
      </c>
    </row>
    <row r="80" spans="1:18">
      <c r="B80" s="340" t="s">
        <v>799</v>
      </c>
      <c r="C80" s="274" t="e">
        <f ca="1">ROUND(C75/C39,3)</f>
        <v>#DIV/0!</v>
      </c>
    </row>
    <row r="81" spans="2:3">
      <c r="B81" s="270" t="s">
        <v>800</v>
      </c>
      <c r="C81" s="238"/>
    </row>
    <row r="82" spans="2:3">
      <c r="B82" s="273" t="s">
        <v>801</v>
      </c>
      <c r="C82" s="275" t="e">
        <f ca="1">1-C83</f>
        <v>#DIV/0!</v>
      </c>
    </row>
    <row r="83" spans="2:3">
      <c r="B83" s="273" t="s">
        <v>802</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876</v>
      </c>
      <c r="B1" s="712"/>
      <c r="C1" s="1378" t="s">
        <v>3389</v>
      </c>
      <c r="D1" s="1361" t="s">
        <v>43</v>
      </c>
      <c r="E1" s="1362" t="s">
        <v>677</v>
      </c>
      <c r="F1" s="1061">
        <f ca="1">J53</f>
        <v>20.83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877</v>
      </c>
      <c r="B2" s="3424">
        <f ca="1">ROUND(D2/10000,4)</f>
        <v>200.60220000000001</v>
      </c>
      <c r="C2" s="1386" t="s">
        <v>878</v>
      </c>
      <c r="D2" s="1470">
        <f ca="1">C40+J29+L46</f>
        <v>2006022</v>
      </c>
      <c r="E2" s="1387" t="s">
        <v>879</v>
      </c>
      <c r="F2" s="1388"/>
      <c r="G2" s="2705"/>
      <c r="H2" s="2694"/>
      <c r="I2" s="2694"/>
      <c r="J2" s="2694"/>
      <c r="K2" s="2695"/>
      <c r="L2" s="2694"/>
      <c r="M2" s="2694"/>
    </row>
    <row r="3" spans="1:37" ht="18" customHeight="1" thickBot="1">
      <c r="A3" s="1389" t="s">
        <v>880</v>
      </c>
      <c r="B3" s="1390">
        <f ca="1">IF(ISERROR(D2/F43),0,ROUND(D2/F43,0))</f>
        <v>17020</v>
      </c>
      <c r="C3" s="1386" t="s">
        <v>881</v>
      </c>
      <c r="D3" s="1386"/>
      <c r="E3" s="1387"/>
      <c r="F3" s="1388"/>
      <c r="G3" s="2705"/>
      <c r="H3" s="682" t="s">
        <v>875</v>
      </c>
      <c r="I3" s="1381"/>
      <c r="J3" s="1381"/>
      <c r="K3" s="1382"/>
      <c r="L3" s="1381"/>
      <c r="M3" s="1381"/>
    </row>
    <row r="4" spans="1:37" ht="18" customHeight="1">
      <c r="A4" s="295" t="s">
        <v>882</v>
      </c>
      <c r="B4" s="296" t="s">
        <v>883</v>
      </c>
      <c r="C4" s="296" t="s">
        <v>884</v>
      </c>
      <c r="D4" s="296" t="s">
        <v>885</v>
      </c>
      <c r="E4" s="297" t="s">
        <v>886</v>
      </c>
      <c r="F4" s="298"/>
      <c r="G4" s="1383"/>
      <c r="H4" s="295" t="s">
        <v>882</v>
      </c>
      <c r="I4" s="296" t="s">
        <v>883</v>
      </c>
      <c r="J4" s="296" t="s">
        <v>884</v>
      </c>
      <c r="K4" s="296" t="s">
        <v>885</v>
      </c>
      <c r="L4" s="297" t="s">
        <v>886</v>
      </c>
      <c r="M4" s="298"/>
    </row>
    <row r="5" spans="1:37" ht="18" customHeight="1">
      <c r="A5" s="299">
        <v>1</v>
      </c>
      <c r="B5" s="300" t="s">
        <v>887</v>
      </c>
      <c r="C5" s="1069">
        <f ca="1">C6+C10+C12</f>
        <v>147309</v>
      </c>
      <c r="D5" s="1363" t="s">
        <v>888</v>
      </c>
      <c r="E5" s="1070"/>
      <c r="F5" s="1071"/>
      <c r="G5" s="1383"/>
      <c r="H5" s="299">
        <v>1</v>
      </c>
      <c r="I5" s="300" t="s">
        <v>887</v>
      </c>
      <c r="J5" s="1069">
        <f ca="1">J6+J10+J12</f>
        <v>0</v>
      </c>
      <c r="K5" s="1363" t="s">
        <v>888</v>
      </c>
      <c r="L5" s="1070"/>
      <c r="M5" s="1071"/>
    </row>
    <row r="6" spans="1:37" ht="18" customHeight="1">
      <c r="A6" s="1068" t="s">
        <v>398</v>
      </c>
      <c r="B6" s="3637" t="s">
        <v>693</v>
      </c>
      <c r="C6" s="1073">
        <f ca="1">ROUND(F6*F8*F7*(1-F9),0)</f>
        <v>147125</v>
      </c>
      <c r="D6" s="155" t="s">
        <v>2104</v>
      </c>
      <c r="E6" s="302" t="s">
        <v>695</v>
      </c>
      <c r="F6" s="303">
        <f ca="1">INDIRECT("'数据-取费表'!u"&amp;$G$1)</f>
        <v>3.8</v>
      </c>
      <c r="G6" s="1383"/>
      <c r="H6" s="1068" t="s">
        <v>398</v>
      </c>
      <c r="I6" s="3637" t="s">
        <v>693</v>
      </c>
      <c r="J6" s="301">
        <f ca="1">ROUND(M6*M8*M7*(1-M9),0)</f>
        <v>0</v>
      </c>
      <c r="K6" s="1375" t="s">
        <v>2105</v>
      </c>
      <c r="L6" s="302" t="s">
        <v>695</v>
      </c>
      <c r="M6" s="303">
        <f ca="1">INDIRECT("'数据-取费表'!z"&amp;$G$1)</f>
        <v>0</v>
      </c>
    </row>
    <row r="7" spans="1:37" ht="18" customHeight="1">
      <c r="A7" s="1072"/>
      <c r="B7" s="3638"/>
      <c r="C7" s="1074"/>
      <c r="D7" s="307"/>
      <c r="E7" s="1075" t="s">
        <v>696</v>
      </c>
      <c r="F7" s="303">
        <f ca="1">IF(INDIRECT("'数据-取费表'!ah"&amp;$G$1)="",INDIRECT("'数据-取费表'!k"&amp;$G$1),INDIRECT("'数据-取费表'!ah"&amp;$G$1))</f>
        <v>117.86</v>
      </c>
      <c r="G7" s="1383"/>
      <c r="H7" s="304"/>
      <c r="I7" s="3638"/>
      <c r="J7" s="306"/>
      <c r="K7" s="307"/>
      <c r="L7" s="302" t="s">
        <v>696</v>
      </c>
      <c r="M7" s="303">
        <f ca="1">F7</f>
        <v>117.86</v>
      </c>
    </row>
    <row r="8" spans="1:37" ht="18" customHeight="1">
      <c r="A8" s="304"/>
      <c r="B8" s="3638"/>
      <c r="C8" s="306"/>
      <c r="D8" s="307"/>
      <c r="E8" s="302" t="s">
        <v>697</v>
      </c>
      <c r="F8" s="303">
        <f ca="1">INDIRECT("'数据-取费表'!ai"&amp;$G$1)</f>
        <v>365</v>
      </c>
      <c r="G8" s="1383"/>
      <c r="H8" s="304"/>
      <c r="I8" s="3638"/>
      <c r="J8" s="306"/>
      <c r="K8" s="307"/>
      <c r="L8" s="302" t="s">
        <v>697</v>
      </c>
      <c r="M8" s="303">
        <f ca="1">INDIRECT("'数据-取费表'!ai"&amp;$G$1)</f>
        <v>365</v>
      </c>
    </row>
    <row r="9" spans="1:37" ht="18" customHeight="1">
      <c r="A9" s="304"/>
      <c r="B9" s="3639"/>
      <c r="C9" s="306"/>
      <c r="D9" s="307"/>
      <c r="E9" s="302" t="s">
        <v>698</v>
      </c>
      <c r="F9" s="312">
        <f ca="1">INDIRECT("'数据-取费表'!w"&amp;$G$1)</f>
        <v>0.1</v>
      </c>
      <c r="G9" s="1383"/>
      <c r="H9" s="304"/>
      <c r="I9" s="3639"/>
      <c r="J9" s="306"/>
      <c r="K9" s="307"/>
      <c r="L9" s="313" t="s">
        <v>698</v>
      </c>
      <c r="M9" s="314">
        <f ca="1">INDIRECT("'数据-取费表'!ab"&amp;$G$1)</f>
        <v>0</v>
      </c>
    </row>
    <row r="10" spans="1:37" ht="18" customHeight="1">
      <c r="A10" s="1068" t="s">
        <v>402</v>
      </c>
      <c r="B10" s="1364" t="s">
        <v>699</v>
      </c>
      <c r="C10" s="316">
        <f ca="1">ROUND(IF(F10="押一",C6/12*F11,IF(F10="押二",C6/12*2*F11,IF(F10="押三",C6/12*3*F11,C11*F11))),0)</f>
        <v>184</v>
      </c>
      <c r="D10" s="1365" t="s">
        <v>2114</v>
      </c>
      <c r="E10" s="313" t="s">
        <v>700</v>
      </c>
      <c r="F10" s="1115" t="s">
        <v>3427</v>
      </c>
      <c r="G10" s="1383"/>
      <c r="H10" s="1068" t="s">
        <v>402</v>
      </c>
      <c r="I10" s="1364" t="s">
        <v>699</v>
      </c>
      <c r="J10" s="301">
        <f ca="1">ROUND(IF(M10="押一",J6/12*M11,IF(M10="押二",J6/12*2*M11,IF(M10="押三",J6/12*3*M11,J11*M11))),0)</f>
        <v>0</v>
      </c>
      <c r="K10" s="1376" t="s">
        <v>2116</v>
      </c>
      <c r="L10" s="313" t="s">
        <v>700</v>
      </c>
      <c r="M10" s="1115"/>
    </row>
    <row r="11" spans="1:37" ht="18" customHeight="1">
      <c r="A11" s="308"/>
      <c r="B11" s="1366" t="s">
        <v>889</v>
      </c>
      <c r="C11" s="958"/>
      <c r="D11" s="307"/>
      <c r="E11" s="313" t="s">
        <v>701</v>
      </c>
      <c r="F11" s="314">
        <f ca="1">'数据-取费表'!B39</f>
        <v>1.4999999999999999E-2</v>
      </c>
      <c r="G11" s="1383"/>
      <c r="H11" s="1076"/>
      <c r="I11" s="1366" t="s">
        <v>890</v>
      </c>
      <c r="J11" s="958"/>
      <c r="K11" s="683"/>
      <c r="L11" s="313" t="s">
        <v>701</v>
      </c>
      <c r="M11" s="861">
        <f ca="1">'数据-取费表'!B39</f>
        <v>1.4999999999999999E-2</v>
      </c>
    </row>
    <row r="12" spans="1:37" ht="18" customHeight="1" thickBot="1">
      <c r="A12" s="1082" t="s">
        <v>437</v>
      </c>
      <c r="B12" s="1368" t="s">
        <v>702</v>
      </c>
      <c r="C12" s="1083"/>
      <c r="D12" s="1084"/>
      <c r="E12" s="1089"/>
      <c r="F12" s="1085"/>
      <c r="G12" s="1383"/>
      <c r="H12" s="1082" t="s">
        <v>437</v>
      </c>
      <c r="I12" s="1368" t="s">
        <v>702</v>
      </c>
      <c r="J12" s="1083"/>
      <c r="K12" s="1097"/>
      <c r="L12" s="1089"/>
      <c r="M12" s="1098"/>
    </row>
    <row r="13" spans="1:37" ht="18" customHeight="1" thickTop="1">
      <c r="A13" s="1078">
        <v>2</v>
      </c>
      <c r="B13" s="1079" t="s">
        <v>703</v>
      </c>
      <c r="C13" s="310">
        <f ca="1">ROUND(C29*F13,0)</f>
        <v>450219</v>
      </c>
      <c r="D13" s="1080" t="s">
        <v>704</v>
      </c>
      <c r="E13" s="1080" t="s">
        <v>705</v>
      </c>
      <c r="F13" s="1081">
        <f ca="1">INDIRECT("'数据-取费表'!y"&amp;$G$1)</f>
        <v>0.79</v>
      </c>
      <c r="G13" s="1383"/>
      <c r="H13" s="1078">
        <v>2</v>
      </c>
      <c r="I13" s="1079" t="s">
        <v>703</v>
      </c>
      <c r="J13" s="1067">
        <f ca="1">ROUND(J14*J15,0)</f>
        <v>0</v>
      </c>
      <c r="K13" s="1086" t="s">
        <v>704</v>
      </c>
      <c r="L13" s="1391"/>
      <c r="M13" s="1392"/>
    </row>
    <row r="14" spans="1:37" ht="18" customHeight="1">
      <c r="A14" s="981" t="s">
        <v>397</v>
      </c>
      <c r="B14" s="302" t="s">
        <v>706</v>
      </c>
      <c r="C14" s="318">
        <f ca="1">ROUND(INDIRECT("'数据-取费表'!l"&amp;$G$1)*F43+'数据-取费表'!L14*INDIRECT("'数据-取费表'!S"&amp;$G$1),0)</f>
        <v>377152</v>
      </c>
      <c r="D14" s="1344" t="s">
        <v>707</v>
      </c>
      <c r="E14" s="1341"/>
      <c r="F14" s="319"/>
      <c r="G14" s="1383"/>
      <c r="H14" s="981" t="s">
        <v>398</v>
      </c>
      <c r="I14" s="302" t="s">
        <v>708</v>
      </c>
      <c r="J14" s="21">
        <f ca="1">C29</f>
        <v>569898</v>
      </c>
      <c r="K14" s="12"/>
      <c r="L14" s="806"/>
      <c r="M14" s="807"/>
    </row>
    <row r="15" spans="1:37" s="1396" customFormat="1" ht="18" customHeight="1" thickBot="1">
      <c r="A15" s="981" t="s">
        <v>399</v>
      </c>
      <c r="B15" s="302" t="s">
        <v>709</v>
      </c>
      <c r="C15" s="21">
        <f ca="1">ROUND(C14*F15,0)</f>
        <v>11315</v>
      </c>
      <c r="D15" s="320" t="s">
        <v>710</v>
      </c>
      <c r="E15" s="320" t="s">
        <v>711</v>
      </c>
      <c r="F15" s="321">
        <f>'数据-取费表'!B33</f>
        <v>0.03</v>
      </c>
      <c r="G15" s="1395"/>
      <c r="H15" s="1088" t="s">
        <v>402</v>
      </c>
      <c r="I15" s="1089" t="s">
        <v>705</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679</v>
      </c>
      <c r="B16" s="302" t="s">
        <v>712</v>
      </c>
      <c r="C16" s="21">
        <f ca="1">ROUND(INDIRECT("'数据-取费表'!l"&amp;$G$1)*F43*F16,0)</f>
        <v>0</v>
      </c>
      <c r="D16" s="302" t="s">
        <v>710</v>
      </c>
      <c r="E16" s="302" t="s">
        <v>711</v>
      </c>
      <c r="F16" s="322">
        <f ca="1">IF(INDIRECT("'数据-取费表'!c"&amp;$G$1)="住宅",'数据-取费表'!B34,0)</f>
        <v>0</v>
      </c>
      <c r="G16" s="1383"/>
      <c r="H16" s="1078" t="s">
        <v>393</v>
      </c>
      <c r="I16" s="1079" t="s">
        <v>713</v>
      </c>
      <c r="J16" s="310">
        <f ca="1">ROUND(J17+J22+J23+J24,0)</f>
        <v>5699</v>
      </c>
      <c r="K16" s="1086" t="s">
        <v>714</v>
      </c>
      <c r="L16" s="1087"/>
      <c r="M16" s="1071"/>
    </row>
    <row r="17" spans="1:37" s="1396" customFormat="1" ht="18" customHeight="1">
      <c r="A17" s="981" t="s">
        <v>680</v>
      </c>
      <c r="B17" s="302" t="s">
        <v>715</v>
      </c>
      <c r="C17" s="21">
        <f ca="1">ROUND(F17*(F43+INDIRECT("'数据-取费表'!S"&amp;$G$1)),0)</f>
        <v>23572</v>
      </c>
      <c r="D17" s="302" t="s">
        <v>716</v>
      </c>
      <c r="E17" s="302" t="s">
        <v>717</v>
      </c>
      <c r="F17" s="23">
        <f>'数据-取费表'!B35</f>
        <v>200</v>
      </c>
      <c r="G17" s="1395"/>
      <c r="H17" s="981" t="s">
        <v>398</v>
      </c>
      <c r="I17" s="302" t="s">
        <v>718</v>
      </c>
      <c r="J17" s="2315">
        <f ca="1">ROUND(IF(AND(项目基本情况!B11="自然人",项目基本情况!B10="北京市"),J6*M17/(1+'数据-取费表'!C42),J18+J19+J20),0)</f>
        <v>0</v>
      </c>
      <c r="K17" s="1344" t="s">
        <v>719</v>
      </c>
      <c r="L17" s="1343" t="s">
        <v>720</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681</v>
      </c>
      <c r="B18" s="302" t="s">
        <v>721</v>
      </c>
      <c r="C18" s="21">
        <f ca="1">ROUND(C14*F18,0)</f>
        <v>5657</v>
      </c>
      <c r="D18" s="302" t="s">
        <v>710</v>
      </c>
      <c r="E18" s="302" t="s">
        <v>711</v>
      </c>
      <c r="F18" s="322">
        <f>'数据-取费表'!B36</f>
        <v>1.4999999999999999E-2</v>
      </c>
      <c r="G18" s="1395"/>
      <c r="H18" s="981" t="s">
        <v>397</v>
      </c>
      <c r="I18" s="302" t="s">
        <v>722</v>
      </c>
      <c r="J18" s="21">
        <f ca="1">ROUND(J6*M18/(1+'数据-取费表'!C42),0)</f>
        <v>0</v>
      </c>
      <c r="K18" s="1343" t="s">
        <v>723</v>
      </c>
      <c r="L18" s="302" t="s">
        <v>711</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724</v>
      </c>
      <c r="C19" s="21">
        <f ca="1">SUM(C14:C18)</f>
        <v>417696</v>
      </c>
      <c r="D19" s="131" t="s">
        <v>725</v>
      </c>
      <c r="E19" s="1359"/>
      <c r="F19" s="23"/>
      <c r="G19" s="1383"/>
      <c r="H19" s="981" t="s">
        <v>399</v>
      </c>
      <c r="I19" s="302" t="s">
        <v>726</v>
      </c>
      <c r="J19" s="21">
        <f ca="1">IF(K19="按租金收入计税",ROUND(J6*M19/(1+'数据-取费表'!C42),0),ROUND(C29*M19*0.7,0))</f>
        <v>0</v>
      </c>
      <c r="K19" s="1369" t="s">
        <v>3340</v>
      </c>
      <c r="L19" s="302" t="s">
        <v>711</v>
      </c>
      <c r="M19" s="322">
        <f>IF(K19="按租金收入计税",'数据-取费表'!B51,'数据-取费表'!B50)</f>
        <v>0.12</v>
      </c>
    </row>
    <row r="20" spans="1:37" s="1396" customFormat="1" ht="18" customHeight="1">
      <c r="A20" s="981" t="s">
        <v>402</v>
      </c>
      <c r="B20" s="302" t="s">
        <v>727</v>
      </c>
      <c r="C20" s="21">
        <f ca="1">ROUND(C19*F20,0)</f>
        <v>8354</v>
      </c>
      <c r="D20" s="323" t="s">
        <v>728</v>
      </c>
      <c r="E20" s="302" t="s">
        <v>711</v>
      </c>
      <c r="F20" s="322">
        <f>'数据-取费表'!B37</f>
        <v>0.02</v>
      </c>
      <c r="G20" s="1395"/>
      <c r="H20" s="981" t="s">
        <v>679</v>
      </c>
      <c r="I20" s="155" t="s">
        <v>729</v>
      </c>
      <c r="J20" s="22">
        <f ca="1">ROUND(M20*M21,0)</f>
        <v>0</v>
      </c>
      <c r="K20" s="324" t="s">
        <v>730</v>
      </c>
      <c r="L20" s="302" t="s">
        <v>731</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732</v>
      </c>
      <c r="C21" s="21" t="s">
        <v>0</v>
      </c>
      <c r="D21" s="323" t="s">
        <v>733</v>
      </c>
      <c r="E21" s="302" t="s">
        <v>734</v>
      </c>
      <c r="F21" s="322">
        <f>'数据-取费表'!B38</f>
        <v>0.02</v>
      </c>
      <c r="G21" s="1395"/>
      <c r="H21" s="326"/>
      <c r="I21" s="311"/>
      <c r="J21" s="26"/>
      <c r="K21" s="327"/>
      <c r="L21" s="302" t="s">
        <v>735</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682</v>
      </c>
      <c r="B22" s="302" t="s">
        <v>736</v>
      </c>
      <c r="C22" s="21"/>
      <c r="D22" s="131" t="str">
        <f>IF(F23&lt;=1,"单利计息。","复利计息。")&amp;"建造成本、管理费用、销售费用产生的利息。"</f>
        <v>复利计息。建造成本、管理费用、销售费用产生的利息。</v>
      </c>
      <c r="E22" s="1359"/>
      <c r="F22" s="23"/>
      <c r="G22" s="1383"/>
      <c r="H22" s="981" t="s">
        <v>402</v>
      </c>
      <c r="I22" s="302" t="s">
        <v>737</v>
      </c>
      <c r="J22" s="21">
        <f ca="1">ROUND(J14*M22,0)</f>
        <v>5699</v>
      </c>
      <c r="K22" s="1343" t="s">
        <v>738</v>
      </c>
      <c r="L22" s="302" t="s">
        <v>711</v>
      </c>
      <c r="M22" s="328">
        <f ca="1">INDIRECT("'数据-取费表'!Ak"&amp;$G$1)</f>
        <v>0.01</v>
      </c>
    </row>
    <row r="23" spans="1:37" s="1396" customFormat="1" ht="18" customHeight="1">
      <c r="A23" s="981" t="s">
        <v>397</v>
      </c>
      <c r="B23" s="302" t="s">
        <v>739</v>
      </c>
      <c r="C23" s="21">
        <f ca="1">IF('数据-取费表'!B22&lt;=1,ROUND(C19*F24*F23/2,0)+ROUND(C20*F24*F23/2,0),ROUND(C19*(POWER((1+F24),F23/2)-1),0)+ROUND(C20*(POWER((1+F24),F23/2)-1),0))</f>
        <v>14699</v>
      </c>
      <c r="D23" s="329" t="str">
        <f>IF(F23&lt;=1,"(建造成本+管理费用)×利率×(建设周期÷2)","(建造成本+管理费用)×((1+利率)^(建设周期÷2)-1)")</f>
        <v>(建造成本+管理费用)×((1+利率)^(建设周期÷2)-1)</v>
      </c>
      <c r="E23" s="302" t="s">
        <v>740</v>
      </c>
      <c r="F23" s="325">
        <f>'数据-取费表'!B20</f>
        <v>2</v>
      </c>
      <c r="G23" s="1395"/>
      <c r="H23" s="981" t="s">
        <v>437</v>
      </c>
      <c r="I23" s="302" t="s">
        <v>741</v>
      </c>
      <c r="J23" s="21">
        <f ca="1">ROUND(J13*M23,0)</f>
        <v>0</v>
      </c>
      <c r="K23" s="1343" t="s">
        <v>742</v>
      </c>
      <c r="L23" s="302" t="s">
        <v>743</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5"/>
      <c r="H24" s="1088" t="s">
        <v>683</v>
      </c>
      <c r="I24" s="1089" t="s">
        <v>727</v>
      </c>
      <c r="J24" s="1090">
        <f ca="1">ROUND(J5*M24,0)</f>
        <v>0</v>
      </c>
      <c r="K24" s="1091" t="s">
        <v>747</v>
      </c>
      <c r="L24" s="1089" t="s">
        <v>743</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748</v>
      </c>
      <c r="B25" s="302" t="s">
        <v>749</v>
      </c>
      <c r="C25" s="21"/>
      <c r="D25" s="131" t="s">
        <v>750</v>
      </c>
      <c r="E25" s="1359"/>
      <c r="F25" s="23"/>
      <c r="G25" s="1383"/>
      <c r="H25" s="1078" t="s">
        <v>394</v>
      </c>
      <c r="I25" s="1093" t="s">
        <v>751</v>
      </c>
      <c r="J25" s="310">
        <f ca="1">J5-J16</f>
        <v>-5699</v>
      </c>
      <c r="K25" s="1094" t="s">
        <v>752</v>
      </c>
      <c r="L25" s="1095"/>
      <c r="M25" s="1096"/>
    </row>
    <row r="26" spans="1:37" ht="18" customHeight="1">
      <c r="A26" s="981" t="s">
        <v>397</v>
      </c>
      <c r="B26" s="302" t="s">
        <v>753</v>
      </c>
      <c r="C26" s="21">
        <f ca="1">ROUND((C19+C20)*F26,0)</f>
        <v>85210</v>
      </c>
      <c r="D26" s="323" t="s">
        <v>754</v>
      </c>
      <c r="E26" s="313" t="s">
        <v>755</v>
      </c>
      <c r="F26" s="312">
        <f ca="1">INDIRECT("'数据-取费表'!q"&amp;$G$1)</f>
        <v>0.2</v>
      </c>
      <c r="G26" s="1383"/>
      <c r="H26" s="299" t="s">
        <v>395</v>
      </c>
      <c r="I26" s="300" t="s">
        <v>756</v>
      </c>
      <c r="J26" s="301">
        <f ca="1">IF(J5&lt;&gt;0,ROUND(J25*(1-((1+M28)/(1+M26))^M27)/(M26-M28),0),0)</f>
        <v>0</v>
      </c>
      <c r="K26" s="324" t="s">
        <v>757</v>
      </c>
      <c r="L26" s="302" t="s">
        <v>758</v>
      </c>
      <c r="M26" s="312">
        <f ca="1">INDIRECT("'数据-取费表'!I"&amp;$G$1)</f>
        <v>5.5E-2</v>
      </c>
    </row>
    <row r="27" spans="1:37" ht="18" customHeight="1">
      <c r="A27" s="981" t="s">
        <v>399</v>
      </c>
      <c r="B27" s="302" t="s">
        <v>759</v>
      </c>
      <c r="C27" s="21">
        <f ca="1">ROUND(F21*F26,4)</f>
        <v>4.0000000000000001E-3</v>
      </c>
      <c r="D27" s="323" t="s">
        <v>760</v>
      </c>
      <c r="E27" s="320"/>
      <c r="F27" s="321"/>
      <c r="G27" s="1383"/>
      <c r="H27" s="304"/>
      <c r="I27" s="305"/>
      <c r="J27" s="306"/>
      <c r="K27" s="332" t="s">
        <v>761</v>
      </c>
      <c r="L27" s="302" t="s">
        <v>762</v>
      </c>
      <c r="M27" s="333">
        <f ca="1">INDIRECT("'数据-取费表'!ag"&amp;$G$1)</f>
        <v>0</v>
      </c>
    </row>
    <row r="28" spans="1:37" s="1396" customFormat="1" ht="18" customHeight="1">
      <c r="A28" s="981" t="s">
        <v>400</v>
      </c>
      <c r="B28" s="302" t="s">
        <v>763</v>
      </c>
      <c r="C28" s="21">
        <f>ROUND(F28/(1+'数据-取费表'!C42),4)</f>
        <v>5.2400000000000002E-2</v>
      </c>
      <c r="D28" s="323" t="s">
        <v>764</v>
      </c>
      <c r="E28" s="302" t="s">
        <v>711</v>
      </c>
      <c r="F28" s="322">
        <f>'数据-取费表'!B41</f>
        <v>5.5000000000000007E-2</v>
      </c>
      <c r="G28" s="1395"/>
      <c r="H28" s="308"/>
      <c r="I28" s="309"/>
      <c r="J28" s="310"/>
      <c r="K28" s="327"/>
      <c r="L28" s="302" t="s">
        <v>765</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766</v>
      </c>
      <c r="C29" s="1090">
        <f ca="1">ROUND((C19+C20+C23+C26)/(1-F21-C24-C27-C28),0)</f>
        <v>569898</v>
      </c>
      <c r="D29" s="1091"/>
      <c r="E29" s="1089"/>
      <c r="F29" s="1092"/>
      <c r="G29" s="1395"/>
      <c r="H29" s="334" t="s">
        <v>396</v>
      </c>
      <c r="I29" s="335" t="s">
        <v>767</v>
      </c>
      <c r="J29" s="336">
        <f ca="1">ROUND(J26/(1+F40)^F41,0)</f>
        <v>0</v>
      </c>
      <c r="K29" s="337" t="s">
        <v>768</v>
      </c>
      <c r="L29" s="338"/>
      <c r="M29" s="339">
        <f ca="1">INDIRECT("'数据-取费表'!k"&amp;$G$1)</f>
        <v>117.86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713</v>
      </c>
      <c r="C30" s="310">
        <f ca="1">ROUND(C31+C36+C37+C38,0)</f>
        <v>17430</v>
      </c>
      <c r="D30" s="1086" t="s">
        <v>714</v>
      </c>
      <c r="E30" s="1087"/>
      <c r="F30" s="1071"/>
      <c r="G30" s="1383"/>
      <c r="H30" s="2696"/>
      <c r="I30" s="1397"/>
      <c r="J30" s="1398"/>
      <c r="K30" s="2474"/>
      <c r="L30" s="2697"/>
      <c r="M30" s="2698"/>
    </row>
    <row r="31" spans="1:37" ht="18" customHeight="1">
      <c r="A31" s="981" t="s">
        <v>398</v>
      </c>
      <c r="B31" s="302" t="s">
        <v>718</v>
      </c>
      <c r="C31" s="2315">
        <f ca="1">ROUND(IF(AND(项目基本情况!B11="自然人",项目基本情况!B10="北京市"),C6*F31/(1+'数据-取费表'!C42),C32+C33+C34),0)</f>
        <v>9808</v>
      </c>
      <c r="D31" s="1344" t="s">
        <v>719</v>
      </c>
      <c r="E31" s="1343" t="s">
        <v>769</v>
      </c>
      <c r="F31" s="2314">
        <f ca="1">IF(项目基本情况!B11="企业","——",IF(M47="住宅",IF(F6*F7*F8/12/(1+'数据-取费表'!F30)&gt;100000,4%,2.5%),IF(F6*F7*F8/12/(1+'数据-取费表'!F30)&gt;100000,12%,7%)))</f>
        <v>7.0000000000000007E-2</v>
      </c>
      <c r="G31" s="1383"/>
      <c r="H31" s="2807" t="s">
        <v>2308</v>
      </c>
      <c r="I31" s="1397"/>
      <c r="J31" s="1398"/>
      <c r="K31" s="2474"/>
      <c r="L31" s="2697"/>
      <c r="M31" s="2698"/>
    </row>
    <row r="32" spans="1:37" ht="18" customHeight="1">
      <c r="A32" s="981" t="s">
        <v>397</v>
      </c>
      <c r="B32" s="302" t="s">
        <v>722</v>
      </c>
      <c r="C32" s="21" t="str">
        <f>IF(项目基本情况!B11="自然人","——",ROUND(C6*F32/(1+'数据-取费表'!C42),0))</f>
        <v>——</v>
      </c>
      <c r="D32" s="1343" t="s">
        <v>723</v>
      </c>
      <c r="E32" s="302" t="s">
        <v>711</v>
      </c>
      <c r="F32" s="331">
        <f>'数据-取费表'!B41</f>
        <v>5.5000000000000007E-2</v>
      </c>
      <c r="G32" s="1383"/>
      <c r="H32" s="2696"/>
      <c r="I32" s="1397"/>
      <c r="J32" s="1398"/>
      <c r="K32" s="2474"/>
      <c r="L32" s="2697"/>
      <c r="M32" s="2698"/>
    </row>
    <row r="33" spans="1:18" ht="18" customHeight="1">
      <c r="A33" s="981" t="s">
        <v>399</v>
      </c>
      <c r="B33" s="302" t="s">
        <v>726</v>
      </c>
      <c r="C33" s="21" t="str">
        <f ca="1">IF(项目基本情况!B11="自然人","——",IF(D33="按租金收入计税",ROUND(C6*F33/(1+'数据-取费表'!C42),0),IF(D33="按房产原值计税",ROUND(C29*F33*0.7,0),INDIRECT("'数据-取费表'!Aj"&amp;$G$1))))</f>
        <v>——</v>
      </c>
      <c r="D33" s="1369" t="s">
        <v>3340</v>
      </c>
      <c r="E33" s="302" t="s">
        <v>711</v>
      </c>
      <c r="F33" s="322">
        <f>IF(D33="按票据","——",IF(D33="按租金收入计税",'数据-取费表'!B51,'数据-取费表'!B50))</f>
        <v>0.12</v>
      </c>
      <c r="G33" s="1383"/>
      <c r="H33" s="2699"/>
      <c r="I33" s="1397"/>
      <c r="J33" s="1398"/>
      <c r="K33" s="2700"/>
      <c r="L33" s="2699"/>
      <c r="M33" s="2699"/>
    </row>
    <row r="34" spans="1:18" ht="18" customHeight="1">
      <c r="A34" s="1068" t="s">
        <v>679</v>
      </c>
      <c r="B34" s="155" t="s">
        <v>729</v>
      </c>
      <c r="C34" s="22" t="str">
        <f>IF(项目基本情况!B11="自然人","——",ROUND(F34*F35,0))</f>
        <v>——</v>
      </c>
      <c r="D34" s="324" t="s">
        <v>730</v>
      </c>
      <c r="E34" s="302" t="s">
        <v>731</v>
      </c>
      <c r="F34" s="325">
        <f>'数据-取费表'!B52</f>
        <v>1.5</v>
      </c>
      <c r="G34" s="1383"/>
      <c r="H34" s="2696"/>
      <c r="I34" s="1397"/>
      <c r="J34" s="1398"/>
      <c r="K34" s="2701"/>
      <c r="L34" s="2702"/>
      <c r="M34" s="2702"/>
    </row>
    <row r="35" spans="1:18" ht="18" customHeight="1">
      <c r="A35" s="1102"/>
      <c r="B35" s="1100"/>
      <c r="C35" s="26"/>
      <c r="D35" s="327"/>
      <c r="E35" s="302" t="s">
        <v>735</v>
      </c>
      <c r="F35" s="303">
        <f ca="1">INDIRECT("'数据-取费表'!r"&amp;$G$1)</f>
        <v>0</v>
      </c>
      <c r="G35" s="1383"/>
      <c r="H35" s="2696"/>
      <c r="I35" s="1397"/>
      <c r="J35" s="1398"/>
      <c r="K35" s="2700"/>
      <c r="L35" s="2699"/>
      <c r="M35" s="2699"/>
    </row>
    <row r="36" spans="1:18" ht="18" customHeight="1">
      <c r="A36" s="1101" t="s">
        <v>402</v>
      </c>
      <c r="B36" s="302" t="s">
        <v>737</v>
      </c>
      <c r="C36" s="21">
        <f ca="1">ROUND(C29*F36,0)</f>
        <v>5699</v>
      </c>
      <c r="D36" s="1343" t="s">
        <v>770</v>
      </c>
      <c r="E36" s="302" t="s">
        <v>711</v>
      </c>
      <c r="F36" s="328">
        <f ca="1">INDIRECT("'数据-取费表'!Ak"&amp;$G$1)</f>
        <v>0.01</v>
      </c>
      <c r="G36" s="1383"/>
      <c r="H36" s="2699"/>
      <c r="I36" s="1397"/>
      <c r="J36" s="1398"/>
      <c r="K36" s="2543"/>
      <c r="L36" s="2699"/>
      <c r="M36" s="2699"/>
    </row>
    <row r="37" spans="1:18" ht="18" customHeight="1">
      <c r="A37" s="981" t="s">
        <v>437</v>
      </c>
      <c r="B37" s="302" t="s">
        <v>741</v>
      </c>
      <c r="C37" s="21">
        <f ca="1">ROUND(C13*F37,0)</f>
        <v>450</v>
      </c>
      <c r="D37" s="1343" t="s">
        <v>742</v>
      </c>
      <c r="E37" s="302" t="s">
        <v>743</v>
      </c>
      <c r="F37" s="330">
        <f ca="1">INDIRECT("'数据-取费表'!Al"&amp;$G$1)</f>
        <v>1E-3</v>
      </c>
      <c r="G37" s="1383"/>
      <c r="H37" s="2699"/>
      <c r="I37" s="1397"/>
      <c r="J37" s="1398"/>
      <c r="K37" s="2543"/>
      <c r="L37" s="2699"/>
      <c r="M37" s="2699"/>
    </row>
    <row r="38" spans="1:18" ht="18" customHeight="1" thickBot="1">
      <c r="A38" s="1088" t="s">
        <v>683</v>
      </c>
      <c r="B38" s="1089" t="s">
        <v>727</v>
      </c>
      <c r="C38" s="1090">
        <f ca="1">ROUND(C5*F38,0)</f>
        <v>1473</v>
      </c>
      <c r="D38" s="1091" t="s">
        <v>747</v>
      </c>
      <c r="E38" s="1089" t="s">
        <v>743</v>
      </c>
      <c r="F38" s="1085">
        <f ca="1">INDIRECT("'数据-取费表'!Am"&amp;$G$1)</f>
        <v>0.01</v>
      </c>
      <c r="G38" s="1383"/>
      <c r="H38" s="2699"/>
      <c r="I38" s="1397"/>
      <c r="J38" s="1398"/>
      <c r="K38" s="2703"/>
      <c r="L38" s="2699"/>
      <c r="M38" s="2699"/>
    </row>
    <row r="39" spans="1:18" ht="24.6" customHeight="1" thickTop="1">
      <c r="A39" s="1078" t="s">
        <v>394</v>
      </c>
      <c r="B39" s="1093" t="s">
        <v>771</v>
      </c>
      <c r="C39" s="310">
        <f ca="1">C5-C30</f>
        <v>129879</v>
      </c>
      <c r="D39" s="1094" t="s">
        <v>772</v>
      </c>
      <c r="E39" s="1095"/>
      <c r="F39" s="1096"/>
      <c r="G39" s="1383"/>
      <c r="H39" s="2699"/>
      <c r="I39" s="1397">
        <f ca="1">C39/C5</f>
        <v>0.88167729059324274</v>
      </c>
      <c r="J39" s="1398"/>
      <c r="K39" s="2703"/>
      <c r="L39" s="2699"/>
      <c r="M39" s="2699"/>
    </row>
    <row r="40" spans="1:18" ht="18" customHeight="1">
      <c r="A40" s="299" t="s">
        <v>395</v>
      </c>
      <c r="B40" s="300" t="s">
        <v>773</v>
      </c>
      <c r="C40" s="301">
        <f ca="1">ROUND(C39*(1-((1+F42)/(1+F40))^F41)/(F40-F42),0)</f>
        <v>1955484</v>
      </c>
      <c r="D40" s="324" t="s">
        <v>757</v>
      </c>
      <c r="E40" s="302" t="s">
        <v>758</v>
      </c>
      <c r="F40" s="312">
        <f ca="1">INDIRECT("'数据-取费表'!I"&amp;$G$1)</f>
        <v>5.5E-2</v>
      </c>
      <c r="G40" s="1383"/>
      <c r="H40" s="1460"/>
      <c r="I40" s="1397"/>
      <c r="J40" s="1398"/>
      <c r="K40" s="2703"/>
      <c r="L40" s="1460"/>
      <c r="M40" s="1460"/>
    </row>
    <row r="41" spans="1:18" ht="18" customHeight="1">
      <c r="A41" s="304"/>
      <c r="B41" s="305"/>
      <c r="C41" s="306"/>
      <c r="D41" s="332" t="s">
        <v>774</v>
      </c>
      <c r="E41" s="302" t="s">
        <v>762</v>
      </c>
      <c r="F41" s="333">
        <f ca="1">IF(INDIRECT("'数据-取费表'!af"&amp;$G$1)=0,INDIRECT("'数据-取费表'!ae"&amp;$G$1),INDIRECT("'数据-取费表'!af"&amp;$G$1))</f>
        <v>20.83</v>
      </c>
      <c r="G41" s="1383"/>
      <c r="H41" s="1190"/>
      <c r="I41" s="1397"/>
      <c r="J41" s="1398"/>
      <c r="K41" s="2543"/>
      <c r="L41" s="1190"/>
      <c r="M41" s="1190"/>
    </row>
    <row r="42" spans="1:18" ht="18" customHeight="1">
      <c r="A42" s="308"/>
      <c r="B42" s="309"/>
      <c r="C42" s="310"/>
      <c r="D42" s="327"/>
      <c r="E42" s="302" t="s">
        <v>765</v>
      </c>
      <c r="F42" s="312">
        <f ca="1">INDIRECT("'数据-取费表'!v"&amp;$G$1)</f>
        <v>2.5000000000000001E-2</v>
      </c>
      <c r="G42" s="1383"/>
      <c r="H42" s="1190"/>
      <c r="I42" s="1397"/>
      <c r="J42" s="1398"/>
      <c r="K42" s="2543"/>
      <c r="L42" s="1190"/>
      <c r="M42" s="1190"/>
    </row>
    <row r="43" spans="1:18" ht="18" customHeight="1" thickBot="1">
      <c r="A43" s="334" t="s">
        <v>396</v>
      </c>
      <c r="B43" s="335" t="s">
        <v>775</v>
      </c>
      <c r="C43" s="336">
        <f ca="1">ROUND(C40/F43,0)</f>
        <v>16592</v>
      </c>
      <c r="D43" s="337" t="s">
        <v>776</v>
      </c>
      <c r="E43" s="338" t="s">
        <v>777</v>
      </c>
      <c r="F43" s="339">
        <f ca="1">INDIRECT("'数据-取费表'!k"&amp;$G$1)</f>
        <v>117.86</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-203.06319999999999</v>
      </c>
      <c r="D45" s="3431" t="s">
        <v>3357</v>
      </c>
      <c r="E45" s="1399"/>
      <c r="F45" s="1399"/>
      <c r="O45" s="1402" t="s">
        <v>807</v>
      </c>
      <c r="P45" s="1460"/>
      <c r="Q45" s="1460"/>
      <c r="R45" s="1460"/>
    </row>
    <row r="46" spans="1:18" s="1383" customFormat="1" ht="13.5" thickBot="1">
      <c r="A46" s="1403" t="s">
        <v>808</v>
      </c>
      <c r="C46" s="1404">
        <f ca="1">ROUND(C45,0)</f>
        <v>-203</v>
      </c>
      <c r="D46" s="1405" t="str">
        <f>C2</f>
        <v>万元</v>
      </c>
      <c r="I46" s="1406" t="s">
        <v>809</v>
      </c>
      <c r="J46" s="1407"/>
      <c r="K46" s="1408"/>
      <c r="L46" s="1409">
        <f ca="1">IF(M47="住宅",0,IF(L48&gt;J51,L60,J60))</f>
        <v>50538</v>
      </c>
      <c r="O46" s="1410" t="s">
        <v>810</v>
      </c>
      <c r="P46" s="1411" t="s">
        <v>811</v>
      </c>
      <c r="Q46" s="1412" t="s">
        <v>812</v>
      </c>
      <c r="R46" s="1412" t="s">
        <v>813</v>
      </c>
    </row>
    <row r="47" spans="1:18" s="1383" customFormat="1" ht="13.5" thickBot="1">
      <c r="A47" s="945" t="s">
        <v>686</v>
      </c>
      <c r="B47" s="977" t="s">
        <v>687</v>
      </c>
      <c r="C47" s="977" t="s">
        <v>688</v>
      </c>
      <c r="D47" s="977" t="s">
        <v>689</v>
      </c>
      <c r="E47" s="1057" t="s">
        <v>690</v>
      </c>
      <c r="F47" s="1058"/>
      <c r="G47" s="721"/>
      <c r="I47" s="1413" t="s">
        <v>814</v>
      </c>
      <c r="J47" s="1414" t="s">
        <v>3408</v>
      </c>
      <c r="K47" s="1415" t="s">
        <v>815</v>
      </c>
      <c r="L47" s="1416">
        <f ca="1">INDIRECT("'数据-取费表'!d"&amp;$G$1)</f>
        <v>40</v>
      </c>
      <c r="M47" s="1379" t="str">
        <f>IF(ISNUMBER(FIND("住宅",C1)),"住宅","非住宅")</f>
        <v>非住宅</v>
      </c>
      <c r="O47" s="1417" t="s">
        <v>403</v>
      </c>
      <c r="P47" s="1418" t="s">
        <v>816</v>
      </c>
      <c r="Q47" s="1419">
        <f ca="1">C40+J29</f>
        <v>1955484</v>
      </c>
      <c r="R47" s="1419" t="s">
        <v>817</v>
      </c>
    </row>
    <row r="48" spans="1:18" s="1383" customFormat="1" ht="28.5" thickBot="1">
      <c r="A48" s="1109" t="s">
        <v>438</v>
      </c>
      <c r="B48" s="300" t="s">
        <v>691</v>
      </c>
      <c r="C48" s="1358">
        <f ca="1">C49+C53+C55</f>
        <v>0</v>
      </c>
      <c r="D48" s="1111"/>
      <c r="E48" s="1112"/>
      <c r="F48" s="961"/>
      <c r="G48" s="721"/>
      <c r="H48" s="722"/>
      <c r="I48" s="1420" t="s">
        <v>818</v>
      </c>
      <c r="J48" s="1421" t="s">
        <v>3428</v>
      </c>
      <c r="K48" s="1422" t="s">
        <v>819</v>
      </c>
      <c r="L48" s="1423">
        <f ca="1">INDIRECT("'数据-取费表'!f"&amp;$G$1)</f>
        <v>20.83</v>
      </c>
      <c r="O48" s="1417" t="s">
        <v>404</v>
      </c>
      <c r="P48" s="1418" t="s">
        <v>820</v>
      </c>
      <c r="Q48" s="1419">
        <f ca="1">J60</f>
        <v>50538</v>
      </c>
      <c r="R48" s="1419" t="s">
        <v>821</v>
      </c>
    </row>
    <row r="49" spans="1:18" s="1383" customFormat="1" ht="13.5" thickBot="1">
      <c r="A49" s="974" t="s">
        <v>439</v>
      </c>
      <c r="B49" s="1370" t="s">
        <v>778</v>
      </c>
      <c r="C49" s="1113">
        <f ca="1">ROUND(F49*F51*F50*(1-F52),0)</f>
        <v>0</v>
      </c>
      <c r="D49" s="1054" t="s">
        <v>694</v>
      </c>
      <c r="E49" s="1371" t="s">
        <v>779</v>
      </c>
      <c r="F49" s="1059"/>
      <c r="G49" s="1424"/>
      <c r="H49" s="722"/>
      <c r="I49" s="1420" t="s">
        <v>822</v>
      </c>
      <c r="J49" s="1425">
        <v>2004</v>
      </c>
      <c r="K49" s="1422" t="s">
        <v>823</v>
      </c>
      <c r="L49" s="1426"/>
      <c r="O49" s="1427" t="s">
        <v>405</v>
      </c>
      <c r="P49" s="1418" t="s">
        <v>824</v>
      </c>
      <c r="Q49" s="1419">
        <f ca="1">C29</f>
        <v>569898</v>
      </c>
      <c r="R49" s="1419" t="s">
        <v>817</v>
      </c>
    </row>
    <row r="50" spans="1:18" s="1383" customFormat="1" ht="13.5" thickBot="1">
      <c r="A50" s="975"/>
      <c r="B50" s="978"/>
      <c r="C50" s="979"/>
      <c r="D50" s="952"/>
      <c r="E50" s="1055" t="s">
        <v>696</v>
      </c>
      <c r="F50" s="1056">
        <f ca="1">F7</f>
        <v>117.86</v>
      </c>
      <c r="H50" s="722"/>
      <c r="I50" s="1420" t="s">
        <v>825</v>
      </c>
      <c r="J50" s="1428">
        <f>SUMPRODUCT((I63:I65=J47)*(J62:L62=J48)*(J63:L65))</f>
        <v>60</v>
      </c>
      <c r="K50" s="1422" t="s">
        <v>826</v>
      </c>
      <c r="L50" s="1426"/>
      <c r="M50" s="1429"/>
      <c r="O50" s="1427" t="s">
        <v>406</v>
      </c>
      <c r="P50" s="1418" t="s">
        <v>827</v>
      </c>
      <c r="Q50" s="1430">
        <f ca="1">J58</f>
        <v>0.4</v>
      </c>
      <c r="R50" s="1419"/>
    </row>
    <row r="51" spans="1:18" s="1383" customFormat="1" ht="13.5" thickBot="1">
      <c r="A51" s="976"/>
      <c r="B51" s="978"/>
      <c r="C51" s="979"/>
      <c r="D51" s="952"/>
      <c r="E51" s="980" t="s">
        <v>697</v>
      </c>
      <c r="F51" s="303">
        <f ca="1">F8</f>
        <v>365</v>
      </c>
      <c r="I51" s="1431" t="s">
        <v>828</v>
      </c>
      <c r="J51" s="1432">
        <f>IF(J49="",J50,J49+J50-YEAR('数据-取费表'!B2))</f>
        <v>41</v>
      </c>
      <c r="K51" s="1433" t="s">
        <v>829</v>
      </c>
      <c r="L51" s="1434">
        <f ca="1">ROUND(-PV(INDIRECT("'数据-取费表'!h"&amp;$G$1),J51,(C39-C13*C76),0),0)</f>
        <v>1589307</v>
      </c>
      <c r="M51" s="1435"/>
      <c r="O51" s="1427" t="s">
        <v>407</v>
      </c>
      <c r="P51" s="1418" t="s">
        <v>830</v>
      </c>
      <c r="Q51" s="1430">
        <f>J52</f>
        <v>7.4999999999999997E-2</v>
      </c>
      <c r="R51" s="1419"/>
    </row>
    <row r="52" spans="1:18" s="1383" customFormat="1" ht="13.5" thickBot="1">
      <c r="A52" s="976"/>
      <c r="B52" s="978"/>
      <c r="C52" s="979"/>
      <c r="D52" s="952"/>
      <c r="E52" s="980" t="s">
        <v>698</v>
      </c>
      <c r="F52" s="1053"/>
      <c r="I52" s="1436" t="s">
        <v>831</v>
      </c>
      <c r="J52" s="1437">
        <v>7.4999999999999997E-2</v>
      </c>
      <c r="K52" s="1436" t="s">
        <v>832</v>
      </c>
      <c r="L52" s="1437"/>
      <c r="O52" s="1427" t="s">
        <v>408</v>
      </c>
      <c r="P52" s="1418" t="s">
        <v>833</v>
      </c>
      <c r="Q52" s="1419">
        <f ca="1">J53</f>
        <v>20.83</v>
      </c>
      <c r="R52" s="1419" t="s">
        <v>834</v>
      </c>
    </row>
    <row r="53" spans="1:18" s="1383" customFormat="1" ht="30.75" customHeight="1" thickBot="1">
      <c r="A53" s="1110" t="s">
        <v>440</v>
      </c>
      <c r="B53" s="323" t="s">
        <v>699</v>
      </c>
      <c r="C53" s="316">
        <f ca="1">ROUND(IF(F53="押一",C49/12*F11,IF(F53="押二",C49/12*2*F11,IF(F53="押三",C49/12*3*F11,C54*F11))),0)</f>
        <v>0</v>
      </c>
      <c r="D53" s="1365" t="s">
        <v>2117</v>
      </c>
      <c r="E53" s="313" t="s">
        <v>700</v>
      </c>
      <c r="F53" s="1115"/>
      <c r="I53" s="1438" t="s">
        <v>835</v>
      </c>
      <c r="J53" s="2167">
        <f ca="1">IF(M47="住宅",IF(D1="——",MAX(J51,L48),MAX(J51,L48-'数据-取费表'!B24)),IF(D1="——",MIN(J51,L48),MIN(J51,L48-'数据-取费表'!B24)))</f>
        <v>20.83</v>
      </c>
      <c r="K53" s="3635" t="s">
        <v>836</v>
      </c>
      <c r="L53" s="3636"/>
      <c r="O53" s="1417" t="s">
        <v>409</v>
      </c>
      <c r="P53" s="1418" t="s">
        <v>837</v>
      </c>
      <c r="Q53" s="1419">
        <f ca="1">Q47+Q48</f>
        <v>2006022</v>
      </c>
      <c r="R53" s="1419" t="s">
        <v>410</v>
      </c>
    </row>
    <row r="54" spans="1:18" s="1383" customFormat="1" ht="13.5" thickBot="1">
      <c r="A54" s="974"/>
      <c r="B54" s="1472" t="s">
        <v>890</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838</v>
      </c>
      <c r="P54" s="1380"/>
      <c r="Q54" s="1380"/>
      <c r="R54" s="1380"/>
    </row>
    <row r="55" spans="1:18" s="1383" customFormat="1" ht="13.5" thickBot="1">
      <c r="A55" s="1082" t="s">
        <v>437</v>
      </c>
      <c r="B55" s="1368" t="s">
        <v>702</v>
      </c>
      <c r="C55" s="1083"/>
      <c r="D55" s="1365"/>
      <c r="E55" s="1373"/>
      <c r="F55" s="1439"/>
      <c r="I55" s="1442" t="s">
        <v>839</v>
      </c>
      <c r="J55" s="1443">
        <f ca="1">ROUND(IF(J47="钢混",J57/J50,1-(1-2%)*(J50-J57)/J50),3)</f>
        <v>0.33600000000000002</v>
      </c>
      <c r="K55" s="1444" t="s">
        <v>840</v>
      </c>
      <c r="L55" s="1445"/>
      <c r="O55" s="1410" t="s">
        <v>810</v>
      </c>
      <c r="P55" s="1411" t="s">
        <v>811</v>
      </c>
      <c r="Q55" s="1412" t="s">
        <v>812</v>
      </c>
      <c r="R55" s="1412" t="s">
        <v>813</v>
      </c>
    </row>
    <row r="56" spans="1:18" s="1383" customFormat="1" ht="36" customHeight="1" thickTop="1" thickBot="1">
      <c r="A56" s="956">
        <v>2</v>
      </c>
      <c r="B56" s="957" t="s">
        <v>703</v>
      </c>
      <c r="C56" s="232">
        <f ca="1">C13</f>
        <v>450219</v>
      </c>
      <c r="D56" s="1446"/>
      <c r="E56" s="1447"/>
      <c r="F56" s="1439"/>
      <c r="I56" s="1448" t="s">
        <v>841</v>
      </c>
      <c r="J56" s="1449" t="s">
        <v>3386</v>
      </c>
      <c r="K56" s="1420" t="s">
        <v>842</v>
      </c>
      <c r="L56" s="1423" t="str">
        <f ca="1">IF(L48&lt;J51,"——",L48-J51)</f>
        <v>——</v>
      </c>
      <c r="O56" s="1417" t="s">
        <v>403</v>
      </c>
      <c r="P56" s="1418" t="s">
        <v>816</v>
      </c>
      <c r="Q56" s="1419">
        <f ca="1">C40+J29</f>
        <v>1955484</v>
      </c>
      <c r="R56" s="1419" t="s">
        <v>817</v>
      </c>
    </row>
    <row r="57" spans="1:18" s="1383" customFormat="1" ht="24.75" thickBot="1">
      <c r="A57" s="1450"/>
      <c r="B57" s="949" t="s">
        <v>766</v>
      </c>
      <c r="C57" s="238">
        <f ca="1">C29</f>
        <v>569898</v>
      </c>
      <c r="D57" s="1451"/>
      <c r="E57" s="1452"/>
      <c r="F57" s="1453"/>
      <c r="I57" s="1454" t="s">
        <v>843</v>
      </c>
      <c r="J57" s="1455">
        <f ca="1">IF(OR(M47="住宅",J51&lt;L48,J56="是"),"——",J51-L48)</f>
        <v>20.170000000000002</v>
      </c>
      <c r="K57" s="1420" t="s">
        <v>891</v>
      </c>
      <c r="L57" s="1423" t="str">
        <f ca="1">IF(L48&lt;J51,"——",IF(L55="比较法",L49,IF(L55="基准地价",L50,L51)))</f>
        <v>——</v>
      </c>
      <c r="O57" s="1417" t="s">
        <v>404</v>
      </c>
      <c r="P57" s="1418" t="s">
        <v>892</v>
      </c>
      <c r="Q57" s="1419">
        <f ca="1">L60</f>
        <v>0</v>
      </c>
      <c r="R57" s="1419" t="s">
        <v>893</v>
      </c>
    </row>
    <row r="58" spans="1:18" s="1383" customFormat="1" ht="24.75" thickBot="1">
      <c r="A58" s="315" t="s">
        <v>393</v>
      </c>
      <c r="B58" s="957" t="s">
        <v>713</v>
      </c>
      <c r="C58" s="316">
        <f ca="1">ROUND(C59+C64+C65+C66,0)</f>
        <v>6149</v>
      </c>
      <c r="D58" s="959" t="s">
        <v>714</v>
      </c>
      <c r="E58" s="960"/>
      <c r="F58" s="961"/>
      <c r="I58" s="1454" t="s">
        <v>847</v>
      </c>
      <c r="J58" s="1456">
        <f ca="1">IF(J55&lt;0.4,0.4,J55)</f>
        <v>0.4</v>
      </c>
      <c r="K58" s="1433" t="s">
        <v>894</v>
      </c>
      <c r="L58" s="1423" t="e">
        <f ca="1">ROUND(POWER(1+L52,L47-L48)*(POWER(1+L52,L48)-1)/(POWER(1+L52,L47)-1),4)</f>
        <v>#DIV/0!</v>
      </c>
      <c r="O58" s="1427" t="s">
        <v>405</v>
      </c>
      <c r="P58" s="1418" t="s">
        <v>849</v>
      </c>
      <c r="Q58" s="1419">
        <f>IF(L55="比较法",L49,IF(L55="基准地价",L50,0))</f>
        <v>0</v>
      </c>
      <c r="R58" s="1419" t="s">
        <v>817</v>
      </c>
    </row>
    <row r="59" spans="1:18" s="1383" customFormat="1" ht="24.75" thickBot="1">
      <c r="A59" s="981" t="s">
        <v>398</v>
      </c>
      <c r="B59" s="949" t="s">
        <v>718</v>
      </c>
      <c r="C59" s="2315">
        <f ca="1">ROUND(IF(AND(项目基本情况!B11="自然人",项目基本情况!B10="北京市"),C49*F59/(1+'数据-取费表'!C42),C60+C61+C62),0)</f>
        <v>0</v>
      </c>
      <c r="D59" s="962" t="s">
        <v>719</v>
      </c>
      <c r="E59" s="963" t="s">
        <v>720</v>
      </c>
      <c r="F59" s="2314">
        <f ca="1">IF(项目基本情况!B11="企业","——",IF('数据-取费表'!B10="住宅",IF(F49*F50*F51/12/(1+'数据-取费表'!F30)&gt;100000,4%,2.5%),IF(F49*F50*F51/12/(1+'数据-取费表'!F30)&gt;100000,12%,7%)))</f>
        <v>7.0000000000000007E-2</v>
      </c>
      <c r="I59" s="1454" t="s">
        <v>850</v>
      </c>
      <c r="J59" s="1455">
        <f ca="1">IF(OR(M47="住宅",J51&lt;L48,J56="是"),"——",ROUND(C29*J58,0))</f>
        <v>227959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851</v>
      </c>
      <c r="Q59" s="1430">
        <f>L52</f>
        <v>0</v>
      </c>
      <c r="R59" s="1419"/>
    </row>
    <row r="60" spans="1:18" s="1383" customFormat="1" ht="16.5" thickBot="1">
      <c r="A60" s="981" t="s">
        <v>397</v>
      </c>
      <c r="B60" s="949" t="s">
        <v>722</v>
      </c>
      <c r="C60" s="21" t="str">
        <f>IF(项目基本情况!B11="自然人","——",ROUND(C48*F60/(1+'数据-取费表'!C42),0))</f>
        <v>——</v>
      </c>
      <c r="D60" s="963" t="s">
        <v>723</v>
      </c>
      <c r="E60" s="949" t="s">
        <v>711</v>
      </c>
      <c r="F60" s="331">
        <f t="shared" ref="F60:F66" si="0">F32</f>
        <v>5.5000000000000007E-2</v>
      </c>
      <c r="I60" s="1457" t="s">
        <v>852</v>
      </c>
      <c r="J60" s="1458">
        <f ca="1">IF(OR(M47="住宅",J51&lt;L48,J56="是"),"0",ROUND(J59/(1+J52)^J53,0))</f>
        <v>50538</v>
      </c>
      <c r="K60" s="1459" t="s">
        <v>853</v>
      </c>
      <c r="L60" s="1458">
        <f ca="1">IF(OR(M47="住宅",L48&lt;J51),0,ROUND(L57*(L58/L59-1),0))</f>
        <v>0</v>
      </c>
      <c r="O60" s="1427" t="s">
        <v>407</v>
      </c>
      <c r="P60" s="1418" t="s">
        <v>854</v>
      </c>
      <c r="Q60" s="1419" t="e">
        <f ca="1">L58</f>
        <v>#DIV/0!</v>
      </c>
      <c r="R60" s="1419" t="s">
        <v>855</v>
      </c>
    </row>
    <row r="61" spans="1:18" s="1383" customFormat="1" ht="13.5" thickBot="1">
      <c r="A61" s="981" t="s">
        <v>780</v>
      </c>
      <c r="B61" s="949" t="s">
        <v>781</v>
      </c>
      <c r="C61" s="21" t="str">
        <f ca="1">IF(项目基本情况!B11="自然人","——",IF(D61="按租金收入计税",ROUND(C49*F61/(1+'数据-取费表'!C42),0),IF(D61="按房产原值计税",ROUND(C57*F61*0.7,0),INDIRECT("'数据-取费表'!Aj"&amp;$G$1))))</f>
        <v>——</v>
      </c>
      <c r="D61" s="1369" t="s">
        <v>3340</v>
      </c>
      <c r="E61" s="949" t="s">
        <v>782</v>
      </c>
      <c r="F61" s="322">
        <f t="shared" si="0"/>
        <v>0.12</v>
      </c>
      <c r="I61" s="1460"/>
      <c r="J61" s="1460"/>
      <c r="K61" s="1460"/>
      <c r="L61" s="1460"/>
      <c r="O61" s="1427" t="s">
        <v>408</v>
      </c>
      <c r="P61" s="1418" t="str">
        <f>K59</f>
        <v>建筑物剩余耐用年限下的土地年期修正系数Kn</v>
      </c>
      <c r="Q61" s="1419" t="e">
        <f ca="1">L59</f>
        <v>#DIV/0!</v>
      </c>
      <c r="R61" s="1419" t="s">
        <v>856</v>
      </c>
    </row>
    <row r="62" spans="1:18" s="1383" customFormat="1" ht="13.5" thickBot="1">
      <c r="A62" s="981" t="s">
        <v>783</v>
      </c>
      <c r="B62" s="948" t="s">
        <v>784</v>
      </c>
      <c r="C62" s="22" t="str">
        <f>IF(项目基本情况!B11="自然人","——",ROUND(F62*F63,0))</f>
        <v>——</v>
      </c>
      <c r="D62" s="964" t="s">
        <v>785</v>
      </c>
      <c r="E62" s="949" t="s">
        <v>786</v>
      </c>
      <c r="F62" s="325">
        <f t="shared" si="0"/>
        <v>1.5</v>
      </c>
      <c r="I62" s="1461" t="s">
        <v>857</v>
      </c>
      <c r="J62" s="1462" t="s">
        <v>858</v>
      </c>
      <c r="K62" s="1462" t="s">
        <v>859</v>
      </c>
      <c r="L62" s="1462" t="s">
        <v>860</v>
      </c>
      <c r="M62" s="1463" t="s">
        <v>861</v>
      </c>
      <c r="O62" s="1417" t="s">
        <v>409</v>
      </c>
      <c r="P62" s="1418" t="s">
        <v>862</v>
      </c>
      <c r="Q62" s="1419">
        <f ca="1">Q56+Q57</f>
        <v>1955484</v>
      </c>
      <c r="R62" s="1419" t="s">
        <v>410</v>
      </c>
    </row>
    <row r="63" spans="1:18" s="1383" customFormat="1" ht="13.5" thickBot="1">
      <c r="A63" s="326"/>
      <c r="B63" s="955"/>
      <c r="C63" s="26"/>
      <c r="D63" s="965"/>
      <c r="E63" s="949" t="s">
        <v>787</v>
      </c>
      <c r="F63" s="303">
        <f t="shared" ca="1" si="0"/>
        <v>0</v>
      </c>
      <c r="I63" s="1461" t="s">
        <v>863</v>
      </c>
      <c r="J63" s="1462">
        <v>70</v>
      </c>
      <c r="K63" s="1462">
        <v>50</v>
      </c>
      <c r="L63" s="1462">
        <v>80</v>
      </c>
      <c r="M63" s="1464">
        <v>0.02</v>
      </c>
      <c r="O63" s="1402" t="s">
        <v>864</v>
      </c>
      <c r="P63" s="1380"/>
      <c r="Q63" s="1380"/>
      <c r="R63" s="1380"/>
    </row>
    <row r="64" spans="1:18" s="1383" customFormat="1" ht="13.5" thickBot="1">
      <c r="A64" s="981" t="s">
        <v>788</v>
      </c>
      <c r="B64" s="949" t="s">
        <v>789</v>
      </c>
      <c r="C64" s="21">
        <f ca="1">ROUND(C57*F64,0)</f>
        <v>5699</v>
      </c>
      <c r="D64" s="963" t="s">
        <v>790</v>
      </c>
      <c r="E64" s="949" t="s">
        <v>782</v>
      </c>
      <c r="F64" s="328">
        <f t="shared" ca="1" si="0"/>
        <v>0.01</v>
      </c>
      <c r="I64" s="1461" t="s">
        <v>865</v>
      </c>
      <c r="J64" s="1462">
        <v>50</v>
      </c>
      <c r="K64" s="1462">
        <v>35</v>
      </c>
      <c r="L64" s="1462">
        <v>60</v>
      </c>
      <c r="M64" s="1463">
        <v>0</v>
      </c>
      <c r="O64" s="1410" t="s">
        <v>810</v>
      </c>
      <c r="P64" s="1411" t="s">
        <v>811</v>
      </c>
      <c r="Q64" s="1412" t="s">
        <v>812</v>
      </c>
      <c r="R64" s="1412" t="s">
        <v>813</v>
      </c>
    </row>
    <row r="65" spans="1:18" s="1383" customFormat="1" ht="13.5" thickBot="1">
      <c r="A65" s="981" t="s">
        <v>791</v>
      </c>
      <c r="B65" s="949" t="s">
        <v>741</v>
      </c>
      <c r="C65" s="21">
        <f ca="1">ROUND(C56*F65,0)</f>
        <v>450</v>
      </c>
      <c r="D65" s="963" t="s">
        <v>742</v>
      </c>
      <c r="E65" s="949" t="s">
        <v>743</v>
      </c>
      <c r="F65" s="330">
        <f t="shared" ca="1" si="0"/>
        <v>1E-3</v>
      </c>
      <c r="I65" s="1461" t="s">
        <v>866</v>
      </c>
      <c r="J65" s="1462">
        <v>40</v>
      </c>
      <c r="K65" s="1462">
        <v>30</v>
      </c>
      <c r="L65" s="1462">
        <v>50</v>
      </c>
      <c r="M65" s="1464">
        <v>0.02</v>
      </c>
      <c r="O65" s="1417" t="s">
        <v>403</v>
      </c>
      <c r="P65" s="1418" t="s">
        <v>867</v>
      </c>
      <c r="Q65" s="1419">
        <f ca="1">C40+J29</f>
        <v>1955484</v>
      </c>
      <c r="R65" s="1419" t="s">
        <v>817</v>
      </c>
    </row>
    <row r="66" spans="1:18" s="1383" customFormat="1" ht="16.5" thickBot="1">
      <c r="A66" s="981" t="s">
        <v>792</v>
      </c>
      <c r="B66" s="949" t="s">
        <v>727</v>
      </c>
      <c r="C66" s="21">
        <f ca="1">ROUND(C48*F66,0)</f>
        <v>0</v>
      </c>
      <c r="D66" s="963" t="s">
        <v>793</v>
      </c>
      <c r="E66" s="949" t="s">
        <v>711</v>
      </c>
      <c r="F66" s="312">
        <f t="shared" ca="1" si="0"/>
        <v>0.01</v>
      </c>
      <c r="O66" s="1417" t="s">
        <v>404</v>
      </c>
      <c r="P66" s="1418" t="s">
        <v>845</v>
      </c>
      <c r="Q66" s="1419">
        <f ca="1">L60</f>
        <v>0</v>
      </c>
      <c r="R66" s="1419" t="s">
        <v>868</v>
      </c>
    </row>
    <row r="67" spans="1:18" s="1383" customFormat="1" ht="16.5" thickBot="1">
      <c r="A67" s="956" t="s">
        <v>394</v>
      </c>
      <c r="B67" s="966" t="s">
        <v>751</v>
      </c>
      <c r="C67" s="316">
        <f ca="1">C48-C58</f>
        <v>-6149</v>
      </c>
      <c r="D67" s="962" t="s">
        <v>752</v>
      </c>
      <c r="E67" s="967"/>
      <c r="F67" s="968"/>
      <c r="O67" s="1427" t="s">
        <v>405</v>
      </c>
      <c r="P67" s="1418" t="s">
        <v>849</v>
      </c>
      <c r="Q67" s="1465">
        <f ca="1">L51</f>
        <v>1589307</v>
      </c>
      <c r="R67" s="1419" t="s">
        <v>869</v>
      </c>
    </row>
    <row r="68" spans="1:18" s="1383" customFormat="1" ht="16.5" thickBot="1">
      <c r="A68" s="946" t="s">
        <v>395</v>
      </c>
      <c r="B68" s="947" t="s">
        <v>773</v>
      </c>
      <c r="C68" s="301">
        <f ca="1">ROUND(C67*(1-((1+F70)/(1+F68))^F69)/(F68-F70),0)</f>
        <v>-75148</v>
      </c>
      <c r="D68" s="964" t="s">
        <v>757</v>
      </c>
      <c r="E68" s="949" t="s">
        <v>758</v>
      </c>
      <c r="F68" s="312">
        <f ca="1">F40</f>
        <v>5.5E-2</v>
      </c>
      <c r="O68" s="1427" t="s">
        <v>406</v>
      </c>
      <c r="P68" s="1466" t="s">
        <v>870</v>
      </c>
      <c r="Q68" s="1419">
        <f ca="1">ROUND(Q69-Q70*Q71,0)</f>
        <v>98364</v>
      </c>
      <c r="R68" s="1419" t="s">
        <v>414</v>
      </c>
    </row>
    <row r="69" spans="1:18" s="1383" customFormat="1" ht="13.5" thickBot="1">
      <c r="A69" s="950"/>
      <c r="B69" s="951"/>
      <c r="C69" s="306"/>
      <c r="D69" s="969" t="s">
        <v>761</v>
      </c>
      <c r="E69" s="949" t="s">
        <v>762</v>
      </c>
      <c r="F69" s="333">
        <f ca="1">F41</f>
        <v>20.83</v>
      </c>
      <c r="O69" s="1427" t="s">
        <v>411</v>
      </c>
      <c r="P69" s="1466" t="s">
        <v>871</v>
      </c>
      <c r="Q69" s="1419">
        <f ca="1">C39</f>
        <v>129879</v>
      </c>
      <c r="R69" s="1419" t="s">
        <v>817</v>
      </c>
    </row>
    <row r="70" spans="1:18" s="1383" customFormat="1" ht="13.5" thickBot="1">
      <c r="A70" s="953"/>
      <c r="B70" s="954"/>
      <c r="C70" s="310"/>
      <c r="D70" s="965"/>
      <c r="E70" s="949" t="s">
        <v>765</v>
      </c>
      <c r="F70" s="1053"/>
      <c r="O70" s="1427" t="s">
        <v>412</v>
      </c>
      <c r="P70" s="1466" t="s">
        <v>872</v>
      </c>
      <c r="Q70" s="1419">
        <f ca="1">C13</f>
        <v>450219</v>
      </c>
      <c r="R70" s="1419" t="s">
        <v>817</v>
      </c>
    </row>
    <row r="71" spans="1:18" s="1383" customFormat="1" ht="13.5" thickBot="1">
      <c r="A71" s="970" t="s">
        <v>396</v>
      </c>
      <c r="B71" s="971" t="s">
        <v>775</v>
      </c>
      <c r="C71" s="336">
        <f ca="1">ROUND(C68/F71,0)</f>
        <v>-638</v>
      </c>
      <c r="D71" s="972" t="s">
        <v>776</v>
      </c>
      <c r="E71" s="973" t="s">
        <v>777</v>
      </c>
      <c r="F71" s="339">
        <f ca="1">F43</f>
        <v>117.86</v>
      </c>
      <c r="O71" s="1427" t="s">
        <v>413</v>
      </c>
      <c r="P71" s="1466" t="s">
        <v>873</v>
      </c>
      <c r="Q71" s="1430">
        <f ca="1">C76</f>
        <v>7.0000000000000007E-2</v>
      </c>
      <c r="R71" s="1419"/>
    </row>
    <row r="72" spans="1:18" s="1383" customFormat="1" ht="13.5" thickBot="1">
      <c r="B72" s="725"/>
      <c r="C72" s="725"/>
      <c r="O72" s="1427" t="s">
        <v>407</v>
      </c>
      <c r="P72" s="1418" t="s">
        <v>851</v>
      </c>
      <c r="Q72" s="1430">
        <f>L52</f>
        <v>0</v>
      </c>
      <c r="R72" s="1419"/>
    </row>
    <row r="73" spans="1:18" ht="16.5" thickBot="1">
      <c r="A73" s="1383"/>
      <c r="B73" s="725"/>
      <c r="C73" s="725"/>
      <c r="D73" s="1383"/>
      <c r="E73" s="1383"/>
      <c r="F73" s="1383"/>
      <c r="O73" s="1427" t="s">
        <v>408</v>
      </c>
      <c r="P73" s="1418" t="s">
        <v>854</v>
      </c>
      <c r="Q73" s="1419" t="e">
        <f ca="1">L58</f>
        <v>#DIV/0!</v>
      </c>
      <c r="R73" s="1419" t="s">
        <v>855</v>
      </c>
    </row>
    <row r="74" spans="1:18" ht="13.5" thickBot="1">
      <c r="A74" s="1383"/>
      <c r="B74" s="273" t="s">
        <v>874</v>
      </c>
      <c r="C74" s="1468"/>
      <c r="D74" s="1383"/>
      <c r="E74" s="1383"/>
      <c r="F74" s="1383"/>
      <c r="O74" s="1427" t="s">
        <v>415</v>
      </c>
      <c r="P74" s="1418" t="str">
        <f>K59</f>
        <v>建筑物剩余耐用年限下的土地年期修正系数Kn</v>
      </c>
      <c r="Q74" s="1419" t="e">
        <f ca="1">L59</f>
        <v>#DIV/0!</v>
      </c>
      <c r="R74" s="1419" t="s">
        <v>856</v>
      </c>
    </row>
    <row r="75" spans="1:18" ht="13.5" thickBot="1">
      <c r="A75" s="1383"/>
      <c r="B75" s="340" t="s">
        <v>794</v>
      </c>
      <c r="C75" s="341">
        <f ca="1">ROUND(C13*C76,0)</f>
        <v>31515</v>
      </c>
      <c r="D75" s="1383"/>
      <c r="E75" s="1383"/>
      <c r="F75" s="1383"/>
      <c r="K75" s="1401"/>
      <c r="L75" s="1383"/>
      <c r="O75" s="1417" t="s">
        <v>409</v>
      </c>
      <c r="P75" s="1418" t="s">
        <v>837</v>
      </c>
      <c r="Q75" s="1419">
        <f ca="1">Q65+Q66</f>
        <v>1955484</v>
      </c>
      <c r="R75" s="1419" t="s">
        <v>410</v>
      </c>
    </row>
    <row r="76" spans="1:18">
      <c r="B76" s="342" t="s">
        <v>795</v>
      </c>
      <c r="C76" s="343">
        <f ca="1">INDIRECT("'数据-取费表'!j"&amp;$G$1)</f>
        <v>7.0000000000000007E-2</v>
      </c>
      <c r="I76" s="1383"/>
      <c r="J76" s="1383"/>
      <c r="K76" s="1401"/>
      <c r="L76" s="1383"/>
    </row>
    <row r="77" spans="1:18">
      <c r="B77" s="344" t="s">
        <v>796</v>
      </c>
      <c r="C77" s="345"/>
      <c r="I77" s="1383"/>
      <c r="J77" s="1383"/>
      <c r="K77" s="1401"/>
      <c r="L77" s="1383"/>
    </row>
    <row r="78" spans="1:18">
      <c r="B78" s="270" t="s">
        <v>797</v>
      </c>
      <c r="C78" s="346"/>
    </row>
    <row r="79" spans="1:18">
      <c r="B79" s="340" t="s">
        <v>798</v>
      </c>
      <c r="C79" s="274">
        <f ca="1">1-C80</f>
        <v>0.75700000000000001</v>
      </c>
    </row>
    <row r="80" spans="1:18">
      <c r="B80" s="340" t="s">
        <v>799</v>
      </c>
      <c r="C80" s="274">
        <f ca="1">ROUND(C75/C39,3)</f>
        <v>0.24299999999999999</v>
      </c>
    </row>
    <row r="81" spans="2:3">
      <c r="B81" s="270" t="s">
        <v>800</v>
      </c>
      <c r="C81" s="238"/>
    </row>
    <row r="82" spans="2:3">
      <c r="B82" s="273" t="s">
        <v>801</v>
      </c>
      <c r="C82" s="275">
        <f ca="1">1-C83</f>
        <v>0.77</v>
      </c>
    </row>
    <row r="83" spans="2:3">
      <c r="B83" s="273" t="s">
        <v>802</v>
      </c>
      <c r="C83" s="274">
        <f ca="1">ROUND(C13/C40,3)</f>
        <v>0.23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3363</v>
      </c>
      <c r="E2" s="3443"/>
      <c r="F2" s="2845"/>
      <c r="G2" s="2846"/>
      <c r="H2" s="2847"/>
      <c r="I2" s="2848"/>
      <c r="J2" s="3640" t="s">
        <v>2319</v>
      </c>
      <c r="K2" s="3641"/>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42" t="s">
        <v>2329</v>
      </c>
      <c r="K3" s="3643"/>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42" t="s">
        <v>2331</v>
      </c>
      <c r="K4" s="3643"/>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44" t="s">
        <v>2335</v>
      </c>
      <c r="B6" s="3645"/>
      <c r="C6" s="3646"/>
      <c r="D6" s="2869"/>
      <c r="E6" s="2870"/>
      <c r="F6" s="2871"/>
      <c r="G6" s="2872"/>
      <c r="H6" s="2847"/>
      <c r="I6" s="2848"/>
      <c r="J6" s="3647">
        <v>1</v>
      </c>
      <c r="K6" s="3648"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47"/>
      <c r="K7" s="3649"/>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51" t="s">
        <v>2349</v>
      </c>
      <c r="C8" s="3652"/>
      <c r="D8" s="2888" t="s">
        <v>2350</v>
      </c>
      <c r="E8" s="2889" t="s">
        <v>2351</v>
      </c>
      <c r="F8" s="2890" t="s">
        <v>2352</v>
      </c>
      <c r="G8" s="2891"/>
      <c r="H8" s="2847"/>
      <c r="I8" s="2848"/>
      <c r="J8" s="3647"/>
      <c r="K8" s="3649"/>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51" t="s">
        <v>2355</v>
      </c>
      <c r="C9" s="3652"/>
      <c r="D9" s="2888">
        <f>ROUND(D6*E9,0)</f>
        <v>0</v>
      </c>
      <c r="E9" s="2892"/>
      <c r="F9" s="2893" t="s">
        <v>2356</v>
      </c>
      <c r="G9" s="2872"/>
      <c r="H9" s="2847"/>
      <c r="I9" s="2848"/>
      <c r="J9" s="3647"/>
      <c r="K9" s="3649"/>
      <c r="L9" s="2882" t="s">
        <v>2357</v>
      </c>
      <c r="M9" s="2883"/>
      <c r="N9" s="2859"/>
      <c r="O9" s="2884"/>
      <c r="P9" s="2884"/>
      <c r="Q9" s="2885">
        <v>365</v>
      </c>
      <c r="R9" s="2886">
        <f t="shared" si="0"/>
        <v>0</v>
      </c>
      <c r="S9" s="2840"/>
      <c r="T9" s="2840"/>
      <c r="U9" s="2840"/>
      <c r="V9" s="2848"/>
    </row>
    <row r="10" spans="1:22" s="2852" customFormat="1" ht="13.15" customHeight="1">
      <c r="A10" s="2887">
        <v>2</v>
      </c>
      <c r="B10" s="3651" t="s">
        <v>2358</v>
      </c>
      <c r="C10" s="3652"/>
      <c r="D10" s="2888">
        <f>ROUND(D6*E10,0)</f>
        <v>0</v>
      </c>
      <c r="E10" s="2892"/>
      <c r="F10" s="2893" t="s">
        <v>2359</v>
      </c>
      <c r="G10" s="2872"/>
      <c r="H10" s="2847"/>
      <c r="I10" s="2848"/>
      <c r="J10" s="3647"/>
      <c r="K10" s="3649"/>
      <c r="L10" s="2882" t="s">
        <v>2360</v>
      </c>
      <c r="M10" s="2883"/>
      <c r="N10" s="2859"/>
      <c r="O10" s="2884"/>
      <c r="P10" s="2884"/>
      <c r="Q10" s="2885">
        <v>365</v>
      </c>
      <c r="R10" s="2886">
        <f t="shared" si="0"/>
        <v>0</v>
      </c>
      <c r="S10" s="2840"/>
      <c r="T10" s="2840"/>
      <c r="U10" s="2840"/>
      <c r="V10" s="2848"/>
    </row>
    <row r="11" spans="1:22" s="2852" customFormat="1" ht="13.15" customHeight="1">
      <c r="A11" s="2887">
        <v>3</v>
      </c>
      <c r="B11" s="3651" t="s">
        <v>2361</v>
      </c>
      <c r="C11" s="3652"/>
      <c r="D11" s="2888">
        <f>D12+D14+D15+D16</f>
        <v>0</v>
      </c>
      <c r="E11" s="2894" t="e">
        <f>D11/D6</f>
        <v>#DIV/0!</v>
      </c>
      <c r="F11" s="2890"/>
      <c r="G11" s="2891"/>
      <c r="H11" s="2847"/>
      <c r="I11" s="2848"/>
      <c r="J11" s="3647"/>
      <c r="K11" s="3649"/>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53" t="s">
        <v>2364</v>
      </c>
      <c r="C12" s="3654"/>
      <c r="D12" s="2896">
        <f>ROUND(D13*1.2%*(1-30%),0)</f>
        <v>0</v>
      </c>
      <c r="E12" s="2897">
        <v>1.2E-2</v>
      </c>
      <c r="F12" s="2890" t="s">
        <v>2365</v>
      </c>
      <c r="G12" s="2891"/>
      <c r="H12" s="2847"/>
      <c r="I12" s="2848"/>
      <c r="J12" s="3647"/>
      <c r="K12" s="3649"/>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47"/>
      <c r="K13" s="3649"/>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53" t="s">
        <v>2370</v>
      </c>
      <c r="C14" s="3654"/>
      <c r="D14" s="2896">
        <f>ROUND(E14*B5/10000,0)</f>
        <v>0</v>
      </c>
      <c r="E14" s="2885"/>
      <c r="F14" s="2890" t="s">
        <v>2371</v>
      </c>
      <c r="G14" s="2891"/>
      <c r="H14" s="2847"/>
      <c r="I14" s="2848"/>
      <c r="J14" s="3647"/>
      <c r="K14" s="3650"/>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53" t="s">
        <v>2374</v>
      </c>
      <c r="C15" s="3654"/>
      <c r="D15" s="2896">
        <f>ROUND(D6*E15,0)</f>
        <v>0</v>
      </c>
      <c r="E15" s="2897">
        <v>5.5E-2</v>
      </c>
      <c r="F15" s="2890" t="s">
        <v>2375</v>
      </c>
      <c r="G15" s="2872"/>
      <c r="H15" s="2847"/>
      <c r="I15" s="2848"/>
      <c r="J15" s="3647">
        <v>2</v>
      </c>
      <c r="K15" s="3648"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53" t="s">
        <v>2383</v>
      </c>
      <c r="C16" s="3654"/>
      <c r="D16" s="2907">
        <f>D6*E16</f>
        <v>0</v>
      </c>
      <c r="E16" s="2908"/>
      <c r="F16" s="2893" t="s">
        <v>2384</v>
      </c>
      <c r="G16" s="2872"/>
      <c r="H16" s="2847"/>
      <c r="I16" s="2848"/>
      <c r="J16" s="3647"/>
      <c r="K16" s="3649"/>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55" t="s">
        <v>2386</v>
      </c>
      <c r="C17" s="3656"/>
      <c r="D17" s="2910">
        <f>ROUND(D6*E17,0)</f>
        <v>0</v>
      </c>
      <c r="E17" s="2911"/>
      <c r="F17" s="2912" t="s">
        <v>2387</v>
      </c>
      <c r="G17" s="2872"/>
      <c r="H17" s="2847"/>
      <c r="I17" s="2848"/>
      <c r="J17" s="3647"/>
      <c r="K17" s="3649"/>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47"/>
      <c r="K18" s="3649"/>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47"/>
      <c r="K19" s="3650"/>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7">
        <v>3</v>
      </c>
      <c r="K20" s="3648"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47"/>
      <c r="K21" s="3649"/>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47"/>
      <c r="K22" s="3649"/>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47"/>
      <c r="K23" s="3649"/>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47"/>
      <c r="K24" s="3650"/>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57">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5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40" t="s">
        <v>2319</v>
      </c>
      <c r="K32" s="3641"/>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42" t="s">
        <v>2329</v>
      </c>
      <c r="K33" s="3643"/>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42" t="s">
        <v>2331</v>
      </c>
      <c r="K34" s="364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47">
        <v>1</v>
      </c>
      <c r="K36" s="3648"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47"/>
      <c r="K37" s="3649"/>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7"/>
      <c r="K38" s="3649"/>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47"/>
      <c r="K39" s="3649"/>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47"/>
      <c r="K40" s="3650"/>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7">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5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6"/>
      <c r="G1" s="1488"/>
      <c r="H1" s="1488"/>
      <c r="I1" s="1488"/>
      <c r="J1" s="1488"/>
      <c r="K1" s="1488"/>
      <c r="L1" s="1488"/>
      <c r="M1" s="1488"/>
      <c r="N1" s="1488"/>
      <c r="O1" s="1488"/>
      <c r="P1" s="1488"/>
      <c r="Q1" s="1488"/>
      <c r="R1" s="1488"/>
      <c r="S1" s="1488"/>
    </row>
    <row r="2" spans="1:22" ht="15.75">
      <c r="A2" s="1869" t="s">
        <v>1461</v>
      </c>
      <c r="B2" s="1870">
        <f ca="1">SUMIF(B6:B13,"&lt;&gt;#ref!",B6:B13)</f>
        <v>200.60220000000001</v>
      </c>
      <c r="C2" s="1871" t="s">
        <v>1650</v>
      </c>
      <c r="D2" s="1872" t="s">
        <v>1651</v>
      </c>
      <c r="E2" s="2606">
        <f>SUM(E6:E13)</f>
        <v>117.86</v>
      </c>
      <c r="F2" s="2706"/>
      <c r="G2" s="1488"/>
      <c r="H2" s="1488"/>
      <c r="I2" s="1488"/>
      <c r="J2" s="1488"/>
      <c r="K2" s="1488"/>
      <c r="L2" s="1488"/>
      <c r="M2" s="1488"/>
      <c r="N2" s="1488"/>
      <c r="O2" s="1488"/>
      <c r="P2" s="1488"/>
      <c r="Q2" s="1488"/>
      <c r="R2" s="1488"/>
      <c r="S2" s="1488"/>
    </row>
    <row r="3" spans="1:22" ht="15.75">
      <c r="A3" s="1869" t="s">
        <v>685</v>
      </c>
      <c r="B3" s="2600">
        <f ca="1">ROUND(B2*10000/E2,0)</f>
        <v>17020</v>
      </c>
      <c r="C3" s="1871" t="s">
        <v>1658</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1652</v>
      </c>
      <c r="B5" s="3659" t="s">
        <v>1653</v>
      </c>
      <c r="C5" s="3660"/>
      <c r="D5" s="2707"/>
      <c r="E5" s="1873" t="s">
        <v>1654</v>
      </c>
      <c r="F5" s="1874" t="s">
        <v>1655</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200.60220000000001</v>
      </c>
      <c r="C6" s="1871" t="s">
        <v>1650</v>
      </c>
      <c r="D6" s="2708"/>
      <c r="E6" s="2605">
        <f>IF(OR(A6=0,F6="否"),0,'数据-取费表'!K6+'数据-取费表'!S6)</f>
        <v>117.86</v>
      </c>
      <c r="F6" s="1875" t="s">
        <v>1656</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1650</v>
      </c>
      <c r="D7" s="2708"/>
      <c r="E7" s="2605">
        <f>IF(OR(A7=0,F7="否"),0,'数据-取费表'!K7+'数据-取费表'!S7)</f>
        <v>0</v>
      </c>
      <c r="F7" s="1875" t="s">
        <v>1656</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1650</v>
      </c>
      <c r="D8" s="2708"/>
      <c r="E8" s="2605">
        <f>IF(OR(A8=0,F8="否"),0,'数据-取费表'!K8+'数据-取费表'!S8)</f>
        <v>0</v>
      </c>
      <c r="F8" s="1875" t="s">
        <v>1656</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1650</v>
      </c>
      <c r="D9" s="2708"/>
      <c r="E9" s="2605">
        <f>IF(OR(A9=0,F9="否"),0,'数据-取费表'!K9+'数据-取费表'!S9)</f>
        <v>0</v>
      </c>
      <c r="F9" s="1875" t="s">
        <v>1656</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1650</v>
      </c>
      <c r="D10" s="2708"/>
      <c r="E10" s="2605">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1650</v>
      </c>
      <c r="D11" s="2708"/>
      <c r="E11" s="2605">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1650</v>
      </c>
      <c r="D12" s="2708"/>
      <c r="E12" s="2605">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1650</v>
      </c>
      <c r="D13" s="2709"/>
      <c r="E13" s="2605">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5"/>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684</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685</v>
      </c>
      <c r="B3" s="353">
        <f>IF(C2="——",C49,ROUND(B2*10000/D3,0))</f>
        <v>0</v>
      </c>
      <c r="C3" s="354" t="s">
        <v>1664</v>
      </c>
      <c r="D3" s="353">
        <f>IF(D1="",'数据-汇总表'!E3,SUMIF('数据-汇总表'!$C19:$C33,D1,'数据-汇总表'!$E19:$E33))</f>
        <v>349.71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1665</v>
      </c>
      <c r="B4" s="356"/>
      <c r="C4" s="3679" t="s">
        <v>1666</v>
      </c>
      <c r="D4" s="3680"/>
      <c r="E4" s="3681" t="s">
        <v>1667</v>
      </c>
      <c r="F4" s="3682"/>
      <c r="G4" s="3679" t="s">
        <v>1668</v>
      </c>
      <c r="H4" s="3680"/>
      <c r="I4" s="3679" t="s">
        <v>1669</v>
      </c>
      <c r="J4" s="3680"/>
      <c r="K4" s="1888" t="s">
        <v>1670</v>
      </c>
      <c r="L4" s="2714"/>
      <c r="M4" s="2715"/>
      <c r="N4" s="2715"/>
      <c r="O4" s="2715"/>
      <c r="P4" s="3683" t="s">
        <v>1671</v>
      </c>
      <c r="Q4" s="3684"/>
      <c r="R4" s="3666" t="s">
        <v>1667</v>
      </c>
      <c r="S4" s="3667"/>
      <c r="T4" s="3666" t="s">
        <v>1668</v>
      </c>
      <c r="U4" s="3667"/>
      <c r="V4" s="3691" t="s">
        <v>1669</v>
      </c>
      <c r="W4" s="3691"/>
      <c r="X4" s="1354"/>
      <c r="Y4" s="3666" t="s">
        <v>1671</v>
      </c>
      <c r="Z4" s="3667"/>
      <c r="AA4" s="3661" t="s">
        <v>1667</v>
      </c>
      <c r="AB4" s="3661" t="s">
        <v>1668</v>
      </c>
      <c r="AC4" s="3661" t="s">
        <v>1669</v>
      </c>
    </row>
    <row r="5" spans="1:29" ht="15">
      <c r="A5" s="358"/>
      <c r="B5" s="359"/>
      <c r="C5" s="3672" t="s">
        <v>1672</v>
      </c>
      <c r="D5" s="3673"/>
      <c r="E5" s="3670" t="s">
        <v>1673</v>
      </c>
      <c r="F5" s="3671"/>
      <c r="G5" s="3672" t="s">
        <v>1674</v>
      </c>
      <c r="H5" s="3673"/>
      <c r="I5" s="3672" t="s">
        <v>1675</v>
      </c>
      <c r="J5" s="3673"/>
      <c r="K5" s="1889"/>
      <c r="L5" s="2714"/>
      <c r="M5" s="2715"/>
      <c r="N5" s="2715"/>
      <c r="O5" s="2715"/>
      <c r="P5" s="3685"/>
      <c r="Q5" s="3686"/>
      <c r="R5" s="3668"/>
      <c r="S5" s="3669"/>
      <c r="T5" s="3668"/>
      <c r="U5" s="3669"/>
      <c r="V5" s="3691"/>
      <c r="W5" s="3691"/>
      <c r="X5" s="1354"/>
      <c r="Y5" s="3668"/>
      <c r="Z5" s="3669"/>
      <c r="AA5" s="3662"/>
      <c r="AB5" s="3662"/>
      <c r="AC5" s="3662"/>
    </row>
    <row r="6" spans="1:29" ht="15.75" thickBot="1">
      <c r="A6" s="360"/>
      <c r="B6" s="361"/>
      <c r="C6" s="3674" t="s">
        <v>1676</v>
      </c>
      <c r="D6" s="3675"/>
      <c r="E6" s="3676" t="s">
        <v>1676</v>
      </c>
      <c r="F6" s="3677"/>
      <c r="G6" s="3674" t="s">
        <v>1676</v>
      </c>
      <c r="H6" s="3675"/>
      <c r="I6" s="3674" t="s">
        <v>1676</v>
      </c>
      <c r="J6" s="3675"/>
      <c r="K6" s="1889" t="s">
        <v>1677</v>
      </c>
      <c r="L6" s="2714"/>
      <c r="M6" s="2715"/>
      <c r="N6" s="2715"/>
      <c r="O6" s="2715"/>
      <c r="P6" s="3687"/>
      <c r="Q6" s="3688"/>
      <c r="R6" s="3668"/>
      <c r="S6" s="3669"/>
      <c r="T6" s="3689"/>
      <c r="U6" s="3690"/>
      <c r="V6" s="3691"/>
      <c r="W6" s="3691"/>
      <c r="X6" s="1354"/>
      <c r="Y6" s="3689"/>
      <c r="Z6" s="3690"/>
      <c r="AA6" s="3663"/>
      <c r="AB6" s="3663"/>
      <c r="AC6" s="3663"/>
    </row>
    <row r="7" spans="1:29" s="108" customFormat="1" ht="15.75" thickBot="1">
      <c r="A7" s="362" t="s">
        <v>1678</v>
      </c>
      <c r="B7" s="363"/>
      <c r="C7" s="364">
        <f>'数据-取费表'!B2</f>
        <v>45171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64" t="s">
        <v>1679</v>
      </c>
      <c r="Q7" s="3692"/>
      <c r="R7" s="700" t="s">
        <v>20</v>
      </c>
      <c r="S7" s="701">
        <f t="shared" ref="S7:S15" si="0">F7</f>
        <v>0</v>
      </c>
      <c r="T7" s="700" t="s">
        <v>20</v>
      </c>
      <c r="U7" s="701">
        <f t="shared" ref="U7:U15" si="1">H7</f>
        <v>0</v>
      </c>
      <c r="V7" s="700" t="s">
        <v>20</v>
      </c>
      <c r="W7" s="701">
        <f t="shared" ref="W7:W15" si="2">J7</f>
        <v>0</v>
      </c>
      <c r="X7" s="702"/>
      <c r="Y7" s="3664" t="s">
        <v>1679</v>
      </c>
      <c r="Z7" s="3665"/>
      <c r="AA7" s="703" t="e">
        <f>D7/F7</f>
        <v>#DIV/0!</v>
      </c>
      <c r="AB7" s="703" t="e">
        <f>D7/H7</f>
        <v>#DIV/0!</v>
      </c>
      <c r="AC7" s="703"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64" t="s">
        <v>1682</v>
      </c>
      <c r="Q8" s="3665"/>
      <c r="R8" s="700" t="s">
        <v>20</v>
      </c>
      <c r="S8" s="701">
        <f t="shared" si="0"/>
        <v>100</v>
      </c>
      <c r="T8" s="700" t="s">
        <v>20</v>
      </c>
      <c r="U8" s="701">
        <f t="shared" si="1"/>
        <v>100</v>
      </c>
      <c r="V8" s="700" t="s">
        <v>20</v>
      </c>
      <c r="W8" s="701">
        <f t="shared" si="2"/>
        <v>100</v>
      </c>
      <c r="X8" s="702"/>
      <c r="Y8" s="3664" t="s">
        <v>1682</v>
      </c>
      <c r="Z8" s="3665"/>
      <c r="AA8" s="703">
        <f t="shared" ref="AA8:AA19" si="3">D8/F8</f>
        <v>1</v>
      </c>
      <c r="AB8" s="703">
        <f t="shared" ref="AB8:AB19" si="4">D8/H8</f>
        <v>1</v>
      </c>
      <c r="AC8" s="703">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8" t="s">
        <v>1685</v>
      </c>
      <c r="Q9" s="1342" t="str">
        <f t="shared" ref="Q9:Q15" si="6">B9</f>
        <v>用途</v>
      </c>
      <c r="R9" s="700" t="s">
        <v>14</v>
      </c>
      <c r="S9" s="701">
        <f t="shared" si="0"/>
        <v>100</v>
      </c>
      <c r="T9" s="700" t="s">
        <v>14</v>
      </c>
      <c r="U9" s="701">
        <f t="shared" si="1"/>
        <v>100</v>
      </c>
      <c r="V9" s="700" t="s">
        <v>14</v>
      </c>
      <c r="W9" s="701">
        <f t="shared" si="2"/>
        <v>100</v>
      </c>
      <c r="X9" s="702"/>
      <c r="Y9" s="3608" t="s">
        <v>1686</v>
      </c>
      <c r="Z9" s="52" t="str">
        <f t="shared" ref="Z9:Z15" si="7">Q9</f>
        <v>用途</v>
      </c>
      <c r="AA9" s="703">
        <f t="shared" si="3"/>
        <v>1</v>
      </c>
      <c r="AB9" s="703">
        <f t="shared" si="4"/>
        <v>1</v>
      </c>
      <c r="AC9" s="703">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8"/>
      <c r="Q10" s="1342"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8"/>
      <c r="Q11" s="1342" t="str">
        <f t="shared" si="6"/>
        <v>容积率</v>
      </c>
      <c r="R11" s="700" t="s">
        <v>18</v>
      </c>
      <c r="S11" s="701" t="e">
        <f t="shared" si="0"/>
        <v>#N/A</v>
      </c>
      <c r="T11" s="700" t="s">
        <v>18</v>
      </c>
      <c r="U11" s="701" t="e">
        <f t="shared" si="1"/>
        <v>#N/A</v>
      </c>
      <c r="V11" s="700" t="s">
        <v>18</v>
      </c>
      <c r="W11" s="701" t="e">
        <f t="shared" si="2"/>
        <v>#N/A</v>
      </c>
      <c r="X11" s="702"/>
      <c r="Y11" s="360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8"/>
      <c r="Q12" s="1342">
        <f t="shared" si="6"/>
        <v>111</v>
      </c>
      <c r="R12" s="700" t="s">
        <v>18</v>
      </c>
      <c r="S12" s="701">
        <f t="shared" si="0"/>
        <v>100</v>
      </c>
      <c r="T12" s="700" t="s">
        <v>18</v>
      </c>
      <c r="U12" s="701">
        <f t="shared" si="1"/>
        <v>100</v>
      </c>
      <c r="V12" s="700" t="s">
        <v>18</v>
      </c>
      <c r="W12" s="701">
        <f t="shared" si="2"/>
        <v>100</v>
      </c>
      <c r="X12" s="702"/>
      <c r="Y12" s="360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8"/>
      <c r="Q13" s="1342">
        <f t="shared" si="6"/>
        <v>111</v>
      </c>
      <c r="R13" s="700" t="s">
        <v>18</v>
      </c>
      <c r="S13" s="701">
        <f t="shared" si="0"/>
        <v>100</v>
      </c>
      <c r="T13" s="700" t="s">
        <v>18</v>
      </c>
      <c r="U13" s="701">
        <f t="shared" si="1"/>
        <v>100</v>
      </c>
      <c r="V13" s="700" t="s">
        <v>18</v>
      </c>
      <c r="W13" s="701">
        <f t="shared" si="2"/>
        <v>100</v>
      </c>
      <c r="X13" s="702"/>
      <c r="Y13" s="360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8"/>
      <c r="Q14" s="1342">
        <f t="shared" si="6"/>
        <v>111</v>
      </c>
      <c r="R14" s="700" t="s">
        <v>18</v>
      </c>
      <c r="S14" s="701">
        <f t="shared" si="0"/>
        <v>100</v>
      </c>
      <c r="T14" s="700" t="s">
        <v>18</v>
      </c>
      <c r="U14" s="701">
        <f t="shared" si="1"/>
        <v>100</v>
      </c>
      <c r="V14" s="700" t="s">
        <v>18</v>
      </c>
      <c r="W14" s="701">
        <f t="shared" si="2"/>
        <v>100</v>
      </c>
      <c r="X14" s="702"/>
      <c r="Y14" s="3608"/>
      <c r="Z14" s="52">
        <f t="shared" si="7"/>
        <v>111</v>
      </c>
      <c r="AA14" s="703">
        <f t="shared" si="3"/>
        <v>1</v>
      </c>
      <c r="AB14" s="703">
        <f t="shared" si="4"/>
        <v>1</v>
      </c>
      <c r="AC14" s="703">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5" t="s">
        <v>1690</v>
      </c>
      <c r="Q15" s="1351" t="str">
        <f t="shared" si="6"/>
        <v>居住社区成熟度</v>
      </c>
      <c r="R15" s="704" t="s">
        <v>18</v>
      </c>
      <c r="S15" s="705">
        <f t="shared" si="0"/>
        <v>100</v>
      </c>
      <c r="T15" s="704" t="s">
        <v>18</v>
      </c>
      <c r="U15" s="705">
        <f t="shared" si="1"/>
        <v>100</v>
      </c>
      <c r="V15" s="704" t="s">
        <v>18</v>
      </c>
      <c r="W15" s="705">
        <f t="shared" si="2"/>
        <v>100</v>
      </c>
      <c r="X15" s="1354"/>
      <c r="Y15" s="3698"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06"/>
      <c r="Q16" s="1351"/>
      <c r="R16" s="704"/>
      <c r="S16" s="705"/>
      <c r="T16" s="704"/>
      <c r="U16" s="705"/>
      <c r="V16" s="704"/>
      <c r="W16" s="705"/>
      <c r="X16" s="1354"/>
      <c r="Y16" s="3699"/>
      <c r="Z16" s="1355"/>
      <c r="AA16" s="1352">
        <v>1</v>
      </c>
      <c r="AB16" s="1352">
        <v>1</v>
      </c>
      <c r="AC16" s="1352">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6"/>
      <c r="Q17" s="1351" t="str">
        <f>B17</f>
        <v>交通便捷度</v>
      </c>
      <c r="R17" s="704" t="s">
        <v>18</v>
      </c>
      <c r="S17" s="705">
        <f>F17</f>
        <v>100</v>
      </c>
      <c r="T17" s="704" t="s">
        <v>18</v>
      </c>
      <c r="U17" s="705">
        <f>H17</f>
        <v>100</v>
      </c>
      <c r="V17" s="704" t="s">
        <v>18</v>
      </c>
      <c r="W17" s="705">
        <f>J17</f>
        <v>100</v>
      </c>
      <c r="X17" s="1354"/>
      <c r="Y17" s="369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06"/>
      <c r="Q18" s="1351"/>
      <c r="R18" s="704"/>
      <c r="S18" s="705"/>
      <c r="T18" s="704"/>
      <c r="U18" s="705"/>
      <c r="V18" s="704"/>
      <c r="W18" s="705"/>
      <c r="X18" s="1354"/>
      <c r="Y18" s="3699"/>
      <c r="Z18" s="1355"/>
      <c r="AA18" s="1352">
        <v>1</v>
      </c>
      <c r="AB18" s="1352">
        <v>1</v>
      </c>
      <c r="AC18" s="1352">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6"/>
      <c r="Q19" s="1351" t="str">
        <f>B19</f>
        <v>公共配套设施</v>
      </c>
      <c r="R19" s="704" t="s">
        <v>18</v>
      </c>
      <c r="S19" s="705">
        <f>F19</f>
        <v>100</v>
      </c>
      <c r="T19" s="704" t="s">
        <v>18</v>
      </c>
      <c r="U19" s="705">
        <f>H19</f>
        <v>100</v>
      </c>
      <c r="V19" s="704" t="s">
        <v>18</v>
      </c>
      <c r="W19" s="705">
        <f>J19</f>
        <v>100</v>
      </c>
      <c r="X19" s="1354"/>
      <c r="Y19" s="369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06"/>
      <c r="Q20" s="1351"/>
      <c r="R20" s="704"/>
      <c r="S20" s="705"/>
      <c r="T20" s="704"/>
      <c r="U20" s="705"/>
      <c r="V20" s="704"/>
      <c r="W20" s="705"/>
      <c r="X20" s="1354"/>
      <c r="Y20" s="3699"/>
      <c r="Z20" s="1355"/>
      <c r="AA20" s="1352">
        <v>1</v>
      </c>
      <c r="AB20" s="1352">
        <v>1</v>
      </c>
      <c r="AC20" s="1352">
        <v>1</v>
      </c>
    </row>
    <row r="21" spans="1:29" ht="28.5">
      <c r="A21" s="379"/>
      <c r="B21" s="1130"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6"/>
      <c r="Q21" s="1351" t="str">
        <f>B21</f>
        <v>基础设施水平</v>
      </c>
      <c r="R21" s="704" t="s">
        <v>14</v>
      </c>
      <c r="S21" s="705">
        <f>F21</f>
        <v>100</v>
      </c>
      <c r="T21" s="704" t="s">
        <v>14</v>
      </c>
      <c r="U21" s="705">
        <f>H21</f>
        <v>100</v>
      </c>
      <c r="V21" s="704" t="s">
        <v>14</v>
      </c>
      <c r="W21" s="705">
        <f>J21</f>
        <v>100</v>
      </c>
      <c r="X21" s="1354"/>
      <c r="Y21" s="369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06"/>
      <c r="Q22" s="1351"/>
      <c r="R22" s="704"/>
      <c r="S22" s="705"/>
      <c r="T22" s="704"/>
      <c r="U22" s="705"/>
      <c r="V22" s="704"/>
      <c r="W22" s="705"/>
      <c r="X22" s="1354"/>
      <c r="Y22" s="3699"/>
      <c r="Z22" s="1355"/>
      <c r="AA22" s="1352">
        <v>1</v>
      </c>
      <c r="AB22" s="1352">
        <v>1</v>
      </c>
      <c r="AC22" s="1352">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6"/>
      <c r="Q23" s="1351" t="str">
        <f>B23</f>
        <v>自然及人文环境</v>
      </c>
      <c r="R23" s="704" t="s">
        <v>18</v>
      </c>
      <c r="S23" s="705">
        <f>F23</f>
        <v>100</v>
      </c>
      <c r="T23" s="704" t="s">
        <v>18</v>
      </c>
      <c r="U23" s="705">
        <f>H23</f>
        <v>100</v>
      </c>
      <c r="V23" s="704" t="s">
        <v>18</v>
      </c>
      <c r="W23" s="705">
        <f>J23</f>
        <v>100</v>
      </c>
      <c r="X23" s="1354"/>
      <c r="Y23" s="369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06"/>
      <c r="Q24" s="1351"/>
      <c r="R24" s="704"/>
      <c r="S24" s="705"/>
      <c r="T24" s="704"/>
      <c r="U24" s="705"/>
      <c r="V24" s="704"/>
      <c r="W24" s="705"/>
      <c r="X24" s="1354"/>
      <c r="Y24" s="3699"/>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0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9"/>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06"/>
      <c r="Q26" s="1351" t="str">
        <f t="shared" si="11"/>
        <v>朝向</v>
      </c>
      <c r="R26" s="704" t="s">
        <v>18</v>
      </c>
      <c r="S26" s="705">
        <f t="shared" si="12"/>
        <v>100</v>
      </c>
      <c r="T26" s="704" t="s">
        <v>18</v>
      </c>
      <c r="U26" s="705">
        <f t="shared" si="13"/>
        <v>100</v>
      </c>
      <c r="V26" s="704" t="s">
        <v>18</v>
      </c>
      <c r="W26" s="705">
        <f t="shared" si="14"/>
        <v>100</v>
      </c>
      <c r="X26" s="1354"/>
      <c r="Y26" s="369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06"/>
      <c r="Q27" s="1342">
        <f t="shared" si="11"/>
        <v>111</v>
      </c>
      <c r="R27" s="700" t="s">
        <v>18</v>
      </c>
      <c r="S27" s="701">
        <f t="shared" si="12"/>
        <v>100</v>
      </c>
      <c r="T27" s="700" t="s">
        <v>18</v>
      </c>
      <c r="U27" s="701">
        <f t="shared" si="13"/>
        <v>100</v>
      </c>
      <c r="V27" s="700" t="s">
        <v>18</v>
      </c>
      <c r="W27" s="701">
        <f t="shared" si="14"/>
        <v>100</v>
      </c>
      <c r="X27" s="702"/>
      <c r="Y27" s="369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06"/>
      <c r="Q28" s="1351">
        <f t="shared" si="11"/>
        <v>111</v>
      </c>
      <c r="R28" s="704" t="s">
        <v>18</v>
      </c>
      <c r="S28" s="705">
        <f t="shared" si="12"/>
        <v>100</v>
      </c>
      <c r="T28" s="704" t="s">
        <v>18</v>
      </c>
      <c r="U28" s="705">
        <f t="shared" si="13"/>
        <v>100</v>
      </c>
      <c r="V28" s="704" t="s">
        <v>18</v>
      </c>
      <c r="W28" s="705">
        <f t="shared" si="14"/>
        <v>100</v>
      </c>
      <c r="X28" s="1354"/>
      <c r="Y28" s="369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06"/>
      <c r="Q29" s="1351">
        <f t="shared" si="11"/>
        <v>111</v>
      </c>
      <c r="R29" s="704" t="s">
        <v>18</v>
      </c>
      <c r="S29" s="705">
        <f t="shared" si="12"/>
        <v>100</v>
      </c>
      <c r="T29" s="704" t="s">
        <v>18</v>
      </c>
      <c r="U29" s="705">
        <f t="shared" si="13"/>
        <v>100</v>
      </c>
      <c r="V29" s="704" t="s">
        <v>18</v>
      </c>
      <c r="W29" s="705">
        <f t="shared" si="14"/>
        <v>100</v>
      </c>
      <c r="X29" s="1354"/>
      <c r="Y29" s="369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06"/>
      <c r="Q30" s="1351">
        <f t="shared" si="11"/>
        <v>111</v>
      </c>
      <c r="R30" s="704" t="s">
        <v>18</v>
      </c>
      <c r="S30" s="705">
        <f t="shared" si="12"/>
        <v>100</v>
      </c>
      <c r="T30" s="704" t="s">
        <v>18</v>
      </c>
      <c r="U30" s="705">
        <f t="shared" si="13"/>
        <v>100</v>
      </c>
      <c r="V30" s="704" t="s">
        <v>18</v>
      </c>
      <c r="W30" s="705">
        <f t="shared" si="14"/>
        <v>100</v>
      </c>
      <c r="X30" s="1354"/>
      <c r="Y30" s="369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06"/>
      <c r="Q31" s="1351">
        <f t="shared" si="11"/>
        <v>111</v>
      </c>
      <c r="R31" s="704" t="s">
        <v>18</v>
      </c>
      <c r="S31" s="705">
        <f t="shared" si="12"/>
        <v>100</v>
      </c>
      <c r="T31" s="704" t="s">
        <v>18</v>
      </c>
      <c r="U31" s="705">
        <f t="shared" si="13"/>
        <v>100</v>
      </c>
      <c r="V31" s="704" t="s">
        <v>18</v>
      </c>
      <c r="W31" s="705">
        <f t="shared" si="14"/>
        <v>100</v>
      </c>
      <c r="X31" s="1354"/>
      <c r="Y31" s="3699"/>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0" t="s">
        <v>1695</v>
      </c>
      <c r="Q32" s="1351" t="str">
        <f t="shared" si="11"/>
        <v>建筑类型</v>
      </c>
      <c r="R32" s="704" t="s">
        <v>18</v>
      </c>
      <c r="S32" s="705">
        <f t="shared" si="12"/>
        <v>100</v>
      </c>
      <c r="T32" s="704" t="s">
        <v>18</v>
      </c>
      <c r="U32" s="705">
        <f t="shared" si="13"/>
        <v>100</v>
      </c>
      <c r="V32" s="704" t="s">
        <v>18</v>
      </c>
      <c r="W32" s="705">
        <f t="shared" si="14"/>
        <v>100</v>
      </c>
      <c r="X32" s="1354"/>
      <c r="Y32" s="3703"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1"/>
      <c r="Q33" s="706" t="str">
        <f t="shared" si="11"/>
        <v>项目建筑规模</v>
      </c>
      <c r="R33" s="707" t="s">
        <v>18</v>
      </c>
      <c r="S33" s="708" t="e">
        <f t="shared" si="12"/>
        <v>#N/A</v>
      </c>
      <c r="T33" s="707" t="s">
        <v>18</v>
      </c>
      <c r="U33" s="708" t="e">
        <f t="shared" si="13"/>
        <v>#N/A</v>
      </c>
      <c r="V33" s="707" t="s">
        <v>18</v>
      </c>
      <c r="W33" s="708" t="e">
        <f t="shared" si="14"/>
        <v>#N/A</v>
      </c>
      <c r="X33" s="709"/>
      <c r="Y33" s="3703"/>
      <c r="Z33" s="710"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1"/>
      <c r="Q34" s="1351" t="str">
        <f t="shared" si="11"/>
        <v>建筑结构</v>
      </c>
      <c r="R34" s="704" t="s">
        <v>18</v>
      </c>
      <c r="S34" s="705">
        <f t="shared" si="12"/>
        <v>100</v>
      </c>
      <c r="T34" s="704" t="s">
        <v>18</v>
      </c>
      <c r="U34" s="705">
        <f t="shared" si="13"/>
        <v>100</v>
      </c>
      <c r="V34" s="704" t="s">
        <v>18</v>
      </c>
      <c r="W34" s="705">
        <f t="shared" si="14"/>
        <v>100</v>
      </c>
      <c r="X34" s="1354"/>
      <c r="Y34" s="3703"/>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1"/>
      <c r="Q35" s="1351" t="str">
        <f t="shared" si="11"/>
        <v>建筑品质</v>
      </c>
      <c r="R35" s="704" t="s">
        <v>18</v>
      </c>
      <c r="S35" s="705">
        <f t="shared" si="12"/>
        <v>100</v>
      </c>
      <c r="T35" s="704" t="s">
        <v>18</v>
      </c>
      <c r="U35" s="705">
        <f t="shared" si="13"/>
        <v>100</v>
      </c>
      <c r="V35" s="704" t="s">
        <v>18</v>
      </c>
      <c r="W35" s="705">
        <f t="shared" si="14"/>
        <v>100</v>
      </c>
      <c r="X35" s="1354"/>
      <c r="Y35" s="3703"/>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1"/>
      <c r="Q36" s="1351" t="str">
        <f t="shared" si="11"/>
        <v>公共部分装修</v>
      </c>
      <c r="R36" s="704" t="s">
        <v>18</v>
      </c>
      <c r="S36" s="705">
        <f t="shared" si="12"/>
        <v>100</v>
      </c>
      <c r="T36" s="704" t="s">
        <v>18</v>
      </c>
      <c r="U36" s="705">
        <f t="shared" si="13"/>
        <v>100</v>
      </c>
      <c r="V36" s="704" t="s">
        <v>18</v>
      </c>
      <c r="W36" s="705">
        <f t="shared" si="14"/>
        <v>100</v>
      </c>
      <c r="X36" s="1354"/>
      <c r="Y36" s="3703"/>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1"/>
      <c r="Q37" s="1342" t="str">
        <f t="shared" si="11"/>
        <v>成新度</v>
      </c>
      <c r="R37" s="700" t="s">
        <v>18</v>
      </c>
      <c r="S37" s="701" t="e">
        <f t="shared" si="12"/>
        <v>#N/A</v>
      </c>
      <c r="T37" s="700" t="s">
        <v>18</v>
      </c>
      <c r="U37" s="701" t="e">
        <f t="shared" si="13"/>
        <v>#N/A</v>
      </c>
      <c r="V37" s="700" t="s">
        <v>18</v>
      </c>
      <c r="W37" s="701" t="e">
        <f t="shared" si="14"/>
        <v>#N/A</v>
      </c>
      <c r="X37" s="702"/>
      <c r="Y37" s="3703"/>
      <c r="Z37" s="52" t="str">
        <f t="shared" si="18"/>
        <v>成新度</v>
      </c>
      <c r="AA37" s="703" t="e">
        <f t="shared" si="15"/>
        <v>#N/A</v>
      </c>
      <c r="AB37" s="703" t="e">
        <f t="shared" si="16"/>
        <v>#N/A</v>
      </c>
      <c r="AC37" s="703"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1" t="s">
        <v>1695</v>
      </c>
      <c r="Q38" s="1351" t="str">
        <f t="shared" si="11"/>
        <v>物业管理</v>
      </c>
      <c r="R38" s="704" t="s">
        <v>18</v>
      </c>
      <c r="S38" s="705">
        <f t="shared" si="12"/>
        <v>100</v>
      </c>
      <c r="T38" s="704" t="s">
        <v>18</v>
      </c>
      <c r="U38" s="705">
        <f t="shared" si="13"/>
        <v>100</v>
      </c>
      <c r="V38" s="704" t="s">
        <v>18</v>
      </c>
      <c r="W38" s="705">
        <f t="shared" si="14"/>
        <v>100</v>
      </c>
      <c r="X38" s="1354"/>
      <c r="Y38" s="3703"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1"/>
      <c r="Q39" s="1351" t="str">
        <f t="shared" si="11"/>
        <v>市政基础设施</v>
      </c>
      <c r="R39" s="704" t="s">
        <v>18</v>
      </c>
      <c r="S39" s="705">
        <f t="shared" si="12"/>
        <v>100</v>
      </c>
      <c r="T39" s="704" t="s">
        <v>18</v>
      </c>
      <c r="U39" s="705">
        <f t="shared" si="13"/>
        <v>100</v>
      </c>
      <c r="V39" s="704" t="s">
        <v>18</v>
      </c>
      <c r="W39" s="705">
        <f t="shared" si="14"/>
        <v>100</v>
      </c>
      <c r="X39" s="1354"/>
      <c r="Y39" s="3703"/>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1"/>
      <c r="Q40" s="1351" t="str">
        <f t="shared" si="11"/>
        <v>房型</v>
      </c>
      <c r="R40" s="704" t="s">
        <v>18</v>
      </c>
      <c r="S40" s="705">
        <f t="shared" si="12"/>
        <v>100</v>
      </c>
      <c r="T40" s="704" t="s">
        <v>18</v>
      </c>
      <c r="U40" s="705">
        <f t="shared" si="13"/>
        <v>100</v>
      </c>
      <c r="V40" s="704" t="s">
        <v>18</v>
      </c>
      <c r="W40" s="705">
        <f t="shared" si="14"/>
        <v>100</v>
      </c>
      <c r="X40" s="1354"/>
      <c r="Y40" s="3703"/>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1"/>
      <c r="Q41" s="706" t="str">
        <f t="shared" si="11"/>
        <v>单套/主力户型建筑面积</v>
      </c>
      <c r="R41" s="707" t="s">
        <v>18</v>
      </c>
      <c r="S41" s="708">
        <f t="shared" si="12"/>
        <v>100</v>
      </c>
      <c r="T41" s="707" t="s">
        <v>18</v>
      </c>
      <c r="U41" s="708">
        <f t="shared" si="13"/>
        <v>100</v>
      </c>
      <c r="V41" s="707" t="s">
        <v>18</v>
      </c>
      <c r="W41" s="708">
        <f t="shared" si="14"/>
        <v>100</v>
      </c>
      <c r="X41" s="709"/>
      <c r="Y41" s="3703"/>
      <c r="Z41" s="710"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1"/>
      <c r="Q42" s="1351" t="str">
        <f t="shared" si="11"/>
        <v>内部装修</v>
      </c>
      <c r="R42" s="704" t="s">
        <v>18</v>
      </c>
      <c r="S42" s="705">
        <f t="shared" si="12"/>
        <v>100</v>
      </c>
      <c r="T42" s="704" t="s">
        <v>18</v>
      </c>
      <c r="U42" s="705">
        <f t="shared" si="13"/>
        <v>100</v>
      </c>
      <c r="V42" s="704" t="s">
        <v>18</v>
      </c>
      <c r="W42" s="705">
        <f t="shared" si="14"/>
        <v>100</v>
      </c>
      <c r="X42" s="1354"/>
      <c r="Y42" s="3703"/>
      <c r="Z42" s="1355" t="str">
        <f t="shared" si="18"/>
        <v>内部装修</v>
      </c>
      <c r="AA42" s="1352">
        <f t="shared" si="15"/>
        <v>1</v>
      </c>
      <c r="AB42" s="1352">
        <f t="shared" si="16"/>
        <v>1</v>
      </c>
      <c r="AC42" s="1352">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1"/>
      <c r="Q43" s="1351" t="str">
        <f t="shared" si="11"/>
        <v>内部装修维护情况</v>
      </c>
      <c r="R43" s="704" t="s">
        <v>18</v>
      </c>
      <c r="S43" s="705">
        <f t="shared" si="12"/>
        <v>100</v>
      </c>
      <c r="T43" s="704" t="s">
        <v>18</v>
      </c>
      <c r="U43" s="705">
        <f t="shared" si="13"/>
        <v>100</v>
      </c>
      <c r="V43" s="704" t="s">
        <v>18</v>
      </c>
      <c r="W43" s="705">
        <f t="shared" si="14"/>
        <v>100</v>
      </c>
      <c r="X43" s="1354"/>
      <c r="Y43" s="370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1"/>
      <c r="Q44" s="1342">
        <f t="shared" si="11"/>
        <v>111</v>
      </c>
      <c r="R44" s="700" t="s">
        <v>18</v>
      </c>
      <c r="S44" s="701">
        <f t="shared" si="12"/>
        <v>100</v>
      </c>
      <c r="T44" s="700" t="s">
        <v>18</v>
      </c>
      <c r="U44" s="701">
        <f t="shared" si="13"/>
        <v>100</v>
      </c>
      <c r="V44" s="700" t="s">
        <v>18</v>
      </c>
      <c r="W44" s="701">
        <f t="shared" si="14"/>
        <v>100</v>
      </c>
      <c r="X44" s="702"/>
      <c r="Y44" s="370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1"/>
      <c r="Q45" s="1351">
        <f t="shared" si="11"/>
        <v>111</v>
      </c>
      <c r="R45" s="704" t="s">
        <v>18</v>
      </c>
      <c r="S45" s="705">
        <f t="shared" si="12"/>
        <v>100</v>
      </c>
      <c r="T45" s="704" t="s">
        <v>18</v>
      </c>
      <c r="U45" s="705">
        <f t="shared" si="13"/>
        <v>100</v>
      </c>
      <c r="V45" s="704" t="s">
        <v>18</v>
      </c>
      <c r="W45" s="705">
        <f t="shared" si="14"/>
        <v>100</v>
      </c>
      <c r="X45" s="1354"/>
      <c r="Y45" s="370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2"/>
      <c r="Q46" s="1351">
        <f t="shared" si="11"/>
        <v>111</v>
      </c>
      <c r="R46" s="704" t="s">
        <v>17</v>
      </c>
      <c r="S46" s="705">
        <f t="shared" si="12"/>
        <v>100</v>
      </c>
      <c r="T46" s="704" t="s">
        <v>17</v>
      </c>
      <c r="U46" s="705">
        <f t="shared" si="13"/>
        <v>100</v>
      </c>
      <c r="V46" s="704" t="s">
        <v>17</v>
      </c>
      <c r="W46" s="705">
        <f t="shared" si="14"/>
        <v>100</v>
      </c>
      <c r="X46" s="1354"/>
      <c r="Y46" s="3704"/>
      <c r="Z46" s="1355">
        <f t="shared" si="18"/>
        <v>111</v>
      </c>
      <c r="AA46" s="1352">
        <f t="shared" si="15"/>
        <v>1</v>
      </c>
      <c r="AB46" s="1352">
        <f t="shared" si="16"/>
        <v>1</v>
      </c>
      <c r="AC46" s="1352">
        <f t="shared" si="17"/>
        <v>1</v>
      </c>
    </row>
    <row r="47" spans="1:29" ht="15">
      <c r="A47" s="430" t="s">
        <v>1707</v>
      </c>
      <c r="B47" s="431"/>
      <c r="C47" s="1153" t="s">
        <v>16</v>
      </c>
      <c r="D47" s="1154"/>
      <c r="E47" s="1155"/>
      <c r="F47" s="1156"/>
      <c r="G47" s="1157"/>
      <c r="H47" s="1158"/>
      <c r="I47" s="1155"/>
      <c r="J47" s="1158"/>
      <c r="K47" s="1913"/>
      <c r="L47" s="2723"/>
      <c r="M47" s="2724"/>
      <c r="N47" s="2715"/>
      <c r="O47" s="2724"/>
      <c r="P47" s="3696" t="str">
        <f>A47</f>
        <v>成交单价（元/平方米）</v>
      </c>
      <c r="Q47" s="3696"/>
      <c r="R47" s="3697">
        <f>E47</f>
        <v>0</v>
      </c>
      <c r="S47" s="3697"/>
      <c r="T47" s="3697">
        <f>G47</f>
        <v>0</v>
      </c>
      <c r="U47" s="3697"/>
      <c r="V47" s="3697">
        <f>I47</f>
        <v>0</v>
      </c>
      <c r="W47" s="3697"/>
      <c r="X47" s="689"/>
      <c r="Y47" s="711"/>
      <c r="Z47" s="689"/>
      <c r="AA47" s="689"/>
      <c r="AB47" s="689"/>
      <c r="AC47" s="689"/>
    </row>
    <row r="48" spans="1:29" ht="15.75" thickBot="1">
      <c r="A48" s="437" t="s">
        <v>1708</v>
      </c>
      <c r="B48" s="438"/>
      <c r="C48" s="1159" t="e">
        <f>R49</f>
        <v>#DIV/0!</v>
      </c>
      <c r="D48" s="2316" t="s">
        <v>2136</v>
      </c>
      <c r="E48" s="1160" t="e">
        <f>R48</f>
        <v>#DIV/0!</v>
      </c>
      <c r="F48" s="2317"/>
      <c r="G48" s="1159" t="e">
        <f>T48</f>
        <v>#DIV/0!</v>
      </c>
      <c r="H48" s="2317"/>
      <c r="I48" s="1160" t="e">
        <f>V48</f>
        <v>#DIV/0!</v>
      </c>
      <c r="J48" s="2317"/>
      <c r="K48" s="2318">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9"/>
      <c r="Y48" s="689"/>
      <c r="Z48" s="689"/>
      <c r="AA48" s="689"/>
      <c r="AB48" s="689"/>
      <c r="AC48" s="689"/>
    </row>
    <row r="49" spans="1:29" ht="15.75" thickBot="1">
      <c r="A49" s="441" t="s">
        <v>1709</v>
      </c>
      <c r="B49" s="442"/>
      <c r="C49" s="1161" t="e">
        <f>R49</f>
        <v>#DIV/0!</v>
      </c>
      <c r="D49" s="1162"/>
      <c r="E49" s="1162"/>
      <c r="F49" s="1162"/>
      <c r="G49" s="1162"/>
      <c r="H49" s="1162"/>
      <c r="I49" s="1162"/>
      <c r="J49" s="1162"/>
      <c r="K49" s="1914"/>
      <c r="L49" s="2723"/>
      <c r="M49" s="2724"/>
      <c r="N49" s="2724"/>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1713</v>
      </c>
      <c r="B57" s="689"/>
      <c r="C57" s="694"/>
      <c r="D57" s="694"/>
      <c r="E57" s="694"/>
      <c r="F57" s="695"/>
      <c r="G57" s="695"/>
      <c r="H57" s="694"/>
      <c r="I57" s="694"/>
      <c r="J57" s="694"/>
      <c r="K57" s="940"/>
      <c r="L57" s="941"/>
      <c r="M57" s="939"/>
      <c r="N57" s="939"/>
      <c r="O57" s="939"/>
      <c r="P57" s="1917"/>
      <c r="Q57" s="453"/>
    </row>
    <row r="58" spans="1:29" s="457" customFormat="1" ht="15">
      <c r="A58" s="454" t="s">
        <v>1714</v>
      </c>
      <c r="B58" s="455"/>
      <c r="C58" s="1185" t="str">
        <f>YEAR(C7)&amp;"-"&amp;MONTH(C7)</f>
        <v>2023-9</v>
      </c>
      <c r="D58" s="1184">
        <f>EDATE(C58,-1)</f>
        <v>45139</v>
      </c>
      <c r="E58" s="1184">
        <f>EDATE(D58,-1)</f>
        <v>45108</v>
      </c>
      <c r="F58" s="1184">
        <f t="shared" ref="F58:O58" si="19">EDATE(E58,-1)</f>
        <v>45078</v>
      </c>
      <c r="G58" s="1184">
        <f t="shared" si="19"/>
        <v>45047</v>
      </c>
      <c r="H58" s="1184">
        <f t="shared" si="19"/>
        <v>45017</v>
      </c>
      <c r="I58" s="1184">
        <f t="shared" si="19"/>
        <v>44986</v>
      </c>
      <c r="J58" s="1184">
        <f t="shared" si="19"/>
        <v>44958</v>
      </c>
      <c r="K58" s="1184">
        <f t="shared" si="19"/>
        <v>44927</v>
      </c>
      <c r="L58" s="1184">
        <f t="shared" si="19"/>
        <v>44896</v>
      </c>
      <c r="M58" s="1184">
        <f t="shared" si="19"/>
        <v>44866</v>
      </c>
      <c r="N58" s="1184">
        <f t="shared" si="19"/>
        <v>44835</v>
      </c>
      <c r="O58" s="1184">
        <f t="shared" si="19"/>
        <v>44805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1718</v>
      </c>
      <c r="B63" s="477" t="s">
        <v>1684</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1687</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1733</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1734</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1693</v>
      </c>
      <c r="B100" s="477" t="s">
        <v>1735</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1737</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1738</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1739</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1740</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1741</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1742</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1743</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1">
        <f>ROUNDUP((J139-1)/2,0)</f>
        <v>10</v>
      </c>
      <c r="K140" s="877">
        <v>100</v>
      </c>
    </row>
    <row r="141" spans="1:17" ht="15">
      <c r="B141" s="872">
        <v>4</v>
      </c>
      <c r="C141" s="873">
        <v>102</v>
      </c>
      <c r="D141" s="873"/>
      <c r="E141" s="874"/>
      <c r="F141" s="875">
        <v>101.5</v>
      </c>
      <c r="G141" s="873"/>
      <c r="H141" s="876"/>
      <c r="I141" s="1941" t="s">
        <v>1757</v>
      </c>
      <c r="J141" s="271">
        <v>1</v>
      </c>
      <c r="K141" s="878">
        <f>ROUND(100+(J141-J140)*K139*100,1)</f>
        <v>96.4</v>
      </c>
    </row>
    <row r="142" spans="1:17" ht="15">
      <c r="B142" s="872">
        <v>3</v>
      </c>
      <c r="C142" s="873">
        <v>103</v>
      </c>
      <c r="D142" s="873"/>
      <c r="E142" s="874"/>
      <c r="F142" s="875">
        <v>101</v>
      </c>
      <c r="G142" s="873"/>
      <c r="H142" s="876"/>
      <c r="I142" s="1941" t="s">
        <v>1758</v>
      </c>
      <c r="J142" s="271">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5.75"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c r="B147" s="1928" t="s">
        <v>1763</v>
      </c>
    </row>
    <row r="148" spans="2:11">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43" sqref="M4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t="s">
        <v>3389</v>
      </c>
      <c r="E1" s="3425" t="s">
        <v>3395</v>
      </c>
      <c r="F1" s="1878" t="s">
        <v>3396</v>
      </c>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3">
        <f>IF(E1="项目模式",IF(C2="——",ROUND(C49*D3/10000,0),ROUND(C49*D3/10000,0)-D2),IF(E1="单套模式",IF(C2="——",ROUND(C49*D3/10000,4),ROUND(C49*D3/10000,4)-D2)))</f>
        <v>223.54509999999999</v>
      </c>
      <c r="C2" s="1880" t="s">
        <v>43</v>
      </c>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1463</v>
      </c>
      <c r="B3" s="558">
        <f>IF(C2="——",C49,ROUND(B2*10000/D3,0))</f>
        <v>18967</v>
      </c>
      <c r="C3" s="354" t="s">
        <v>1767</v>
      </c>
      <c r="D3" s="353">
        <f>IF(D1="",'数据-汇总表'!E3,SUMIF('数据-汇总表'!$C19:$C33,D1,'数据-汇总表'!$E19:$E33))</f>
        <v>117.86</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1768</v>
      </c>
      <c r="B4" s="356"/>
      <c r="C4" s="3679" t="s">
        <v>1769</v>
      </c>
      <c r="D4" s="3680"/>
      <c r="E4" s="3681" t="s">
        <v>1770</v>
      </c>
      <c r="F4" s="3682"/>
      <c r="G4" s="3679" t="s">
        <v>1771</v>
      </c>
      <c r="H4" s="3680"/>
      <c r="I4" s="3679" t="s">
        <v>1772</v>
      </c>
      <c r="J4" s="3680"/>
      <c r="K4" s="559" t="s">
        <v>1773</v>
      </c>
      <c r="L4" s="2714"/>
      <c r="M4" s="2715"/>
      <c r="N4" s="2715"/>
      <c r="O4" s="2715"/>
      <c r="P4" s="3683" t="s">
        <v>1774</v>
      </c>
      <c r="Q4" s="3684"/>
      <c r="R4" s="3666" t="s">
        <v>1770</v>
      </c>
      <c r="S4" s="3667"/>
      <c r="T4" s="3666" t="s">
        <v>1771</v>
      </c>
      <c r="U4" s="3667"/>
      <c r="V4" s="3691" t="s">
        <v>1772</v>
      </c>
      <c r="W4" s="3691"/>
      <c r="X4" s="1354"/>
      <c r="Y4" s="3666" t="s">
        <v>1774</v>
      </c>
      <c r="Z4" s="3667"/>
      <c r="AA4" s="3661" t="s">
        <v>1770</v>
      </c>
      <c r="AB4" s="3691" t="s">
        <v>1771</v>
      </c>
      <c r="AC4" s="3661" t="s">
        <v>1772</v>
      </c>
    </row>
    <row r="5" spans="1:29" ht="15">
      <c r="A5" s="358"/>
      <c r="B5" s="359"/>
      <c r="C5" s="3672" t="str">
        <f>D1</f>
        <v>33-7-1号</v>
      </c>
      <c r="D5" s="3673"/>
      <c r="E5" s="3794" t="s">
        <v>3432</v>
      </c>
      <c r="F5" s="3671"/>
      <c r="G5" s="3795" t="s">
        <v>3433</v>
      </c>
      <c r="H5" s="3673"/>
      <c r="I5" s="3795" t="s">
        <v>3434</v>
      </c>
      <c r="J5" s="3673"/>
      <c r="K5" s="559"/>
      <c r="L5" s="2714"/>
      <c r="M5" s="2715"/>
      <c r="N5" s="2715"/>
      <c r="O5" s="2715"/>
      <c r="P5" s="3685"/>
      <c r="Q5" s="3686"/>
      <c r="R5" s="3668"/>
      <c r="S5" s="3669"/>
      <c r="T5" s="3668"/>
      <c r="U5" s="3669"/>
      <c r="V5" s="3691"/>
      <c r="W5" s="3691"/>
      <c r="X5" s="1354"/>
      <c r="Y5" s="3668"/>
      <c r="Z5" s="3669"/>
      <c r="AA5" s="3662"/>
      <c r="AB5" s="3691"/>
      <c r="AC5" s="3662"/>
    </row>
    <row r="6" spans="1:29" ht="15.75" thickBot="1">
      <c r="A6" s="360"/>
      <c r="B6" s="361"/>
      <c r="C6" s="3674" t="s">
        <v>1676</v>
      </c>
      <c r="D6" s="3675"/>
      <c r="E6" s="3676" t="s">
        <v>1676</v>
      </c>
      <c r="F6" s="3677"/>
      <c r="G6" s="3674" t="s">
        <v>1676</v>
      </c>
      <c r="H6" s="3675"/>
      <c r="I6" s="3674" t="s">
        <v>1676</v>
      </c>
      <c r="J6" s="3675"/>
      <c r="K6" s="559" t="s">
        <v>1677</v>
      </c>
      <c r="L6" s="2714"/>
      <c r="M6" s="2715"/>
      <c r="N6" s="2715"/>
      <c r="O6" s="2715"/>
      <c r="P6" s="3687"/>
      <c r="Q6" s="3688"/>
      <c r="R6" s="3668"/>
      <c r="S6" s="3669"/>
      <c r="T6" s="3689"/>
      <c r="U6" s="3690"/>
      <c r="V6" s="3691"/>
      <c r="W6" s="3691"/>
      <c r="X6" s="1354"/>
      <c r="Y6" s="3689"/>
      <c r="Z6" s="3690"/>
      <c r="AA6" s="3663"/>
      <c r="AB6" s="3691"/>
      <c r="AC6" s="3663"/>
    </row>
    <row r="7" spans="1:29" s="108" customFormat="1" ht="15.75" thickBot="1">
      <c r="A7" s="362" t="s">
        <v>1678</v>
      </c>
      <c r="B7" s="363"/>
      <c r="C7" s="364">
        <f>'数据-取费表'!B2</f>
        <v>45171</v>
      </c>
      <c r="D7" s="365">
        <v>100</v>
      </c>
      <c r="E7" s="366">
        <v>45139</v>
      </c>
      <c r="F7" s="367">
        <f>SUMIF(58:58,YEAR(E7)&amp;"-"&amp;MONTH(E7),59:59)</f>
        <v>100</v>
      </c>
      <c r="G7" s="366">
        <v>45139</v>
      </c>
      <c r="H7" s="365">
        <f>SUMIF(58:58,YEAR(G7)&amp;"-"&amp;MONTH(G7),59:59)</f>
        <v>100</v>
      </c>
      <c r="I7" s="366">
        <v>45170</v>
      </c>
      <c r="J7" s="365">
        <f>SUMIF(58:58,YEAR(I7)&amp;"-"&amp;MONTH(I7),59:59)</f>
        <v>100</v>
      </c>
      <c r="K7" s="560"/>
      <c r="L7" s="2716"/>
      <c r="M7" s="2717"/>
      <c r="N7" s="2717"/>
      <c r="O7" s="2717"/>
      <c r="P7" s="3664" t="s">
        <v>1679</v>
      </c>
      <c r="Q7" s="3692"/>
      <c r="R7" s="700" t="s">
        <v>14</v>
      </c>
      <c r="S7" s="701">
        <f t="shared" ref="S7:S15" si="0">F7</f>
        <v>100</v>
      </c>
      <c r="T7" s="700" t="s">
        <v>14</v>
      </c>
      <c r="U7" s="701">
        <f t="shared" ref="U7:U15" si="1">H7</f>
        <v>100</v>
      </c>
      <c r="V7" s="700" t="s">
        <v>14</v>
      </c>
      <c r="W7" s="701">
        <f t="shared" ref="W7:W15" si="2">J7</f>
        <v>100</v>
      </c>
      <c r="X7" s="702"/>
      <c r="Y7" s="3664" t="s">
        <v>1679</v>
      </c>
      <c r="Z7" s="3665"/>
      <c r="AA7" s="703">
        <f>D7/F7</f>
        <v>1</v>
      </c>
      <c r="AB7" s="703">
        <f>D7/H7</f>
        <v>1</v>
      </c>
      <c r="AC7" s="703">
        <f>D7/J7</f>
        <v>1</v>
      </c>
    </row>
    <row r="8" spans="1:29" s="108" customFormat="1" ht="15.75" thickBot="1">
      <c r="A8" s="362" t="s">
        <v>1680</v>
      </c>
      <c r="B8" s="363"/>
      <c r="C8" s="368" t="s">
        <v>3421</v>
      </c>
      <c r="D8" s="365">
        <v>100</v>
      </c>
      <c r="E8" s="368" t="s">
        <v>3422</v>
      </c>
      <c r="F8" s="367">
        <f>SUMIF(61:61,E8,62:62)-SUMIF(61:61,C8,62:62)+100</f>
        <v>105</v>
      </c>
      <c r="G8" s="368" t="s">
        <v>3422</v>
      </c>
      <c r="H8" s="365">
        <f>SUMIF(61:61,G8,62:62)-SUMIF(61:61,C8,62:62)+100</f>
        <v>105</v>
      </c>
      <c r="I8" s="368" t="s">
        <v>3422</v>
      </c>
      <c r="J8" s="365">
        <f>SUMIF(61:61,I8,62:62)-SUMIF(61:61,C8,62:62)+100</f>
        <v>105</v>
      </c>
      <c r="K8" s="560"/>
      <c r="L8" s="2716"/>
      <c r="M8" s="2717"/>
      <c r="N8" s="2717"/>
      <c r="O8" s="2717"/>
      <c r="P8" s="3664" t="s">
        <v>1682</v>
      </c>
      <c r="Q8" s="3665"/>
      <c r="R8" s="700" t="s">
        <v>14</v>
      </c>
      <c r="S8" s="701">
        <f t="shared" si="0"/>
        <v>105</v>
      </c>
      <c r="T8" s="700" t="s">
        <v>14</v>
      </c>
      <c r="U8" s="701">
        <f t="shared" si="1"/>
        <v>105</v>
      </c>
      <c r="V8" s="700" t="s">
        <v>14</v>
      </c>
      <c r="W8" s="701">
        <f t="shared" si="2"/>
        <v>105</v>
      </c>
      <c r="X8" s="702"/>
      <c r="Y8" s="3664" t="s">
        <v>1682</v>
      </c>
      <c r="Z8" s="3665"/>
      <c r="AA8" s="703">
        <f t="shared" ref="AA8:AA46" si="3">D8/F8</f>
        <v>0.95238095238095233</v>
      </c>
      <c r="AB8" s="703">
        <f t="shared" ref="AB8:AB46" si="4">D8/H8</f>
        <v>0.95238095238095233</v>
      </c>
      <c r="AC8" s="703">
        <f t="shared" ref="AC8:AC46" si="5">D8/J8</f>
        <v>0.95238095238095233</v>
      </c>
    </row>
    <row r="9" spans="1:29" s="108" customFormat="1" ht="15">
      <c r="A9" s="369" t="s">
        <v>1683</v>
      </c>
      <c r="B9" s="63" t="s">
        <v>1684</v>
      </c>
      <c r="C9" s="3792" t="s">
        <v>3420</v>
      </c>
      <c r="D9" s="126">
        <v>100</v>
      </c>
      <c r="E9" s="371" t="s">
        <v>672</v>
      </c>
      <c r="F9" s="372">
        <f>SUMIF(63:63,E9,64:64)-SUMIF(63:63,C9,64:64)+100</f>
        <v>100</v>
      </c>
      <c r="G9" s="371" t="s">
        <v>672</v>
      </c>
      <c r="H9" s="126">
        <f>SUMIF(63:63,G9,64:64)-SUMIF(63:63,C9,64:64)+100</f>
        <v>100</v>
      </c>
      <c r="I9" s="371" t="s">
        <v>672</v>
      </c>
      <c r="J9" s="126">
        <f>SUMIF(63:63,I9,64:64)-SUMIF(63:63,C9,64:64)+100</f>
        <v>100</v>
      </c>
      <c r="K9" s="560"/>
      <c r="L9" s="2716"/>
      <c r="M9" s="2717"/>
      <c r="N9" s="2717"/>
      <c r="O9" s="2717"/>
      <c r="P9" s="3678" t="s">
        <v>1685</v>
      </c>
      <c r="Q9" s="1342" t="str">
        <f t="shared" ref="Q9:Q15" si="6">B9</f>
        <v>用途</v>
      </c>
      <c r="R9" s="700" t="s">
        <v>14</v>
      </c>
      <c r="S9" s="701">
        <f t="shared" si="0"/>
        <v>100</v>
      </c>
      <c r="T9" s="700" t="s">
        <v>14</v>
      </c>
      <c r="U9" s="701">
        <f t="shared" si="1"/>
        <v>100</v>
      </c>
      <c r="V9" s="700" t="s">
        <v>14</v>
      </c>
      <c r="W9" s="701">
        <f t="shared" si="2"/>
        <v>100</v>
      </c>
      <c r="X9" s="702"/>
      <c r="Y9" s="3608" t="s">
        <v>1686</v>
      </c>
      <c r="Z9" s="52" t="str">
        <f t="shared" ref="Z9:Z15" si="7">Q9</f>
        <v>用途</v>
      </c>
      <c r="AA9" s="703">
        <f t="shared" si="3"/>
        <v>1</v>
      </c>
      <c r="AB9" s="703">
        <f t="shared" si="4"/>
        <v>1</v>
      </c>
      <c r="AC9" s="703">
        <f t="shared" si="5"/>
        <v>1</v>
      </c>
    </row>
    <row r="10" spans="1:29" s="378" customFormat="1" ht="27.75" thickBot="1">
      <c r="A10" s="374"/>
      <c r="B10" s="375" t="s">
        <v>1687</v>
      </c>
      <c r="C10" s="3433" t="s">
        <v>3397</v>
      </c>
      <c r="D10" s="127">
        <v>100</v>
      </c>
      <c r="E10" s="3433" t="s">
        <v>3397</v>
      </c>
      <c r="F10" s="376">
        <f>SUMIF(65:65,E10,66:66)-SUMIF(65:65,C10,66:66)+100</f>
        <v>100</v>
      </c>
      <c r="G10" s="3433" t="s">
        <v>3397</v>
      </c>
      <c r="H10" s="127">
        <f>SUMIF(65:65,G10,66:66)-SUMIF(65:65,C10,66:66)+100</f>
        <v>100</v>
      </c>
      <c r="I10" s="3433" t="s">
        <v>3397</v>
      </c>
      <c r="J10" s="127">
        <f>SUMIF(65:65,I10,66:66)-SUMIF(65:65,C10,66:66)+100</f>
        <v>100</v>
      </c>
      <c r="K10" s="560"/>
      <c r="L10" s="2718"/>
      <c r="M10" s="2719"/>
      <c r="N10" s="2719"/>
      <c r="O10" s="2719"/>
      <c r="P10" s="3678"/>
      <c r="Q10" s="1342"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hidden="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8"/>
      <c r="Q11" s="1342" t="str">
        <f t="shared" si="6"/>
        <v>容积率</v>
      </c>
      <c r="R11" s="700" t="s">
        <v>14</v>
      </c>
      <c r="S11" s="701">
        <f t="shared" si="0"/>
        <v>100</v>
      </c>
      <c r="T11" s="700" t="s">
        <v>14</v>
      </c>
      <c r="U11" s="701">
        <f t="shared" si="1"/>
        <v>100</v>
      </c>
      <c r="V11" s="700" t="s">
        <v>14</v>
      </c>
      <c r="W11" s="701">
        <f t="shared" si="2"/>
        <v>100</v>
      </c>
      <c r="X11" s="702"/>
      <c r="Y11" s="3608"/>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8"/>
      <c r="Q12" s="1342">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8"/>
      <c r="Q13" s="1342">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8"/>
      <c r="Q14" s="1342">
        <f t="shared" si="6"/>
        <v>111</v>
      </c>
      <c r="R14" s="700" t="s">
        <v>14</v>
      </c>
      <c r="S14" s="701">
        <f t="shared" si="0"/>
        <v>100</v>
      </c>
      <c r="T14" s="700" t="s">
        <v>14</v>
      </c>
      <c r="U14" s="701">
        <f t="shared" si="1"/>
        <v>100</v>
      </c>
      <c r="V14" s="700" t="s">
        <v>14</v>
      </c>
      <c r="W14" s="701">
        <f t="shared" si="2"/>
        <v>100</v>
      </c>
      <c r="X14" s="702"/>
      <c r="Y14" s="3608"/>
      <c r="Z14" s="52">
        <f t="shared" si="7"/>
        <v>111</v>
      </c>
      <c r="AA14" s="703">
        <f t="shared" si="3"/>
        <v>1</v>
      </c>
      <c r="AB14" s="703">
        <f t="shared" si="4"/>
        <v>1</v>
      </c>
      <c r="AC14" s="703">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5</v>
      </c>
      <c r="L15" s="2721"/>
      <c r="M15" s="2715"/>
      <c r="N15" s="2715"/>
      <c r="O15" s="2715"/>
      <c r="P15" s="3705" t="s">
        <v>1690</v>
      </c>
      <c r="Q15" s="1351" t="str">
        <f t="shared" si="6"/>
        <v>商业繁华度</v>
      </c>
      <c r="R15" s="704" t="s">
        <v>14</v>
      </c>
      <c r="S15" s="705">
        <f t="shared" si="0"/>
        <v>100</v>
      </c>
      <c r="T15" s="704" t="s">
        <v>14</v>
      </c>
      <c r="U15" s="705">
        <f t="shared" si="1"/>
        <v>100</v>
      </c>
      <c r="V15" s="704" t="s">
        <v>14</v>
      </c>
      <c r="W15" s="705">
        <f t="shared" si="2"/>
        <v>100</v>
      </c>
      <c r="X15" s="1354"/>
      <c r="Y15" s="3698" t="s">
        <v>1690</v>
      </c>
      <c r="Z15" s="1355" t="str">
        <f t="shared" si="7"/>
        <v>商业繁华度</v>
      </c>
      <c r="AA15" s="1352">
        <f t="shared" si="3"/>
        <v>1</v>
      </c>
      <c r="AB15" s="1352">
        <f t="shared" si="4"/>
        <v>1</v>
      </c>
      <c r="AC15" s="1352">
        <f t="shared" si="5"/>
        <v>1</v>
      </c>
    </row>
    <row r="16" spans="1:29" ht="15">
      <c r="A16" s="379"/>
      <c r="B16" s="397"/>
      <c r="C16" s="398" t="s">
        <v>3405</v>
      </c>
      <c r="D16" s="399"/>
      <c r="E16" s="398" t="s">
        <v>3405</v>
      </c>
      <c r="F16" s="400"/>
      <c r="G16" s="398" t="s">
        <v>3405</v>
      </c>
      <c r="H16" s="401"/>
      <c r="I16" s="398" t="s">
        <v>3405</v>
      </c>
      <c r="J16" s="399"/>
      <c r="K16" s="564"/>
      <c r="L16" s="2721"/>
      <c r="M16" s="2715"/>
      <c r="N16" s="2715"/>
      <c r="O16" s="2715"/>
      <c r="P16" s="3706"/>
      <c r="Q16" s="1351"/>
      <c r="R16" s="704"/>
      <c r="S16" s="705"/>
      <c r="T16" s="704"/>
      <c r="U16" s="705"/>
      <c r="V16" s="704"/>
      <c r="W16" s="705"/>
      <c r="X16" s="1354"/>
      <c r="Y16" s="3699"/>
      <c r="Z16" s="1355"/>
      <c r="AA16" s="1352">
        <v>1</v>
      </c>
      <c r="AB16" s="1352">
        <v>1</v>
      </c>
      <c r="AC16" s="1352">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706"/>
      <c r="Q17" s="1351" t="str">
        <f>B17</f>
        <v>交通便捷度</v>
      </c>
      <c r="R17" s="704" t="s">
        <v>14</v>
      </c>
      <c r="S17" s="705">
        <f>F17</f>
        <v>100</v>
      </c>
      <c r="T17" s="704" t="s">
        <v>14</v>
      </c>
      <c r="U17" s="705">
        <f>H17</f>
        <v>100</v>
      </c>
      <c r="V17" s="704" t="s">
        <v>14</v>
      </c>
      <c r="W17" s="705">
        <f>J17</f>
        <v>100</v>
      </c>
      <c r="X17" s="1354"/>
      <c r="Y17" s="3699"/>
      <c r="Z17" s="1355" t="str">
        <f>Q17</f>
        <v>交通便捷度</v>
      </c>
      <c r="AA17" s="1352">
        <f t="shared" si="3"/>
        <v>1</v>
      </c>
      <c r="AB17" s="1352">
        <f t="shared" si="4"/>
        <v>1</v>
      </c>
      <c r="AC17" s="1352">
        <f t="shared" si="5"/>
        <v>1</v>
      </c>
    </row>
    <row r="18" spans="1:29" ht="15">
      <c r="A18" s="379"/>
      <c r="B18" s="407"/>
      <c r="C18" s="1900" t="s">
        <v>3414</v>
      </c>
      <c r="D18" s="401"/>
      <c r="E18" s="1900" t="s">
        <v>3414</v>
      </c>
      <c r="F18" s="404"/>
      <c r="G18" s="1900" t="s">
        <v>3414</v>
      </c>
      <c r="H18" s="399"/>
      <c r="I18" s="1900" t="s">
        <v>3414</v>
      </c>
      <c r="J18" s="399"/>
      <c r="K18" s="564"/>
      <c r="L18" s="2721"/>
      <c r="M18" s="2715"/>
      <c r="N18" s="2715"/>
      <c r="O18" s="2715"/>
      <c r="P18" s="3706"/>
      <c r="Q18" s="1351"/>
      <c r="R18" s="704"/>
      <c r="S18" s="705"/>
      <c r="T18" s="704"/>
      <c r="U18" s="705"/>
      <c r="V18" s="704"/>
      <c r="W18" s="705"/>
      <c r="X18" s="1354"/>
      <c r="Y18" s="3699"/>
      <c r="Z18" s="1355"/>
      <c r="AA18" s="1352">
        <v>1</v>
      </c>
      <c r="AB18" s="1352">
        <v>1</v>
      </c>
      <c r="AC18" s="1352">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706"/>
      <c r="Q19" s="1351" t="str">
        <f>B19</f>
        <v>公共配套设施</v>
      </c>
      <c r="R19" s="704" t="s">
        <v>14</v>
      </c>
      <c r="S19" s="705">
        <f>F19</f>
        <v>100</v>
      </c>
      <c r="T19" s="704" t="s">
        <v>14</v>
      </c>
      <c r="U19" s="705">
        <f>H19</f>
        <v>100</v>
      </c>
      <c r="V19" s="704" t="s">
        <v>14</v>
      </c>
      <c r="W19" s="705">
        <f>J19</f>
        <v>100</v>
      </c>
      <c r="X19" s="1354"/>
      <c r="Y19" s="3699"/>
      <c r="Z19" s="1355" t="str">
        <f>Q19</f>
        <v>公共配套设施</v>
      </c>
      <c r="AA19" s="1352">
        <f t="shared" si="3"/>
        <v>1</v>
      </c>
      <c r="AB19" s="1352">
        <f t="shared" si="4"/>
        <v>1</v>
      </c>
      <c r="AC19" s="1352">
        <f t="shared" si="5"/>
        <v>1</v>
      </c>
    </row>
    <row r="20" spans="1:29" ht="15">
      <c r="A20" s="379"/>
      <c r="B20" s="407"/>
      <c r="C20" s="398" t="s">
        <v>3405</v>
      </c>
      <c r="D20" s="399"/>
      <c r="E20" s="398" t="s">
        <v>3405</v>
      </c>
      <c r="F20" s="400"/>
      <c r="G20" s="398" t="s">
        <v>3405</v>
      </c>
      <c r="H20" s="399"/>
      <c r="I20" s="398" t="s">
        <v>3405</v>
      </c>
      <c r="J20" s="399"/>
      <c r="K20" s="564"/>
      <c r="L20" s="2721"/>
      <c r="M20" s="2715"/>
      <c r="N20" s="2715"/>
      <c r="O20" s="2715"/>
      <c r="P20" s="3706"/>
      <c r="Q20" s="1351"/>
      <c r="R20" s="704"/>
      <c r="S20" s="705"/>
      <c r="T20" s="704"/>
      <c r="U20" s="705"/>
      <c r="V20" s="704"/>
      <c r="W20" s="705"/>
      <c r="X20" s="1354"/>
      <c r="Y20" s="3699"/>
      <c r="Z20" s="1355"/>
      <c r="AA20" s="1352">
        <v>1</v>
      </c>
      <c r="AB20" s="1352">
        <v>1</v>
      </c>
      <c r="AC20" s="1352">
        <v>1</v>
      </c>
    </row>
    <row r="21" spans="1:29" ht="28.5">
      <c r="A21" s="379"/>
      <c r="B21" s="1130"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706"/>
      <c r="Q21" s="1351" t="str">
        <f>B21</f>
        <v>基础设施水平</v>
      </c>
      <c r="R21" s="704" t="s">
        <v>14</v>
      </c>
      <c r="S21" s="705">
        <f>F21</f>
        <v>100</v>
      </c>
      <c r="T21" s="704" t="s">
        <v>14</v>
      </c>
      <c r="U21" s="705">
        <f>H21</f>
        <v>100</v>
      </c>
      <c r="V21" s="704" t="s">
        <v>14</v>
      </c>
      <c r="W21" s="705">
        <f>J21</f>
        <v>100</v>
      </c>
      <c r="X21" s="1354"/>
      <c r="Y21" s="3699"/>
      <c r="Z21" s="1355" t="str">
        <f>Q21</f>
        <v>基础设施水平</v>
      </c>
      <c r="AA21" s="1352">
        <f t="shared" ref="AA21" si="8">D21/F21</f>
        <v>1</v>
      </c>
      <c r="AB21" s="1352">
        <f t="shared" ref="AB21" si="9">D21/H21</f>
        <v>1</v>
      </c>
      <c r="AC21" s="1352">
        <f t="shared" ref="AC21" si="10">D21/J21</f>
        <v>1</v>
      </c>
    </row>
    <row r="22" spans="1:29" ht="15">
      <c r="A22" s="379"/>
      <c r="B22" s="1130"/>
      <c r="C22" s="1900" t="s">
        <v>3419</v>
      </c>
      <c r="D22" s="399"/>
      <c r="E22" s="1900" t="s">
        <v>3419</v>
      </c>
      <c r="F22" s="400"/>
      <c r="G22" s="1900" t="s">
        <v>3419</v>
      </c>
      <c r="H22" s="399"/>
      <c r="I22" s="1900" t="s">
        <v>3419</v>
      </c>
      <c r="J22" s="399"/>
      <c r="K22" s="1129"/>
      <c r="L22" s="2721"/>
      <c r="M22" s="2715"/>
      <c r="N22" s="2715"/>
      <c r="O22" s="2715"/>
      <c r="P22" s="3706"/>
      <c r="Q22" s="1351"/>
      <c r="R22" s="704"/>
      <c r="S22" s="705"/>
      <c r="T22" s="704"/>
      <c r="U22" s="705"/>
      <c r="V22" s="704"/>
      <c r="W22" s="705"/>
      <c r="X22" s="1354"/>
      <c r="Y22" s="3699"/>
      <c r="Z22" s="1355"/>
      <c r="AA22" s="1352">
        <v>1</v>
      </c>
      <c r="AB22" s="1352">
        <v>1</v>
      </c>
      <c r="AC22" s="1352">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706"/>
      <c r="Q23" s="1351" t="str">
        <f>B23</f>
        <v>自然及人文环境</v>
      </c>
      <c r="R23" s="704" t="s">
        <v>14</v>
      </c>
      <c r="S23" s="705">
        <f>F23</f>
        <v>100</v>
      </c>
      <c r="T23" s="704" t="s">
        <v>14</v>
      </c>
      <c r="U23" s="705">
        <f>H23</f>
        <v>100</v>
      </c>
      <c r="V23" s="704" t="s">
        <v>14</v>
      </c>
      <c r="W23" s="705">
        <f>J23</f>
        <v>100</v>
      </c>
      <c r="X23" s="1354"/>
      <c r="Y23" s="3699"/>
      <c r="Z23" s="1355" t="str">
        <f>Q23</f>
        <v>自然及人文环境</v>
      </c>
      <c r="AA23" s="1352">
        <f t="shared" si="3"/>
        <v>1</v>
      </c>
      <c r="AB23" s="1352">
        <f t="shared" si="4"/>
        <v>1</v>
      </c>
      <c r="AC23" s="1352">
        <f t="shared" si="5"/>
        <v>1</v>
      </c>
    </row>
    <row r="24" spans="1:29" ht="15">
      <c r="A24" s="379"/>
      <c r="B24" s="407"/>
      <c r="C24" s="398" t="s">
        <v>3405</v>
      </c>
      <c r="D24" s="399"/>
      <c r="E24" s="398" t="s">
        <v>3405</v>
      </c>
      <c r="F24" s="400"/>
      <c r="G24" s="398" t="s">
        <v>3405</v>
      </c>
      <c r="H24" s="399"/>
      <c r="I24" s="398" t="s">
        <v>3405</v>
      </c>
      <c r="J24" s="399"/>
      <c r="K24" s="564"/>
      <c r="L24" s="2721"/>
      <c r="M24" s="2715"/>
      <c r="N24" s="2715"/>
      <c r="O24" s="2715"/>
      <c r="P24" s="3706"/>
      <c r="Q24" s="1351"/>
      <c r="R24" s="704"/>
      <c r="S24" s="705"/>
      <c r="T24" s="704"/>
      <c r="U24" s="705"/>
      <c r="V24" s="704"/>
      <c r="W24" s="705"/>
      <c r="X24" s="1354"/>
      <c r="Y24" s="3699"/>
      <c r="Z24" s="1355"/>
      <c r="AA24" s="1352">
        <v>1</v>
      </c>
      <c r="AB24" s="1352">
        <v>1</v>
      </c>
      <c r="AC24" s="1352">
        <v>1</v>
      </c>
    </row>
    <row r="25" spans="1:29" ht="15">
      <c r="A25" s="379"/>
      <c r="B25" s="375" t="s">
        <v>1779</v>
      </c>
      <c r="C25" s="565" t="s">
        <v>3424</v>
      </c>
      <c r="D25" s="386">
        <v>100</v>
      </c>
      <c r="E25" s="565" t="s">
        <v>3425</v>
      </c>
      <c r="F25" s="412">
        <f>SUMIF(86:86,E25,87:87)-SUMIF(86:86,C25,87:87)+100</f>
        <v>102</v>
      </c>
      <c r="G25" s="565" t="s">
        <v>3425</v>
      </c>
      <c r="H25" s="386">
        <f>SUMIF(86:86,G25,87:87)-SUMIF(86:86,C25,87:87)+100</f>
        <v>102</v>
      </c>
      <c r="I25" s="565" t="s">
        <v>3425</v>
      </c>
      <c r="J25" s="386">
        <f>SUMIF(86:86,I25,87:87)-SUMIF(86:86,C25,87:87)+100</f>
        <v>102</v>
      </c>
      <c r="K25" s="561">
        <v>2</v>
      </c>
      <c r="L25" s="2721"/>
      <c r="M25" s="2715"/>
      <c r="N25" s="2715"/>
      <c r="O25" s="2715"/>
      <c r="P25" s="3706"/>
      <c r="Q25" s="1351" t="str">
        <f t="shared" ref="Q25:Q46" si="11">B25</f>
        <v>临街状况</v>
      </c>
      <c r="R25" s="704" t="s">
        <v>14</v>
      </c>
      <c r="S25" s="705">
        <f>F25</f>
        <v>102</v>
      </c>
      <c r="T25" s="704" t="s">
        <v>14</v>
      </c>
      <c r="U25" s="705">
        <f>H25</f>
        <v>102</v>
      </c>
      <c r="V25" s="704" t="s">
        <v>14</v>
      </c>
      <c r="W25" s="705">
        <f>J25</f>
        <v>102</v>
      </c>
      <c r="X25" s="1354"/>
      <c r="Y25" s="3699"/>
      <c r="Z25" s="1355" t="str">
        <f>Q25</f>
        <v>临街状况</v>
      </c>
      <c r="AA25" s="1352">
        <f t="shared" si="3"/>
        <v>0.98039215686274506</v>
      </c>
      <c r="AB25" s="1352">
        <f t="shared" si="4"/>
        <v>0.98039215686274506</v>
      </c>
      <c r="AC25" s="1352">
        <f t="shared" si="5"/>
        <v>0.98039215686274506</v>
      </c>
    </row>
    <row r="26" spans="1:29" ht="15" hidden="1">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6"/>
      <c r="Q26" s="1351" t="str">
        <f t="shared" si="11"/>
        <v>平面位置/可视性</v>
      </c>
      <c r="R26" s="704" t="s">
        <v>14</v>
      </c>
      <c r="S26" s="705">
        <f>F26</f>
        <v>100</v>
      </c>
      <c r="T26" s="704" t="s">
        <v>14</v>
      </c>
      <c r="U26" s="705">
        <f>H26</f>
        <v>100</v>
      </c>
      <c r="V26" s="704" t="s">
        <v>14</v>
      </c>
      <c r="W26" s="705">
        <f>J26</f>
        <v>100</v>
      </c>
      <c r="X26" s="1354"/>
      <c r="Y26" s="3699"/>
      <c r="Z26" s="1355" t="str">
        <f>Q26</f>
        <v>平面位置/可视性</v>
      </c>
      <c r="AA26" s="1352">
        <f t="shared" si="3"/>
        <v>1</v>
      </c>
      <c r="AB26" s="1352">
        <f t="shared" si="4"/>
        <v>1</v>
      </c>
      <c r="AC26" s="1352">
        <f t="shared" si="5"/>
        <v>1</v>
      </c>
    </row>
    <row r="27" spans="1:29" s="108" customFormat="1" ht="15">
      <c r="A27" s="382"/>
      <c r="B27" s="402" t="s">
        <v>1781</v>
      </c>
      <c r="C27" s="1955" t="s">
        <v>3426</v>
      </c>
      <c r="D27" s="413">
        <v>100</v>
      </c>
      <c r="E27" s="1955" t="s">
        <v>3414</v>
      </c>
      <c r="F27" s="415">
        <f>SUMIF(90:90,E27,91:91)-SUMIF(90:90,C27,91:91)+100</f>
        <v>97</v>
      </c>
      <c r="G27" s="1955" t="s">
        <v>3426</v>
      </c>
      <c r="H27" s="413">
        <f>SUMIF(90:90,G27,91:91)-SUMIF(90:90,C27,91:91)+100</f>
        <v>100</v>
      </c>
      <c r="I27" s="1955" t="s">
        <v>3414</v>
      </c>
      <c r="J27" s="413">
        <f>SUMIF(90:90,I27,91:91)-SUMIF(90:90,C27,91:91)+100</f>
        <v>97</v>
      </c>
      <c r="K27" s="561">
        <v>3</v>
      </c>
      <c r="L27" s="2716"/>
      <c r="M27" s="2717"/>
      <c r="N27" s="2717"/>
      <c r="O27" s="2717"/>
      <c r="P27" s="3706"/>
      <c r="Q27" s="1342" t="str">
        <f t="shared" si="11"/>
        <v>人流量</v>
      </c>
      <c r="R27" s="700" t="s">
        <v>14</v>
      </c>
      <c r="S27" s="701">
        <f>F27</f>
        <v>97</v>
      </c>
      <c r="T27" s="700" t="s">
        <v>14</v>
      </c>
      <c r="U27" s="701">
        <f>H27</f>
        <v>100</v>
      </c>
      <c r="V27" s="700" t="s">
        <v>14</v>
      </c>
      <c r="W27" s="701">
        <f>J27</f>
        <v>97</v>
      </c>
      <c r="X27" s="702"/>
      <c r="Y27" s="3699"/>
      <c r="Z27" s="52" t="str">
        <f>Q27</f>
        <v>人流量</v>
      </c>
      <c r="AA27" s="1352">
        <f>D27/F27</f>
        <v>1.0309278350515463</v>
      </c>
      <c r="AB27" s="1352">
        <f>D27/H27</f>
        <v>1</v>
      </c>
      <c r="AC27" s="1352">
        <f>D27/J27</f>
        <v>1.0309278350515463</v>
      </c>
    </row>
    <row r="28" spans="1:29" ht="15.75" thickBot="1">
      <c r="A28" s="379"/>
      <c r="B28" s="375" t="s">
        <v>1782</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1"/>
      <c r="M28" s="2715"/>
      <c r="N28" s="2715"/>
      <c r="O28" s="2715"/>
      <c r="P28" s="370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9"/>
      <c r="Z28" s="1355" t="str">
        <f t="shared" ref="Z28:Z46" si="15">Q28</f>
        <v>楼层</v>
      </c>
      <c r="AA28" s="1352">
        <f t="shared" si="3"/>
        <v>1</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6"/>
      <c r="Q29" s="1351">
        <f t="shared" si="11"/>
        <v>111</v>
      </c>
      <c r="R29" s="704" t="s">
        <v>14</v>
      </c>
      <c r="S29" s="705">
        <f t="shared" si="12"/>
        <v>100</v>
      </c>
      <c r="T29" s="704" t="s">
        <v>14</v>
      </c>
      <c r="U29" s="705">
        <f t="shared" si="13"/>
        <v>100</v>
      </c>
      <c r="V29" s="704" t="s">
        <v>14</v>
      </c>
      <c r="W29" s="705">
        <f t="shared" si="14"/>
        <v>100</v>
      </c>
      <c r="X29" s="1354"/>
      <c r="Y29" s="3699"/>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6"/>
      <c r="Q30" s="1351">
        <f t="shared" si="11"/>
        <v>111</v>
      </c>
      <c r="R30" s="704" t="s">
        <v>14</v>
      </c>
      <c r="S30" s="705">
        <f t="shared" si="12"/>
        <v>100</v>
      </c>
      <c r="T30" s="704" t="s">
        <v>14</v>
      </c>
      <c r="U30" s="705">
        <f t="shared" si="13"/>
        <v>100</v>
      </c>
      <c r="V30" s="704" t="s">
        <v>14</v>
      </c>
      <c r="W30" s="705">
        <f t="shared" si="14"/>
        <v>100</v>
      </c>
      <c r="X30" s="1354"/>
      <c r="Y30" s="3699"/>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6"/>
      <c r="Q31" s="1351">
        <f t="shared" si="11"/>
        <v>111</v>
      </c>
      <c r="R31" s="704" t="s">
        <v>14</v>
      </c>
      <c r="S31" s="705">
        <f t="shared" si="12"/>
        <v>100</v>
      </c>
      <c r="T31" s="704" t="s">
        <v>14</v>
      </c>
      <c r="U31" s="705">
        <f t="shared" si="13"/>
        <v>100</v>
      </c>
      <c r="V31" s="704" t="s">
        <v>14</v>
      </c>
      <c r="W31" s="705">
        <f t="shared" si="14"/>
        <v>100</v>
      </c>
      <c r="X31" s="1354"/>
      <c r="Y31" s="3699"/>
      <c r="Z31" s="1355">
        <f t="shared" si="15"/>
        <v>111</v>
      </c>
      <c r="AA31" s="1352">
        <f t="shared" si="3"/>
        <v>1</v>
      </c>
      <c r="AB31" s="1352">
        <f t="shared" si="4"/>
        <v>1</v>
      </c>
      <c r="AC31" s="1352">
        <f t="shared" si="5"/>
        <v>1</v>
      </c>
    </row>
    <row r="32" spans="1:29" ht="15">
      <c r="A32" s="391" t="s">
        <v>1693</v>
      </c>
      <c r="B32" s="63" t="s">
        <v>1783</v>
      </c>
      <c r="C32" s="1909" t="s">
        <v>3388</v>
      </c>
      <c r="D32" s="418">
        <v>100</v>
      </c>
      <c r="E32" s="1909" t="s">
        <v>3399</v>
      </c>
      <c r="F32" s="412">
        <f>SUMIF(100:100,E32,101:101)-SUMIF(100:100,C32,101:101)+100</f>
        <v>95</v>
      </c>
      <c r="G32" s="1909" t="s">
        <v>3388</v>
      </c>
      <c r="H32" s="386">
        <f>SUMIF(100:100,G32,101:101)-SUMIF(100:100,C32,101:101)+100</f>
        <v>100</v>
      </c>
      <c r="I32" s="1909" t="s">
        <v>3399</v>
      </c>
      <c r="J32" s="418">
        <f>SUMIF(100:100,I32,101:101)-SUMIF(100:100,C32,101:101)+100</f>
        <v>95</v>
      </c>
      <c r="K32" s="561">
        <v>5</v>
      </c>
      <c r="L32" s="2721"/>
      <c r="M32" s="2715"/>
      <c r="N32" s="2715"/>
      <c r="O32" s="2715"/>
      <c r="P32" s="3700" t="s">
        <v>1695</v>
      </c>
      <c r="Q32" s="1351" t="str">
        <f t="shared" si="11"/>
        <v>商业类型</v>
      </c>
      <c r="R32" s="704" t="s">
        <v>14</v>
      </c>
      <c r="S32" s="705">
        <f t="shared" si="12"/>
        <v>95</v>
      </c>
      <c r="T32" s="704" t="s">
        <v>14</v>
      </c>
      <c r="U32" s="705">
        <f t="shared" si="13"/>
        <v>100</v>
      </c>
      <c r="V32" s="704" t="s">
        <v>14</v>
      </c>
      <c r="W32" s="705">
        <f t="shared" si="14"/>
        <v>95</v>
      </c>
      <c r="X32" s="1354"/>
      <c r="Y32" s="3703" t="s">
        <v>1695</v>
      </c>
      <c r="Z32" s="1355" t="str">
        <f t="shared" si="15"/>
        <v>商业类型</v>
      </c>
      <c r="AA32" s="1352">
        <f t="shared" si="3"/>
        <v>1.0526315789473684</v>
      </c>
      <c r="AB32" s="1352">
        <f t="shared" si="4"/>
        <v>1</v>
      </c>
      <c r="AC32" s="1352">
        <f t="shared" si="5"/>
        <v>1.0526315789473684</v>
      </c>
    </row>
    <row r="33" spans="1:29" s="422" customFormat="1" ht="15">
      <c r="A33" s="419"/>
      <c r="B33" s="375" t="s">
        <v>1696</v>
      </c>
      <c r="C33" s="420">
        <f>D3</f>
        <v>117.86</v>
      </c>
      <c r="D33" s="127">
        <v>100</v>
      </c>
      <c r="E33" s="381">
        <v>62</v>
      </c>
      <c r="F33" s="376">
        <f>LOOKUP(E33,103:103,104:104)-LOOKUP(C33,103:103,104:104)+100</f>
        <v>101</v>
      </c>
      <c r="G33" s="380">
        <v>101</v>
      </c>
      <c r="H33" s="127">
        <f>LOOKUP(G33,103:103,104:104)-LOOKUP(C33,103:103,104:104)+100</f>
        <v>100</v>
      </c>
      <c r="I33" s="380">
        <v>200</v>
      </c>
      <c r="J33" s="127">
        <f>LOOKUP(I33,103:103,104:104)-LOOKUP(C33,103:103,104:104)+100</f>
        <v>98</v>
      </c>
      <c r="K33" s="562"/>
      <c r="L33" s="2720"/>
      <c r="M33" s="2722"/>
      <c r="N33" s="2722"/>
      <c r="O33" s="2722"/>
      <c r="P33" s="3701"/>
      <c r="Q33" s="706" t="str">
        <f t="shared" si="11"/>
        <v>项目建筑规模</v>
      </c>
      <c r="R33" s="707" t="s">
        <v>14</v>
      </c>
      <c r="S33" s="708">
        <f t="shared" si="12"/>
        <v>101</v>
      </c>
      <c r="T33" s="707" t="s">
        <v>14</v>
      </c>
      <c r="U33" s="708">
        <f t="shared" si="13"/>
        <v>100</v>
      </c>
      <c r="V33" s="707" t="s">
        <v>14</v>
      </c>
      <c r="W33" s="708">
        <f t="shared" si="14"/>
        <v>98</v>
      </c>
      <c r="X33" s="709"/>
      <c r="Y33" s="3703"/>
      <c r="Z33" s="710" t="str">
        <f t="shared" si="15"/>
        <v>项目建筑规模</v>
      </c>
      <c r="AA33" s="1352">
        <f t="shared" si="3"/>
        <v>0.99009900990099009</v>
      </c>
      <c r="AB33" s="1352">
        <f t="shared" si="4"/>
        <v>1</v>
      </c>
      <c r="AC33" s="1352">
        <f t="shared" si="5"/>
        <v>1.0204081632653061</v>
      </c>
    </row>
    <row r="34" spans="1:29" ht="15">
      <c r="A34" s="423"/>
      <c r="B34" s="375" t="s">
        <v>1697</v>
      </c>
      <c r="C34" s="1911" t="s">
        <v>3408</v>
      </c>
      <c r="D34" s="386">
        <v>100</v>
      </c>
      <c r="E34" s="1911" t="s">
        <v>3408</v>
      </c>
      <c r="F34" s="412">
        <f>SUMIF(105:105,E34,106:106)-SUMIF(105:105,C34,106:106)+100</f>
        <v>100</v>
      </c>
      <c r="G34" s="1911" t="s">
        <v>3408</v>
      </c>
      <c r="H34" s="386">
        <f>SUMIF(105:105,G34,106:106)-SUMIF(105:105,C34,106:106)+100</f>
        <v>100</v>
      </c>
      <c r="I34" s="1911" t="s">
        <v>3408</v>
      </c>
      <c r="J34" s="386">
        <f>SUMIF(105:105,I34,106:106)-SUMIF(105:105,C34,106:106)+100</f>
        <v>100</v>
      </c>
      <c r="K34" s="561">
        <v>2</v>
      </c>
      <c r="L34" s="2721"/>
      <c r="M34" s="2715"/>
      <c r="N34" s="2715"/>
      <c r="O34" s="2715"/>
      <c r="P34" s="3701"/>
      <c r="Q34" s="1351" t="str">
        <f t="shared" si="11"/>
        <v>建筑结构</v>
      </c>
      <c r="R34" s="704" t="s">
        <v>14</v>
      </c>
      <c r="S34" s="705">
        <f t="shared" si="12"/>
        <v>100</v>
      </c>
      <c r="T34" s="704" t="s">
        <v>14</v>
      </c>
      <c r="U34" s="705">
        <f t="shared" si="13"/>
        <v>100</v>
      </c>
      <c r="V34" s="704" t="s">
        <v>14</v>
      </c>
      <c r="W34" s="705">
        <f t="shared" si="14"/>
        <v>100</v>
      </c>
      <c r="X34" s="1354"/>
      <c r="Y34" s="3703"/>
      <c r="Z34" s="1355" t="str">
        <f t="shared" si="15"/>
        <v>建筑结构</v>
      </c>
      <c r="AA34" s="1352">
        <f t="shared" si="3"/>
        <v>1</v>
      </c>
      <c r="AB34" s="1352">
        <f t="shared" si="4"/>
        <v>1</v>
      </c>
      <c r="AC34" s="1352">
        <f t="shared" si="5"/>
        <v>1</v>
      </c>
    </row>
    <row r="35" spans="1:29" ht="15">
      <c r="A35" s="423"/>
      <c r="B35" s="375" t="s">
        <v>1784</v>
      </c>
      <c r="C35" s="1905" t="s">
        <v>3401</v>
      </c>
      <c r="D35" s="386">
        <v>100</v>
      </c>
      <c r="E35" s="1905" t="s">
        <v>3401</v>
      </c>
      <c r="F35" s="412">
        <f>SUMIF(107:107,E35,108:108)-SUMIF(107:107,C35,108:108)+100</f>
        <v>100</v>
      </c>
      <c r="G35" s="1905" t="s">
        <v>3401</v>
      </c>
      <c r="H35" s="386">
        <f>SUMIF(107:107,G35,108:108)-SUMIF(107:107,C35,108:108)+100</f>
        <v>100</v>
      </c>
      <c r="I35" s="1905" t="s">
        <v>3401</v>
      </c>
      <c r="J35" s="386">
        <f>SUMIF(107:107,I35,108:108)-SUMIF(107:107,C35,108:108)+100</f>
        <v>100</v>
      </c>
      <c r="K35" s="561">
        <v>2</v>
      </c>
      <c r="L35" s="2721"/>
      <c r="M35" s="2715"/>
      <c r="N35" s="2715"/>
      <c r="O35" s="2715"/>
      <c r="P35" s="3701"/>
      <c r="Q35" s="1351" t="str">
        <f t="shared" si="11"/>
        <v>公共部分装修</v>
      </c>
      <c r="R35" s="704" t="s">
        <v>14</v>
      </c>
      <c r="S35" s="705">
        <f t="shared" si="12"/>
        <v>100</v>
      </c>
      <c r="T35" s="704" t="s">
        <v>14</v>
      </c>
      <c r="U35" s="705">
        <f t="shared" si="13"/>
        <v>100</v>
      </c>
      <c r="V35" s="704" t="s">
        <v>14</v>
      </c>
      <c r="W35" s="705">
        <f t="shared" si="14"/>
        <v>100</v>
      </c>
      <c r="X35" s="1354"/>
      <c r="Y35" s="3703"/>
      <c r="Z35" s="1355" t="str">
        <f t="shared" si="15"/>
        <v>公共部分装修</v>
      </c>
      <c r="AA35" s="1352">
        <f t="shared" si="3"/>
        <v>1</v>
      </c>
      <c r="AB35" s="1352">
        <f t="shared" si="4"/>
        <v>1</v>
      </c>
      <c r="AC35" s="1352">
        <f t="shared" si="5"/>
        <v>1</v>
      </c>
    </row>
    <row r="36" spans="1:29" ht="15">
      <c r="A36" s="423"/>
      <c r="B36" s="375" t="s">
        <v>1785</v>
      </c>
      <c r="C36" s="425">
        <f>'数据-取费表'!N6</f>
        <v>0.79</v>
      </c>
      <c r="D36" s="386">
        <v>100</v>
      </c>
      <c r="E36" s="425">
        <v>0.78</v>
      </c>
      <c r="F36" s="412">
        <f>LOOKUP(E36,110:110,111:111)-LOOKUP(C36,110:110,111:111)+100</f>
        <v>100</v>
      </c>
      <c r="G36" s="425">
        <v>0.87</v>
      </c>
      <c r="H36" s="412">
        <f>LOOKUP(G36,110:110,111:111)-LOOKUP(C36,110:110,111:111)+100</f>
        <v>101</v>
      </c>
      <c r="I36" s="425">
        <v>0.75</v>
      </c>
      <c r="J36" s="386">
        <f>LOOKUP(I36,110:110,111:111)-LOOKUP(C36,110:110,111:111)+100</f>
        <v>100</v>
      </c>
      <c r="K36" s="561">
        <v>1</v>
      </c>
      <c r="L36" s="2721"/>
      <c r="M36" s="2715"/>
      <c r="N36" s="2715"/>
      <c r="O36" s="2715"/>
      <c r="P36" s="3701"/>
      <c r="Q36" s="1351" t="str">
        <f t="shared" si="11"/>
        <v>成新度</v>
      </c>
      <c r="R36" s="704" t="s">
        <v>14</v>
      </c>
      <c r="S36" s="705">
        <f t="shared" si="12"/>
        <v>100</v>
      </c>
      <c r="T36" s="704" t="s">
        <v>14</v>
      </c>
      <c r="U36" s="705">
        <f t="shared" si="13"/>
        <v>101</v>
      </c>
      <c r="V36" s="704" t="s">
        <v>14</v>
      </c>
      <c r="W36" s="705">
        <f t="shared" si="14"/>
        <v>100</v>
      </c>
      <c r="X36" s="1354"/>
      <c r="Y36" s="3703"/>
      <c r="Z36" s="1355" t="str">
        <f t="shared" si="15"/>
        <v>成新度</v>
      </c>
      <c r="AA36" s="1352">
        <f t="shared" si="3"/>
        <v>1</v>
      </c>
      <c r="AB36" s="1352">
        <f t="shared" si="4"/>
        <v>0.99009900990099009</v>
      </c>
      <c r="AC36" s="1352">
        <f t="shared" si="5"/>
        <v>1</v>
      </c>
    </row>
    <row r="37" spans="1:29" s="108" customFormat="1" ht="13.5" hidden="1" customHeight="1">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1"/>
      <c r="Q37" s="1342" t="str">
        <f t="shared" si="11"/>
        <v>市政基础设施</v>
      </c>
      <c r="R37" s="700" t="s">
        <v>14</v>
      </c>
      <c r="S37" s="701">
        <f t="shared" si="12"/>
        <v>100</v>
      </c>
      <c r="T37" s="700" t="s">
        <v>14</v>
      </c>
      <c r="U37" s="701">
        <f t="shared" si="13"/>
        <v>100</v>
      </c>
      <c r="V37" s="700" t="s">
        <v>14</v>
      </c>
      <c r="W37" s="701">
        <f t="shared" si="14"/>
        <v>100</v>
      </c>
      <c r="X37" s="702"/>
      <c r="Y37" s="3703"/>
      <c r="Z37" s="52" t="str">
        <f t="shared" si="15"/>
        <v>市政基础设施</v>
      </c>
      <c r="AA37" s="703">
        <f t="shared" si="3"/>
        <v>1</v>
      </c>
      <c r="AB37" s="703">
        <f t="shared" si="4"/>
        <v>1</v>
      </c>
      <c r="AC37" s="703">
        <f t="shared" si="5"/>
        <v>1</v>
      </c>
    </row>
    <row r="38" spans="1:29" ht="15">
      <c r="A38" s="423"/>
      <c r="B38" s="375" t="s">
        <v>1787</v>
      </c>
      <c r="C38" s="1905" t="s">
        <v>3402</v>
      </c>
      <c r="D38" s="386">
        <v>100</v>
      </c>
      <c r="E38" s="1905" t="s">
        <v>3403</v>
      </c>
      <c r="F38" s="412">
        <f>SUMIF(114:114,E38,115:115)-SUMIF(114:114,C38,115:115)+100</f>
        <v>90</v>
      </c>
      <c r="G38" s="1905" t="s">
        <v>3402</v>
      </c>
      <c r="H38" s="386">
        <f>SUMIF(114:114,G38,115:115)-SUMIF(114:114,C38,115:115)+100</f>
        <v>100</v>
      </c>
      <c r="I38" s="1905" t="s">
        <v>3403</v>
      </c>
      <c r="J38" s="386">
        <f>SUMIF(114:114,I38,115:115)-SUMIF(114:114,C38,115:115)+100</f>
        <v>90</v>
      </c>
      <c r="K38" s="561">
        <v>10</v>
      </c>
      <c r="L38" s="2721"/>
      <c r="M38" s="2715"/>
      <c r="N38" s="2715"/>
      <c r="O38" s="2715"/>
      <c r="P38" s="3701" t="s">
        <v>1695</v>
      </c>
      <c r="Q38" s="1351" t="str">
        <f t="shared" si="11"/>
        <v>业态</v>
      </c>
      <c r="R38" s="704" t="s">
        <v>14</v>
      </c>
      <c r="S38" s="705">
        <f t="shared" si="12"/>
        <v>90</v>
      </c>
      <c r="T38" s="704" t="s">
        <v>14</v>
      </c>
      <c r="U38" s="705">
        <f t="shared" si="13"/>
        <v>100</v>
      </c>
      <c r="V38" s="704" t="s">
        <v>14</v>
      </c>
      <c r="W38" s="705">
        <f t="shared" si="14"/>
        <v>90</v>
      </c>
      <c r="X38" s="1354"/>
      <c r="Y38" s="3703" t="s">
        <v>1695</v>
      </c>
      <c r="Z38" s="1355" t="str">
        <f t="shared" si="15"/>
        <v>业态</v>
      </c>
      <c r="AA38" s="1352">
        <f t="shared" si="3"/>
        <v>1.1111111111111112</v>
      </c>
      <c r="AB38" s="1352">
        <f t="shared" si="4"/>
        <v>1</v>
      </c>
      <c r="AC38" s="1352">
        <f t="shared" si="5"/>
        <v>1.1111111111111112</v>
      </c>
    </row>
    <row r="39" spans="1:29" ht="15">
      <c r="A39" s="423"/>
      <c r="B39" s="375" t="s">
        <v>1788</v>
      </c>
      <c r="C39" s="1905" t="s">
        <v>3406</v>
      </c>
      <c r="D39" s="386">
        <v>100</v>
      </c>
      <c r="E39" s="1905" t="s">
        <v>3406</v>
      </c>
      <c r="F39" s="412">
        <f>SUMIF(116:116,E39,117:117)-SUMIF(116:116,C39,117:117)+100</f>
        <v>100</v>
      </c>
      <c r="G39" s="1905" t="s">
        <v>3406</v>
      </c>
      <c r="H39" s="386">
        <f>SUMIF(116:116,G39,117:117)-SUMIF(116:116,C39,117:117)+100</f>
        <v>100</v>
      </c>
      <c r="I39" s="1905" t="s">
        <v>3406</v>
      </c>
      <c r="J39" s="386">
        <f>SUMIF(116:116,I39,117:117)-SUMIF(116:116,C39,117:117)+100</f>
        <v>100</v>
      </c>
      <c r="K39" s="561">
        <v>2</v>
      </c>
      <c r="L39" s="2721"/>
      <c r="M39" s="2715"/>
      <c r="N39" s="2715"/>
      <c r="O39" s="2715"/>
      <c r="P39" s="3701"/>
      <c r="Q39" s="1351" t="str">
        <f t="shared" si="11"/>
        <v>层高</v>
      </c>
      <c r="R39" s="704" t="s">
        <v>14</v>
      </c>
      <c r="S39" s="705">
        <f t="shared" si="12"/>
        <v>100</v>
      </c>
      <c r="T39" s="704" t="s">
        <v>14</v>
      </c>
      <c r="U39" s="705">
        <f t="shared" si="13"/>
        <v>100</v>
      </c>
      <c r="V39" s="704" t="s">
        <v>14</v>
      </c>
      <c r="W39" s="705">
        <f t="shared" si="14"/>
        <v>100</v>
      </c>
      <c r="X39" s="1354"/>
      <c r="Y39" s="3703"/>
      <c r="Z39" s="1355" t="str">
        <f t="shared" si="15"/>
        <v>层高</v>
      </c>
      <c r="AA39" s="1352">
        <f t="shared" si="3"/>
        <v>1</v>
      </c>
      <c r="AB39" s="1352">
        <f t="shared" si="4"/>
        <v>1</v>
      </c>
      <c r="AC39" s="1352">
        <f t="shared" si="5"/>
        <v>1</v>
      </c>
    </row>
    <row r="40" spans="1:29" ht="15" hidden="1">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1" t="str">
        <f t="shared" si="11"/>
        <v>单套建筑面积</v>
      </c>
      <c r="R40" s="704" t="s">
        <v>14</v>
      </c>
      <c r="S40" s="705">
        <f t="shared" si="12"/>
        <v>100</v>
      </c>
      <c r="T40" s="704" t="s">
        <v>14</v>
      </c>
      <c r="U40" s="705">
        <f t="shared" si="13"/>
        <v>100</v>
      </c>
      <c r="V40" s="704" t="s">
        <v>14</v>
      </c>
      <c r="W40" s="705">
        <f t="shared" si="14"/>
        <v>100</v>
      </c>
      <c r="X40" s="1354"/>
      <c r="Y40" s="3703"/>
      <c r="Z40" s="1355" t="str">
        <f t="shared" si="15"/>
        <v>单套建筑面积</v>
      </c>
      <c r="AA40" s="1352">
        <f t="shared" si="3"/>
        <v>1</v>
      </c>
      <c r="AB40" s="1352">
        <f t="shared" si="4"/>
        <v>1</v>
      </c>
      <c r="AC40" s="1352">
        <f t="shared" si="5"/>
        <v>1</v>
      </c>
    </row>
    <row r="41" spans="1:29" s="422" customFormat="1" ht="15" hidden="1">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6" t="str">
        <f t="shared" si="11"/>
        <v>进深比</v>
      </c>
      <c r="R41" s="707" t="s">
        <v>14</v>
      </c>
      <c r="S41" s="708">
        <f t="shared" si="12"/>
        <v>100</v>
      </c>
      <c r="T41" s="707" t="s">
        <v>14</v>
      </c>
      <c r="U41" s="708">
        <f t="shared" si="13"/>
        <v>100</v>
      </c>
      <c r="V41" s="707" t="s">
        <v>14</v>
      </c>
      <c r="W41" s="708">
        <f t="shared" si="14"/>
        <v>100</v>
      </c>
      <c r="X41" s="709"/>
      <c r="Y41" s="3703"/>
      <c r="Z41" s="710" t="str">
        <f t="shared" si="15"/>
        <v>进深比</v>
      </c>
      <c r="AA41" s="1352">
        <f t="shared" si="3"/>
        <v>1</v>
      </c>
      <c r="AB41" s="1352">
        <f t="shared" si="4"/>
        <v>1</v>
      </c>
      <c r="AC41" s="1352">
        <f t="shared" si="5"/>
        <v>1</v>
      </c>
    </row>
    <row r="42" spans="1:29" ht="15">
      <c r="A42" s="423"/>
      <c r="B42" s="375" t="s">
        <v>1791</v>
      </c>
      <c r="C42" s="1905" t="s">
        <v>3401</v>
      </c>
      <c r="D42" s="386">
        <v>100</v>
      </c>
      <c r="E42" s="1905" t="s">
        <v>3401</v>
      </c>
      <c r="F42" s="412">
        <f>SUMIF(122:122,E42,123:123)-SUMIF(122:122,C42,123:123)+100</f>
        <v>100</v>
      </c>
      <c r="G42" s="1905" t="s">
        <v>3401</v>
      </c>
      <c r="H42" s="386">
        <f>SUMIF(122:122,G42,123:123)-SUMIF(122:122,C42,123:123)+100</f>
        <v>100</v>
      </c>
      <c r="I42" s="1905" t="s">
        <v>3401</v>
      </c>
      <c r="J42" s="386">
        <f>SUMIF(122:122,I42,123:123)-SUMIF(122:122,C42,123:123)+100</f>
        <v>100</v>
      </c>
      <c r="K42" s="561">
        <v>2</v>
      </c>
      <c r="L42" s="2721"/>
      <c r="M42" s="2715"/>
      <c r="N42" s="2715"/>
      <c r="O42" s="2715"/>
      <c r="P42" s="3701"/>
      <c r="Q42" s="1351" t="str">
        <f t="shared" si="11"/>
        <v>内部装修</v>
      </c>
      <c r="R42" s="704" t="s">
        <v>14</v>
      </c>
      <c r="S42" s="705">
        <f t="shared" si="12"/>
        <v>100</v>
      </c>
      <c r="T42" s="704" t="s">
        <v>14</v>
      </c>
      <c r="U42" s="705">
        <f t="shared" si="13"/>
        <v>100</v>
      </c>
      <c r="V42" s="704" t="s">
        <v>14</v>
      </c>
      <c r="W42" s="705">
        <f t="shared" si="14"/>
        <v>100</v>
      </c>
      <c r="X42" s="1354"/>
      <c r="Y42" s="3703"/>
      <c r="Z42" s="1355" t="str">
        <f t="shared" si="15"/>
        <v>内部装修</v>
      </c>
      <c r="AA42" s="1352">
        <f t="shared" si="3"/>
        <v>1</v>
      </c>
      <c r="AB42" s="1352">
        <f t="shared" si="4"/>
        <v>1</v>
      </c>
      <c r="AC42" s="1352">
        <f t="shared" si="5"/>
        <v>1</v>
      </c>
    </row>
    <row r="43" spans="1:29" ht="15.75" thickBot="1">
      <c r="A43" s="423"/>
      <c r="B43" s="375" t="s">
        <v>1706</v>
      </c>
      <c r="C43" s="1905" t="s">
        <v>3405</v>
      </c>
      <c r="D43" s="386">
        <v>100</v>
      </c>
      <c r="E43" s="1905" t="s">
        <v>3405</v>
      </c>
      <c r="F43" s="412">
        <f>SUMIF(124:124,E43,125:125)-SUMIF(124:124,C43,125:125)+100</f>
        <v>100</v>
      </c>
      <c r="G43" s="1905" t="s">
        <v>3405</v>
      </c>
      <c r="H43" s="386">
        <f>SUMIF(124:124,G43,125:125)-SUMIF(124:124,C43,125:125)+100</f>
        <v>100</v>
      </c>
      <c r="I43" s="1905" t="s">
        <v>3405</v>
      </c>
      <c r="J43" s="386">
        <f>SUMIF(124:124,I43,125:125)-SUMIF(124:124,C43,125:125)+100</f>
        <v>100</v>
      </c>
      <c r="K43" s="561">
        <v>2</v>
      </c>
      <c r="L43" s="2721"/>
      <c r="M43" s="2715"/>
      <c r="N43" s="2715"/>
      <c r="O43" s="2715"/>
      <c r="P43" s="3701"/>
      <c r="Q43" s="1351" t="str">
        <f t="shared" si="11"/>
        <v>内部装修维护情况</v>
      </c>
      <c r="R43" s="704" t="s">
        <v>14</v>
      </c>
      <c r="S43" s="705">
        <f t="shared" si="12"/>
        <v>100</v>
      </c>
      <c r="T43" s="704" t="s">
        <v>14</v>
      </c>
      <c r="U43" s="705">
        <f t="shared" si="13"/>
        <v>100</v>
      </c>
      <c r="V43" s="704" t="s">
        <v>14</v>
      </c>
      <c r="W43" s="705">
        <f t="shared" si="14"/>
        <v>100</v>
      </c>
      <c r="X43" s="1354"/>
      <c r="Y43" s="3703"/>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2">
        <f t="shared" si="11"/>
        <v>111</v>
      </c>
      <c r="R44" s="700" t="s">
        <v>14</v>
      </c>
      <c r="S44" s="701">
        <f t="shared" si="12"/>
        <v>100</v>
      </c>
      <c r="T44" s="700" t="s">
        <v>14</v>
      </c>
      <c r="U44" s="701">
        <f t="shared" si="13"/>
        <v>100</v>
      </c>
      <c r="V44" s="700" t="s">
        <v>14</v>
      </c>
      <c r="W44" s="701">
        <f t="shared" si="14"/>
        <v>100</v>
      </c>
      <c r="X44" s="702"/>
      <c r="Y44" s="3703"/>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1">
        <f t="shared" si="11"/>
        <v>111</v>
      </c>
      <c r="R45" s="704" t="s">
        <v>14</v>
      </c>
      <c r="S45" s="705">
        <f t="shared" si="12"/>
        <v>100</v>
      </c>
      <c r="T45" s="704" t="s">
        <v>14</v>
      </c>
      <c r="U45" s="705">
        <f t="shared" si="13"/>
        <v>100</v>
      </c>
      <c r="V45" s="704" t="s">
        <v>14</v>
      </c>
      <c r="W45" s="705">
        <f t="shared" si="14"/>
        <v>100</v>
      </c>
      <c r="X45" s="1354"/>
      <c r="Y45" s="3703"/>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1">
        <f t="shared" si="11"/>
        <v>111</v>
      </c>
      <c r="R46" s="704" t="s">
        <v>14</v>
      </c>
      <c r="S46" s="705">
        <f t="shared" si="12"/>
        <v>100</v>
      </c>
      <c r="T46" s="704" t="s">
        <v>14</v>
      </c>
      <c r="U46" s="705">
        <f t="shared" si="13"/>
        <v>100</v>
      </c>
      <c r="V46" s="704" t="s">
        <v>14</v>
      </c>
      <c r="W46" s="705">
        <f t="shared" si="14"/>
        <v>100</v>
      </c>
      <c r="X46" s="1354"/>
      <c r="Y46" s="3704"/>
      <c r="Z46" s="1355">
        <f t="shared" si="15"/>
        <v>111</v>
      </c>
      <c r="AA46" s="1352">
        <f t="shared" si="3"/>
        <v>1</v>
      </c>
      <c r="AB46" s="1352">
        <f t="shared" si="4"/>
        <v>1</v>
      </c>
      <c r="AC46" s="1352">
        <f t="shared" si="5"/>
        <v>1</v>
      </c>
    </row>
    <row r="47" spans="1:29" ht="15">
      <c r="A47" s="430" t="s">
        <v>1707</v>
      </c>
      <c r="B47" s="431"/>
      <c r="C47" s="1153" t="s">
        <v>0</v>
      </c>
      <c r="D47" s="1154"/>
      <c r="E47" s="1155">
        <v>19000</v>
      </c>
      <c r="F47" s="1156"/>
      <c r="G47" s="1157">
        <v>20000</v>
      </c>
      <c r="H47" s="1158"/>
      <c r="I47" s="1155">
        <v>15000</v>
      </c>
      <c r="J47" s="1158"/>
      <c r="K47" s="713"/>
      <c r="L47" s="2723"/>
      <c r="M47" s="2724"/>
      <c r="N47" s="2715"/>
      <c r="O47" s="2724"/>
      <c r="P47" s="3696" t="str">
        <f>A47</f>
        <v>成交单价（元/平方米）</v>
      </c>
      <c r="Q47" s="3696"/>
      <c r="R47" s="3691">
        <f>E47</f>
        <v>19000</v>
      </c>
      <c r="S47" s="3691"/>
      <c r="T47" s="3691">
        <f>G47</f>
        <v>20000</v>
      </c>
      <c r="U47" s="3691"/>
      <c r="V47" s="3691">
        <f>I47</f>
        <v>15000</v>
      </c>
      <c r="W47" s="3691"/>
      <c r="X47" s="689"/>
      <c r="Y47" s="711"/>
      <c r="Z47" s="689"/>
      <c r="AA47" s="689"/>
      <c r="AB47" s="689"/>
      <c r="AC47" s="689"/>
    </row>
    <row r="48" spans="1:29" ht="15.75" thickBot="1">
      <c r="A48" s="437" t="s">
        <v>1792</v>
      </c>
      <c r="B48" s="438"/>
      <c r="C48" s="1159">
        <f>R49</f>
        <v>18967</v>
      </c>
      <c r="D48" s="2316" t="s">
        <v>2136</v>
      </c>
      <c r="E48" s="1160">
        <f>R48</f>
        <v>21179</v>
      </c>
      <c r="F48" s="2317"/>
      <c r="G48" s="1159">
        <f>T48</f>
        <v>18489</v>
      </c>
      <c r="H48" s="2317"/>
      <c r="I48" s="1160">
        <f>V48</f>
        <v>17232</v>
      </c>
      <c r="J48" s="2317"/>
      <c r="K48" s="2319">
        <f>F48+H48+J48</f>
        <v>0</v>
      </c>
      <c r="L48" s="2723"/>
      <c r="M48" s="2724"/>
      <c r="N48" s="2715"/>
      <c r="O48" s="2724"/>
      <c r="P48" s="3696" t="str">
        <f>A48</f>
        <v>比较价值（元/平方米）</v>
      </c>
      <c r="Q48" s="3696"/>
      <c r="R48" s="3697">
        <f>IF(F1="售价",ROUND(PRODUCT(R47,AA7:AA46),0),ROUND(PRODUCT(R47,AA7:AA46),1))</f>
        <v>21179</v>
      </c>
      <c r="S48" s="3697"/>
      <c r="T48" s="3697">
        <f>IF(F1="售价",ROUND(PRODUCT(T47,AB7:AB46),0),ROUND(PRODUCT(T47,AB7:AB46),1))</f>
        <v>18489</v>
      </c>
      <c r="U48" s="3697"/>
      <c r="V48" s="3697">
        <f>IF(F1="售价",ROUND(PRODUCT(V47,AC7:AC46),0),ROUND(PRODUCT(V47,AC7:AC46),1))</f>
        <v>17232</v>
      </c>
      <c r="W48" s="3697"/>
      <c r="X48" s="689"/>
      <c r="Y48" s="689"/>
      <c r="Z48" s="689"/>
      <c r="AA48" s="689"/>
      <c r="AB48" s="689"/>
      <c r="AC48" s="689"/>
    </row>
    <row r="49" spans="1:29" ht="15.75" thickBot="1">
      <c r="A49" s="441" t="s">
        <v>1793</v>
      </c>
      <c r="B49" s="442"/>
      <c r="C49" s="1162">
        <f>R49</f>
        <v>18967</v>
      </c>
      <c r="D49" s="1162"/>
      <c r="E49" s="1162"/>
      <c r="F49" s="1162"/>
      <c r="G49" s="1162"/>
      <c r="H49" s="1162"/>
      <c r="I49" s="1162"/>
      <c r="J49" s="1162"/>
      <c r="K49" s="714"/>
      <c r="L49" s="2723"/>
      <c r="M49" s="2724"/>
      <c r="N49" s="2715"/>
      <c r="O49" s="2724"/>
      <c r="P49" s="3693" t="str">
        <f>A49</f>
        <v>估价对象XX用房的比较价值（楼面单价，元/平方米）</v>
      </c>
      <c r="Q49" s="3694"/>
      <c r="R49" s="3695">
        <f>IF(F1="售价",ROUND(IF(D48="简单平均",AVERAGE(R48:V48),R48*F48+T48*H48+V48*J48),0),ROUND(IF(D48="简单平均",AVERAGE(R48:V48),R48*F48+T48*H48+V48*J48),1))</f>
        <v>18967</v>
      </c>
      <c r="S49" s="3695"/>
      <c r="T49" s="3695"/>
      <c r="U49" s="3695"/>
      <c r="V49" s="3695"/>
      <c r="W49" s="369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f>IF(E47&lt;E48,E48/E47-1,E47/E48-1)</f>
        <v>0.11468421052631572</v>
      </c>
      <c r="F52" s="449" t="str">
        <f>IF(OR(E52&gt;=0.3,E52&lt;=-0.3),"超过30%","")</f>
        <v/>
      </c>
      <c r="G52" s="448">
        <f>IF(G47&lt;G48,G48/G47-1,G47/G48-1)</f>
        <v>8.1724268483963414E-2</v>
      </c>
      <c r="H52" s="449" t="str">
        <f>IF(OR(G52&gt;=0.3,G52&lt;=-0.3),"超过30%","")</f>
        <v/>
      </c>
      <c r="I52" s="448">
        <f>IF(I47&lt;I48,I48/I47-1,I47/I48-1)</f>
        <v>0.14880000000000004</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f>IF(E48&lt;G48,G48/E48-1,E48/G48-1)</f>
        <v>0.14549191411109308</v>
      </c>
      <c r="F53" s="449" t="str">
        <f>IF(OR(E53&gt;=0.2,E53&lt;=-0.2),"超过20%","")</f>
        <v/>
      </c>
      <c r="G53" s="448">
        <f>IF(G48&lt;I48,I48/G48-1,G48/I48-1)</f>
        <v>7.2945682451253546E-2</v>
      </c>
      <c r="H53" s="449" t="str">
        <f>IF(OR(G53&gt;=0.2,G53&lt;=-0.2),"超过20%","")</f>
        <v/>
      </c>
      <c r="I53" s="448">
        <f>IF(I48&lt;E48,E48/I48-1,I48/E48-1)</f>
        <v>0.2290506035283193</v>
      </c>
      <c r="J53" s="449" t="str">
        <f>IF(OR(I53&gt;=0.2,I53&lt;=-0.2),"超过20%","")</f>
        <v>超过20%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f>IF(E47&lt;G47,G47/E47-1,E47/G47-1)</f>
        <v>5.2631578947368363E-2</v>
      </c>
      <c r="F54" s="449" t="str">
        <f>IF(OR(E54&gt;=0.3,E54&lt;=-0.3),"超过30%","")</f>
        <v/>
      </c>
      <c r="G54" s="448">
        <f>IF(G47&lt;I47,I47/G47-1,G47/I47-1)</f>
        <v>0.33333333333333326</v>
      </c>
      <c r="H54" s="449" t="str">
        <f>IF(OR(G54&gt;=0.3,G54&lt;=-0.3),"超过30%","")</f>
        <v>超过30%</v>
      </c>
      <c r="I54" s="448">
        <f>IF(I47&lt;E47,E47/I47-1,I47/E47-1)</f>
        <v>0.26666666666666661</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1797</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1678</v>
      </c>
      <c r="B58" s="455"/>
      <c r="C58" s="1183" t="str">
        <f>YEAR(C7)&amp;"-"&amp;MONTH(C7)</f>
        <v>2023-9</v>
      </c>
      <c r="D58" s="1184">
        <f>EDATE(C58,-1)</f>
        <v>45139</v>
      </c>
      <c r="E58" s="1184">
        <f t="shared" ref="E58:N58" si="16">EDATE(D58,-1)</f>
        <v>45108</v>
      </c>
      <c r="F58" s="1184">
        <f t="shared" si="16"/>
        <v>45078</v>
      </c>
      <c r="G58" s="1184">
        <f t="shared" si="16"/>
        <v>45047</v>
      </c>
      <c r="H58" s="1184">
        <f t="shared" si="16"/>
        <v>45017</v>
      </c>
      <c r="I58" s="1184">
        <f t="shared" si="16"/>
        <v>44986</v>
      </c>
      <c r="J58" s="1184">
        <f t="shared" si="16"/>
        <v>44958</v>
      </c>
      <c r="K58" s="1184">
        <f t="shared" si="16"/>
        <v>44927</v>
      </c>
      <c r="L58" s="1184">
        <f t="shared" si="16"/>
        <v>44896</v>
      </c>
      <c r="M58" s="1184">
        <f t="shared" si="16"/>
        <v>44866</v>
      </c>
      <c r="N58" s="1184">
        <f t="shared" si="16"/>
        <v>44835</v>
      </c>
      <c r="O58" s="1184">
        <f>EDATE(N58,-1)</f>
        <v>44805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v>100</v>
      </c>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1680</v>
      </c>
      <c r="B61" s="459"/>
      <c r="C61" s="471" t="s">
        <v>1775</v>
      </c>
      <c r="D61" s="3793" t="s">
        <v>3423</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1684</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3791" t="s">
        <v>3415</v>
      </c>
      <c r="D86" s="3791" t="s">
        <v>3416</v>
      </c>
      <c r="E86" s="3791" t="s">
        <v>3417</v>
      </c>
      <c r="F86" s="3791" t="s">
        <v>3418</v>
      </c>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791" t="s">
        <v>3413</v>
      </c>
      <c r="D88" s="3791" t="s">
        <v>3405</v>
      </c>
      <c r="E88" s="3791" t="s">
        <v>3414</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90</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791" t="s">
        <v>3410</v>
      </c>
      <c r="D90" s="3791" t="s">
        <v>3411</v>
      </c>
      <c r="E90" s="3791" t="s">
        <v>3412</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v>1</v>
      </c>
      <c r="D92" s="503" t="s">
        <v>3398</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80</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1693</v>
      </c>
      <c r="B100" s="477" t="s">
        <v>1804</v>
      </c>
      <c r="C100" s="3790" t="s">
        <v>3388</v>
      </c>
      <c r="D100" s="3790" t="s">
        <v>3399</v>
      </c>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0(含)-50</v>
      </c>
      <c r="D102" s="527" t="str">
        <f t="shared" ref="D102:L102" si="23">D103&amp;"(含)"&amp;"-"&amp;E103</f>
        <v>50(含)-100</v>
      </c>
      <c r="E102" s="527" t="str">
        <f t="shared" si="23"/>
        <v>100(含)-150</v>
      </c>
      <c r="F102" s="527" t="str">
        <f t="shared" si="23"/>
        <v>150(含)-200</v>
      </c>
      <c r="G102" s="527" t="str">
        <f t="shared" si="23"/>
        <v>200(含)-300</v>
      </c>
      <c r="H102" s="527" t="str">
        <f t="shared" si="23"/>
        <v>300(含)-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150</v>
      </c>
      <c r="G103" s="544">
        <v>200</v>
      </c>
      <c r="H103" s="544">
        <v>300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3791" t="s">
        <v>3409</v>
      </c>
      <c r="D105" s="3791"/>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3791" t="s">
        <v>3400</v>
      </c>
      <c r="D107" s="3791" t="s">
        <v>3401</v>
      </c>
      <c r="E107" s="3791" t="s">
        <v>3404</v>
      </c>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3791" t="s">
        <v>3402</v>
      </c>
      <c r="D114" s="3791" t="s">
        <v>3403</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3791" t="s">
        <v>3407</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3791" t="s">
        <v>3400</v>
      </c>
      <c r="D122" s="3791" t="s">
        <v>3401</v>
      </c>
      <c r="E122" s="3791" t="s">
        <v>3404</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1809</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0</v>
      </c>
      <c r="C3" s="354" t="s">
        <v>1767</v>
      </c>
      <c r="D3" s="353">
        <f>IF(D1="",'数据-汇总表'!E3,SUMIF('数据-汇总表'!$C19:$C33,D1,'数据-汇总表'!$E19:$E33))</f>
        <v>349.71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1768</v>
      </c>
      <c r="B4" s="356"/>
      <c r="C4" s="3679" t="s">
        <v>1769</v>
      </c>
      <c r="D4" s="3680"/>
      <c r="E4" s="3681" t="s">
        <v>1770</v>
      </c>
      <c r="F4" s="3682"/>
      <c r="G4" s="3679" t="s">
        <v>1771</v>
      </c>
      <c r="H4" s="3680"/>
      <c r="I4" s="3679" t="s">
        <v>1772</v>
      </c>
      <c r="J4" s="3680"/>
      <c r="K4" s="559" t="s">
        <v>1773</v>
      </c>
      <c r="L4" s="2714"/>
      <c r="M4" s="2715"/>
      <c r="N4" s="2715"/>
      <c r="O4" s="2715"/>
      <c r="P4" s="3713" t="s">
        <v>1774</v>
      </c>
      <c r="Q4" s="3714"/>
      <c r="R4" s="3708" t="s">
        <v>1770</v>
      </c>
      <c r="S4" s="3709"/>
      <c r="T4" s="3708" t="s">
        <v>1771</v>
      </c>
      <c r="U4" s="3709"/>
      <c r="V4" s="3717" t="s">
        <v>1772</v>
      </c>
      <c r="W4" s="3717"/>
      <c r="X4" s="1957"/>
      <c r="Y4" s="3708" t="s">
        <v>1774</v>
      </c>
      <c r="Z4" s="3709"/>
      <c r="AA4" s="3707" t="s">
        <v>1770</v>
      </c>
      <c r="AB4" s="3707" t="s">
        <v>1771</v>
      </c>
      <c r="AC4" s="3710" t="s">
        <v>1772</v>
      </c>
    </row>
    <row r="5" spans="1:29" ht="15">
      <c r="A5" s="358"/>
      <c r="B5" s="359"/>
      <c r="C5" s="3672" t="s">
        <v>1672</v>
      </c>
      <c r="D5" s="3673"/>
      <c r="E5" s="3670" t="s">
        <v>1673</v>
      </c>
      <c r="F5" s="3671"/>
      <c r="G5" s="3672" t="s">
        <v>1674</v>
      </c>
      <c r="H5" s="3673"/>
      <c r="I5" s="3672" t="s">
        <v>1675</v>
      </c>
      <c r="J5" s="3673"/>
      <c r="K5" s="559"/>
      <c r="L5" s="2714"/>
      <c r="M5" s="2715"/>
      <c r="N5" s="2715"/>
      <c r="O5" s="2715"/>
      <c r="P5" s="3715"/>
      <c r="Q5" s="3686"/>
      <c r="R5" s="3668"/>
      <c r="S5" s="3669"/>
      <c r="T5" s="3668"/>
      <c r="U5" s="3669"/>
      <c r="V5" s="3691"/>
      <c r="W5" s="3691"/>
      <c r="X5" s="1354"/>
      <c r="Y5" s="3668"/>
      <c r="Z5" s="3669"/>
      <c r="AA5" s="3662"/>
      <c r="AB5" s="3662"/>
      <c r="AC5" s="3711"/>
    </row>
    <row r="6" spans="1:29" ht="15.75" thickBot="1">
      <c r="A6" s="360"/>
      <c r="B6" s="361"/>
      <c r="C6" s="3674" t="s">
        <v>1676</v>
      </c>
      <c r="D6" s="3675"/>
      <c r="E6" s="3676" t="s">
        <v>1676</v>
      </c>
      <c r="F6" s="3677"/>
      <c r="G6" s="3674" t="s">
        <v>1676</v>
      </c>
      <c r="H6" s="3675"/>
      <c r="I6" s="3674" t="s">
        <v>1676</v>
      </c>
      <c r="J6" s="3675"/>
      <c r="K6" s="559" t="s">
        <v>1677</v>
      </c>
      <c r="L6" s="2714"/>
      <c r="M6" s="2715"/>
      <c r="N6" s="2715"/>
      <c r="O6" s="2715"/>
      <c r="P6" s="3716"/>
      <c r="Q6" s="3688"/>
      <c r="R6" s="3668"/>
      <c r="S6" s="3669"/>
      <c r="T6" s="3689"/>
      <c r="U6" s="3690"/>
      <c r="V6" s="3691"/>
      <c r="W6" s="3691"/>
      <c r="X6" s="1354"/>
      <c r="Y6" s="3689"/>
      <c r="Z6" s="3690"/>
      <c r="AA6" s="3663"/>
      <c r="AB6" s="3663"/>
      <c r="AC6" s="3712"/>
    </row>
    <row r="7" spans="1:29" s="108" customFormat="1" ht="15.75" thickBot="1">
      <c r="A7" s="362" t="s">
        <v>1678</v>
      </c>
      <c r="B7" s="363"/>
      <c r="C7" s="364">
        <f>'数据-取费表'!B2</f>
        <v>45171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18" t="s">
        <v>1679</v>
      </c>
      <c r="Q7" s="3692"/>
      <c r="R7" s="700" t="s">
        <v>14</v>
      </c>
      <c r="S7" s="701">
        <f t="shared" ref="S7:S15" si="0">F7</f>
        <v>0</v>
      </c>
      <c r="T7" s="700" t="s">
        <v>14</v>
      </c>
      <c r="U7" s="701">
        <f t="shared" ref="U7:U15" si="1">H7</f>
        <v>0</v>
      </c>
      <c r="V7" s="700" t="s">
        <v>14</v>
      </c>
      <c r="W7" s="701">
        <f t="shared" ref="W7:W15" si="2">J7</f>
        <v>0</v>
      </c>
      <c r="X7" s="702"/>
      <c r="Y7" s="3664" t="s">
        <v>1679</v>
      </c>
      <c r="Z7" s="3665"/>
      <c r="AA7" s="703" t="e">
        <f>D7/F7</f>
        <v>#DIV/0!</v>
      </c>
      <c r="AB7" s="703"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18" t="s">
        <v>1682</v>
      </c>
      <c r="Q8" s="3665"/>
      <c r="R8" s="700" t="s">
        <v>14</v>
      </c>
      <c r="S8" s="701">
        <f t="shared" si="0"/>
        <v>100</v>
      </c>
      <c r="T8" s="700" t="s">
        <v>14</v>
      </c>
      <c r="U8" s="701">
        <f t="shared" si="1"/>
        <v>100</v>
      </c>
      <c r="V8" s="700" t="s">
        <v>14</v>
      </c>
      <c r="W8" s="701">
        <f t="shared" si="2"/>
        <v>100</v>
      </c>
      <c r="X8" s="702"/>
      <c r="Y8" s="3664" t="s">
        <v>1682</v>
      </c>
      <c r="Z8" s="3665"/>
      <c r="AA8" s="703">
        <f t="shared" ref="AA8:AA47" si="3">D8/F8</f>
        <v>1</v>
      </c>
      <c r="AB8" s="703">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8" t="s">
        <v>1685</v>
      </c>
      <c r="Q9" s="1342" t="str">
        <f t="shared" ref="Q9:Q15" si="6">B9</f>
        <v>用途</v>
      </c>
      <c r="R9" s="700" t="s">
        <v>14</v>
      </c>
      <c r="S9" s="701">
        <f t="shared" si="0"/>
        <v>100</v>
      </c>
      <c r="T9" s="700" t="s">
        <v>14</v>
      </c>
      <c r="U9" s="701">
        <f t="shared" si="1"/>
        <v>100</v>
      </c>
      <c r="V9" s="700" t="s">
        <v>14</v>
      </c>
      <c r="W9" s="701">
        <f t="shared" si="2"/>
        <v>100</v>
      </c>
      <c r="X9" s="702"/>
      <c r="Y9" s="3608" t="s">
        <v>1686</v>
      </c>
      <c r="Z9" s="52" t="str">
        <f t="shared" ref="Z9:Z15" si="7">Q9</f>
        <v>用途</v>
      </c>
      <c r="AA9" s="703">
        <f t="shared" si="3"/>
        <v>1</v>
      </c>
      <c r="AB9" s="703">
        <f t="shared" si="4"/>
        <v>1</v>
      </c>
      <c r="AC9" s="1958">
        <f t="shared" si="5"/>
        <v>1</v>
      </c>
    </row>
    <row r="10" spans="1:29" s="378" customFormat="1" ht="27">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8"/>
      <c r="Q10" s="1342"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8"/>
      <c r="Q11" s="1342" t="str">
        <f t="shared" si="6"/>
        <v>容积率</v>
      </c>
      <c r="R11" s="700" t="s">
        <v>14</v>
      </c>
      <c r="S11" s="701">
        <f t="shared" si="0"/>
        <v>100</v>
      </c>
      <c r="T11" s="700" t="s">
        <v>14</v>
      </c>
      <c r="U11" s="701">
        <f t="shared" si="1"/>
        <v>100</v>
      </c>
      <c r="V11" s="700" t="s">
        <v>14</v>
      </c>
      <c r="W11" s="701">
        <f t="shared" si="2"/>
        <v>100</v>
      </c>
      <c r="X11" s="702"/>
      <c r="Y11" s="360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8"/>
      <c r="Q12" s="1342">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8"/>
      <c r="Q13" s="1342">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8"/>
      <c r="Q14" s="1342">
        <f t="shared" si="6"/>
        <v>111</v>
      </c>
      <c r="R14" s="700" t="s">
        <v>14</v>
      </c>
      <c r="S14" s="701">
        <f t="shared" si="0"/>
        <v>100</v>
      </c>
      <c r="T14" s="700" t="s">
        <v>14</v>
      </c>
      <c r="U14" s="701">
        <f t="shared" si="1"/>
        <v>100</v>
      </c>
      <c r="V14" s="700" t="s">
        <v>14</v>
      </c>
      <c r="W14" s="701">
        <f t="shared" si="2"/>
        <v>100</v>
      </c>
      <c r="X14" s="702"/>
      <c r="Y14" s="3608"/>
      <c r="Z14" s="52">
        <f t="shared" si="7"/>
        <v>111</v>
      </c>
      <c r="AA14" s="703">
        <f t="shared" si="3"/>
        <v>1</v>
      </c>
      <c r="AB14" s="703">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5" t="s">
        <v>1690</v>
      </c>
      <c r="Q15" s="1351" t="str">
        <f t="shared" si="6"/>
        <v>办公集聚程度</v>
      </c>
      <c r="R15" s="704" t="s">
        <v>14</v>
      </c>
      <c r="S15" s="705">
        <f t="shared" si="0"/>
        <v>100</v>
      </c>
      <c r="T15" s="704" t="s">
        <v>14</v>
      </c>
      <c r="U15" s="705">
        <f t="shared" si="1"/>
        <v>100</v>
      </c>
      <c r="V15" s="704" t="s">
        <v>14</v>
      </c>
      <c r="W15" s="705">
        <f t="shared" si="2"/>
        <v>100</v>
      </c>
      <c r="X15" s="1354"/>
      <c r="Y15" s="3698"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06"/>
      <c r="Q16" s="1351"/>
      <c r="R16" s="704"/>
      <c r="S16" s="705"/>
      <c r="T16" s="704"/>
      <c r="U16" s="705"/>
      <c r="V16" s="704"/>
      <c r="W16" s="705"/>
      <c r="X16" s="1354"/>
      <c r="Y16" s="3699"/>
      <c r="Z16" s="1355"/>
      <c r="AA16" s="1352">
        <v>1</v>
      </c>
      <c r="AB16" s="1352">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6"/>
      <c r="Q17" s="1351" t="str">
        <f>B17</f>
        <v>交通便捷度</v>
      </c>
      <c r="R17" s="704" t="s">
        <v>14</v>
      </c>
      <c r="S17" s="705">
        <f>F17</f>
        <v>100</v>
      </c>
      <c r="T17" s="704" t="s">
        <v>14</v>
      </c>
      <c r="U17" s="705">
        <f>H17</f>
        <v>100</v>
      </c>
      <c r="V17" s="704" t="s">
        <v>14</v>
      </c>
      <c r="W17" s="705">
        <f>J17</f>
        <v>100</v>
      </c>
      <c r="X17" s="1354"/>
      <c r="Y17" s="3699"/>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06"/>
      <c r="Q18" s="1351"/>
      <c r="R18" s="704"/>
      <c r="S18" s="705"/>
      <c r="T18" s="704"/>
      <c r="U18" s="705"/>
      <c r="V18" s="704"/>
      <c r="W18" s="705"/>
      <c r="X18" s="1354"/>
      <c r="Y18" s="3699"/>
      <c r="Z18" s="1355"/>
      <c r="AA18" s="1352">
        <v>1</v>
      </c>
      <c r="AB18" s="1352">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6"/>
      <c r="Q19" s="1351" t="str">
        <f>B19</f>
        <v>公共配套设施</v>
      </c>
      <c r="R19" s="704" t="s">
        <v>14</v>
      </c>
      <c r="S19" s="705">
        <f>F19</f>
        <v>100</v>
      </c>
      <c r="T19" s="704" t="s">
        <v>14</v>
      </c>
      <c r="U19" s="705">
        <f>H19</f>
        <v>100</v>
      </c>
      <c r="V19" s="704" t="s">
        <v>14</v>
      </c>
      <c r="W19" s="705">
        <f>J19</f>
        <v>100</v>
      </c>
      <c r="X19" s="1354"/>
      <c r="Y19" s="3699"/>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06"/>
      <c r="Q20" s="1351"/>
      <c r="R20" s="704"/>
      <c r="S20" s="705"/>
      <c r="T20" s="704"/>
      <c r="U20" s="705"/>
      <c r="V20" s="704"/>
      <c r="W20" s="705"/>
      <c r="X20" s="1354"/>
      <c r="Y20" s="3699"/>
      <c r="Z20" s="1355"/>
      <c r="AA20" s="1352">
        <v>1</v>
      </c>
      <c r="AB20" s="1352">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6"/>
      <c r="Q21" s="1351" t="str">
        <f>B21</f>
        <v>基础设施水平</v>
      </c>
      <c r="R21" s="704" t="s">
        <v>14</v>
      </c>
      <c r="S21" s="705">
        <f>F21</f>
        <v>100</v>
      </c>
      <c r="T21" s="704" t="s">
        <v>14</v>
      </c>
      <c r="U21" s="705">
        <f>H21</f>
        <v>100</v>
      </c>
      <c r="V21" s="704" t="s">
        <v>14</v>
      </c>
      <c r="W21" s="705">
        <f>J21</f>
        <v>100</v>
      </c>
      <c r="X21" s="1354"/>
      <c r="Y21" s="3699"/>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706"/>
      <c r="Q22" s="1351"/>
      <c r="R22" s="704"/>
      <c r="S22" s="705"/>
      <c r="T22" s="704"/>
      <c r="U22" s="705"/>
      <c r="V22" s="704"/>
      <c r="W22" s="705"/>
      <c r="X22" s="1354"/>
      <c r="Y22" s="3699"/>
      <c r="Z22" s="1355"/>
      <c r="AA22" s="1352">
        <v>1</v>
      </c>
      <c r="AB22" s="1352">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6"/>
      <c r="Q23" s="1351" t="str">
        <f>B23</f>
        <v>环境质量</v>
      </c>
      <c r="R23" s="704" t="s">
        <v>14</v>
      </c>
      <c r="S23" s="705">
        <f>F23</f>
        <v>100</v>
      </c>
      <c r="T23" s="704" t="s">
        <v>14</v>
      </c>
      <c r="U23" s="705">
        <f>H23</f>
        <v>100</v>
      </c>
      <c r="V23" s="704" t="s">
        <v>14</v>
      </c>
      <c r="W23" s="705">
        <f>J23</f>
        <v>100</v>
      </c>
      <c r="X23" s="1354"/>
      <c r="Y23" s="3699"/>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06"/>
      <c r="Q24" s="1351"/>
      <c r="R24" s="704"/>
      <c r="S24" s="705"/>
      <c r="T24" s="704"/>
      <c r="U24" s="705"/>
      <c r="V24" s="704"/>
      <c r="W24" s="705"/>
      <c r="X24" s="1354"/>
      <c r="Y24" s="3699"/>
      <c r="Z24" s="1355"/>
      <c r="AA24" s="1352">
        <v>1</v>
      </c>
      <c r="AB24" s="1352">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06"/>
      <c r="Q25" s="1351" t="str">
        <f>B25</f>
        <v>毗邻道路的类型与等级</v>
      </c>
      <c r="R25" s="704" t="s">
        <v>14</v>
      </c>
      <c r="S25" s="705">
        <f>F25</f>
        <v>100</v>
      </c>
      <c r="T25" s="704" t="s">
        <v>14</v>
      </c>
      <c r="U25" s="705">
        <f>H25</f>
        <v>100</v>
      </c>
      <c r="V25" s="704" t="s">
        <v>14</v>
      </c>
      <c r="W25" s="705">
        <f>J25</f>
        <v>100</v>
      </c>
      <c r="X25" s="1354"/>
      <c r="Y25" s="369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06"/>
      <c r="Q26" s="1351"/>
      <c r="R26" s="704"/>
      <c r="S26" s="705"/>
      <c r="T26" s="704"/>
      <c r="U26" s="705"/>
      <c r="V26" s="704"/>
      <c r="W26" s="705"/>
      <c r="X26" s="1354"/>
      <c r="Y26" s="3699"/>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6"/>
      <c r="Q27" s="1351" t="str">
        <f t="shared" ref="Q27:Q47" si="11">B27</f>
        <v>楼层</v>
      </c>
      <c r="R27" s="704" t="s">
        <v>14</v>
      </c>
      <c r="S27" s="705">
        <f>F27</f>
        <v>100</v>
      </c>
      <c r="T27" s="704" t="s">
        <v>14</v>
      </c>
      <c r="U27" s="705">
        <f>H27</f>
        <v>100</v>
      </c>
      <c r="V27" s="704" t="s">
        <v>14</v>
      </c>
      <c r="W27" s="705">
        <f>J27</f>
        <v>100</v>
      </c>
      <c r="X27" s="1354"/>
      <c r="Y27" s="3699"/>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06"/>
      <c r="Q28" s="1342" t="str">
        <f t="shared" si="11"/>
        <v>朝向</v>
      </c>
      <c r="R28" s="700" t="s">
        <v>14</v>
      </c>
      <c r="S28" s="701">
        <f>F28</f>
        <v>100</v>
      </c>
      <c r="T28" s="700" t="s">
        <v>14</v>
      </c>
      <c r="U28" s="701">
        <f>H28</f>
        <v>100</v>
      </c>
      <c r="V28" s="700" t="s">
        <v>14</v>
      </c>
      <c r="W28" s="701">
        <f>J28</f>
        <v>100</v>
      </c>
      <c r="X28" s="702"/>
      <c r="Y28" s="369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06"/>
      <c r="Q29" s="1351">
        <f t="shared" si="11"/>
        <v>111</v>
      </c>
      <c r="R29" s="704" t="s">
        <v>14</v>
      </c>
      <c r="S29" s="705">
        <f t="shared" ref="S29:S47" si="12">F29</f>
        <v>100</v>
      </c>
      <c r="T29" s="704" t="s">
        <v>14</v>
      </c>
      <c r="U29" s="705">
        <f t="shared" ref="U29:U47" si="13">H29</f>
        <v>100</v>
      </c>
      <c r="V29" s="704" t="s">
        <v>14</v>
      </c>
      <c r="W29" s="705">
        <f t="shared" ref="W29:W47" si="14">J29</f>
        <v>100</v>
      </c>
      <c r="X29" s="1354"/>
      <c r="Y29" s="369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06"/>
      <c r="Q30" s="1351">
        <f t="shared" si="11"/>
        <v>111</v>
      </c>
      <c r="R30" s="704" t="s">
        <v>14</v>
      </c>
      <c r="S30" s="705">
        <f t="shared" si="12"/>
        <v>100</v>
      </c>
      <c r="T30" s="704" t="s">
        <v>14</v>
      </c>
      <c r="U30" s="705">
        <f t="shared" si="13"/>
        <v>100</v>
      </c>
      <c r="V30" s="704" t="s">
        <v>14</v>
      </c>
      <c r="W30" s="705">
        <f t="shared" si="14"/>
        <v>100</v>
      </c>
      <c r="X30" s="1354"/>
      <c r="Y30" s="369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06"/>
      <c r="Q31" s="1351">
        <f t="shared" si="11"/>
        <v>111</v>
      </c>
      <c r="R31" s="704" t="s">
        <v>14</v>
      </c>
      <c r="S31" s="705">
        <f t="shared" si="12"/>
        <v>100</v>
      </c>
      <c r="T31" s="704" t="s">
        <v>14</v>
      </c>
      <c r="U31" s="705">
        <f t="shared" si="13"/>
        <v>100</v>
      </c>
      <c r="V31" s="704" t="s">
        <v>14</v>
      </c>
      <c r="W31" s="705">
        <f t="shared" si="14"/>
        <v>100</v>
      </c>
      <c r="X31" s="1354"/>
      <c r="Y31" s="3699"/>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06"/>
      <c r="Q32" s="1351">
        <f t="shared" si="11"/>
        <v>111</v>
      </c>
      <c r="R32" s="704" t="s">
        <v>14</v>
      </c>
      <c r="S32" s="705">
        <f t="shared" si="12"/>
        <v>100</v>
      </c>
      <c r="T32" s="704" t="s">
        <v>14</v>
      </c>
      <c r="U32" s="705">
        <f t="shared" si="13"/>
        <v>100</v>
      </c>
      <c r="V32" s="704" t="s">
        <v>14</v>
      </c>
      <c r="W32" s="705">
        <f t="shared" si="14"/>
        <v>100</v>
      </c>
      <c r="X32" s="1354"/>
      <c r="Y32" s="3699"/>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0" t="s">
        <v>1695</v>
      </c>
      <c r="Q33" s="1351" t="str">
        <f t="shared" si="11"/>
        <v>建筑类型</v>
      </c>
      <c r="R33" s="704" t="s">
        <v>14</v>
      </c>
      <c r="S33" s="705">
        <f t="shared" si="12"/>
        <v>100</v>
      </c>
      <c r="T33" s="704" t="s">
        <v>14</v>
      </c>
      <c r="U33" s="705">
        <f t="shared" si="13"/>
        <v>100</v>
      </c>
      <c r="V33" s="704" t="s">
        <v>14</v>
      </c>
      <c r="W33" s="705">
        <f t="shared" si="14"/>
        <v>100</v>
      </c>
      <c r="X33" s="1354"/>
      <c r="Y33" s="3703"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1"/>
      <c r="Q34" s="706" t="str">
        <f t="shared" si="11"/>
        <v>项目建筑规模</v>
      </c>
      <c r="R34" s="707" t="s">
        <v>14</v>
      </c>
      <c r="S34" s="708" t="e">
        <f t="shared" si="12"/>
        <v>#N/A</v>
      </c>
      <c r="T34" s="707" t="s">
        <v>14</v>
      </c>
      <c r="U34" s="708" t="e">
        <f t="shared" si="13"/>
        <v>#N/A</v>
      </c>
      <c r="V34" s="707" t="s">
        <v>14</v>
      </c>
      <c r="W34" s="708" t="e">
        <f t="shared" si="14"/>
        <v>#N/A</v>
      </c>
      <c r="X34" s="709"/>
      <c r="Y34" s="3703"/>
      <c r="Z34" s="710"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1"/>
      <c r="Q35" s="1351" t="str">
        <f t="shared" si="11"/>
        <v>建筑结构</v>
      </c>
      <c r="R35" s="704" t="s">
        <v>14</v>
      </c>
      <c r="S35" s="705">
        <f t="shared" si="12"/>
        <v>100</v>
      </c>
      <c r="T35" s="704" t="s">
        <v>14</v>
      </c>
      <c r="U35" s="705">
        <f t="shared" si="13"/>
        <v>100</v>
      </c>
      <c r="V35" s="704" t="s">
        <v>14</v>
      </c>
      <c r="W35" s="705">
        <f t="shared" si="14"/>
        <v>100</v>
      </c>
      <c r="X35" s="1354"/>
      <c r="Y35" s="3703"/>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1"/>
      <c r="Q36" s="1351" t="str">
        <f t="shared" si="11"/>
        <v>公共部分装修</v>
      </c>
      <c r="R36" s="704" t="s">
        <v>14</v>
      </c>
      <c r="S36" s="705">
        <f t="shared" si="12"/>
        <v>100</v>
      </c>
      <c r="T36" s="704" t="s">
        <v>14</v>
      </c>
      <c r="U36" s="705">
        <f t="shared" si="13"/>
        <v>100</v>
      </c>
      <c r="V36" s="704" t="s">
        <v>14</v>
      </c>
      <c r="W36" s="705">
        <f t="shared" si="14"/>
        <v>100</v>
      </c>
      <c r="X36" s="1354"/>
      <c r="Y36" s="3703"/>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1"/>
      <c r="Q37" s="1351" t="str">
        <f t="shared" si="11"/>
        <v>成新度</v>
      </c>
      <c r="R37" s="704" t="s">
        <v>14</v>
      </c>
      <c r="S37" s="705" t="e">
        <f t="shared" si="12"/>
        <v>#N/A</v>
      </c>
      <c r="T37" s="704" t="s">
        <v>14</v>
      </c>
      <c r="U37" s="705" t="e">
        <f t="shared" si="13"/>
        <v>#N/A</v>
      </c>
      <c r="V37" s="704" t="s">
        <v>14</v>
      </c>
      <c r="W37" s="705" t="e">
        <f t="shared" si="14"/>
        <v>#N/A</v>
      </c>
      <c r="X37" s="1354"/>
      <c r="Y37" s="3703"/>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1"/>
      <c r="Q38" s="1342" t="str">
        <f t="shared" si="11"/>
        <v>写字楼等级</v>
      </c>
      <c r="R38" s="700" t="s">
        <v>14</v>
      </c>
      <c r="S38" s="701">
        <f t="shared" si="12"/>
        <v>100</v>
      </c>
      <c r="T38" s="700" t="s">
        <v>14</v>
      </c>
      <c r="U38" s="701">
        <f t="shared" si="13"/>
        <v>100</v>
      </c>
      <c r="V38" s="700" t="s">
        <v>14</v>
      </c>
      <c r="W38" s="701">
        <f t="shared" si="14"/>
        <v>100</v>
      </c>
      <c r="X38" s="702"/>
      <c r="Y38" s="3703"/>
      <c r="Z38" s="52" t="str">
        <f t="shared" si="15"/>
        <v>写字楼等级</v>
      </c>
      <c r="AA38" s="703">
        <f t="shared" si="3"/>
        <v>1</v>
      </c>
      <c r="AB38" s="703">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1" t="s">
        <v>1695</v>
      </c>
      <c r="Q39" s="1351" t="str">
        <f t="shared" si="11"/>
        <v>物业管理</v>
      </c>
      <c r="R39" s="704" t="s">
        <v>14</v>
      </c>
      <c r="S39" s="705">
        <f t="shared" si="12"/>
        <v>100</v>
      </c>
      <c r="T39" s="704" t="s">
        <v>14</v>
      </c>
      <c r="U39" s="705">
        <f t="shared" si="13"/>
        <v>100</v>
      </c>
      <c r="V39" s="704" t="s">
        <v>14</v>
      </c>
      <c r="W39" s="705">
        <f t="shared" si="14"/>
        <v>100</v>
      </c>
      <c r="X39" s="1354"/>
      <c r="Y39" s="3703"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1"/>
      <c r="Q40" s="1351" t="str">
        <f t="shared" si="11"/>
        <v>市政基础设施</v>
      </c>
      <c r="R40" s="704" t="s">
        <v>14</v>
      </c>
      <c r="S40" s="705">
        <f t="shared" si="12"/>
        <v>100</v>
      </c>
      <c r="T40" s="704" t="s">
        <v>14</v>
      </c>
      <c r="U40" s="705">
        <f t="shared" si="13"/>
        <v>100</v>
      </c>
      <c r="V40" s="704" t="s">
        <v>14</v>
      </c>
      <c r="W40" s="705">
        <f t="shared" si="14"/>
        <v>100</v>
      </c>
      <c r="X40" s="1354"/>
      <c r="Y40" s="3703"/>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1"/>
      <c r="Q41" s="1351" t="str">
        <f t="shared" si="11"/>
        <v>层高</v>
      </c>
      <c r="R41" s="704" t="s">
        <v>14</v>
      </c>
      <c r="S41" s="705">
        <f t="shared" si="12"/>
        <v>100</v>
      </c>
      <c r="T41" s="704" t="s">
        <v>14</v>
      </c>
      <c r="U41" s="705">
        <f t="shared" si="13"/>
        <v>100</v>
      </c>
      <c r="V41" s="704" t="s">
        <v>14</v>
      </c>
      <c r="W41" s="705">
        <f t="shared" si="14"/>
        <v>100</v>
      </c>
      <c r="X41" s="1354"/>
      <c r="Y41" s="3703"/>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1"/>
      <c r="Q42" s="706" t="str">
        <f t="shared" si="11"/>
        <v>单套建筑面积</v>
      </c>
      <c r="R42" s="707" t="s">
        <v>14</v>
      </c>
      <c r="S42" s="708">
        <f t="shared" si="12"/>
        <v>100</v>
      </c>
      <c r="T42" s="707" t="s">
        <v>14</v>
      </c>
      <c r="U42" s="708">
        <f t="shared" si="13"/>
        <v>100</v>
      </c>
      <c r="V42" s="707" t="s">
        <v>14</v>
      </c>
      <c r="W42" s="708">
        <f t="shared" si="14"/>
        <v>100</v>
      </c>
      <c r="X42" s="709"/>
      <c r="Y42" s="3703"/>
      <c r="Z42" s="710"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1"/>
      <c r="Q43" s="1351" t="str">
        <f t="shared" si="11"/>
        <v>内部装修</v>
      </c>
      <c r="R43" s="704" t="s">
        <v>14</v>
      </c>
      <c r="S43" s="705">
        <f t="shared" si="12"/>
        <v>100</v>
      </c>
      <c r="T43" s="704" t="s">
        <v>14</v>
      </c>
      <c r="U43" s="705">
        <f t="shared" si="13"/>
        <v>100</v>
      </c>
      <c r="V43" s="704" t="s">
        <v>14</v>
      </c>
      <c r="W43" s="705">
        <f t="shared" si="14"/>
        <v>100</v>
      </c>
      <c r="X43" s="1354"/>
      <c r="Y43" s="3703"/>
      <c r="Z43" s="1355" t="str">
        <f t="shared" si="15"/>
        <v>内部装修</v>
      </c>
      <c r="AA43" s="1352">
        <f t="shared" si="3"/>
        <v>1</v>
      </c>
      <c r="AB43" s="1352">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1"/>
      <c r="Q44" s="1351" t="str">
        <f t="shared" si="11"/>
        <v>内部装修维护情况</v>
      </c>
      <c r="R44" s="704" t="s">
        <v>14</v>
      </c>
      <c r="S44" s="705">
        <f t="shared" si="12"/>
        <v>100</v>
      </c>
      <c r="T44" s="704" t="s">
        <v>14</v>
      </c>
      <c r="U44" s="705">
        <f t="shared" si="13"/>
        <v>100</v>
      </c>
      <c r="V44" s="704" t="s">
        <v>14</v>
      </c>
      <c r="W44" s="705">
        <f t="shared" si="14"/>
        <v>100</v>
      </c>
      <c r="X44" s="1354"/>
      <c r="Y44" s="3703"/>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1342">
        <f t="shared" si="11"/>
        <v>111</v>
      </c>
      <c r="R45" s="700" t="s">
        <v>14</v>
      </c>
      <c r="S45" s="701">
        <f t="shared" si="12"/>
        <v>100</v>
      </c>
      <c r="T45" s="700" t="s">
        <v>14</v>
      </c>
      <c r="U45" s="701">
        <f t="shared" si="13"/>
        <v>100</v>
      </c>
      <c r="V45" s="700" t="s">
        <v>14</v>
      </c>
      <c r="W45" s="701">
        <f t="shared" si="14"/>
        <v>100</v>
      </c>
      <c r="X45" s="702"/>
      <c r="Y45" s="3703"/>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1">
        <f t="shared" si="11"/>
        <v>111</v>
      </c>
      <c r="R46" s="704" t="s">
        <v>14</v>
      </c>
      <c r="S46" s="705">
        <f t="shared" si="12"/>
        <v>100</v>
      </c>
      <c r="T46" s="704" t="s">
        <v>14</v>
      </c>
      <c r="U46" s="705">
        <f t="shared" si="13"/>
        <v>100</v>
      </c>
      <c r="V46" s="704" t="s">
        <v>14</v>
      </c>
      <c r="W46" s="705">
        <f t="shared" si="14"/>
        <v>100</v>
      </c>
      <c r="X46" s="1354"/>
      <c r="Y46" s="370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1">
        <f t="shared" si="11"/>
        <v>111</v>
      </c>
      <c r="R47" s="704" t="s">
        <v>14</v>
      </c>
      <c r="S47" s="705">
        <f t="shared" si="12"/>
        <v>100</v>
      </c>
      <c r="T47" s="704" t="s">
        <v>14</v>
      </c>
      <c r="U47" s="705">
        <f t="shared" si="13"/>
        <v>100</v>
      </c>
      <c r="V47" s="704" t="s">
        <v>14</v>
      </c>
      <c r="W47" s="705">
        <f t="shared" si="14"/>
        <v>100</v>
      </c>
      <c r="X47" s="1354"/>
      <c r="Y47" s="3704"/>
      <c r="Z47" s="1355">
        <f t="shared" si="15"/>
        <v>111</v>
      </c>
      <c r="AA47" s="1352">
        <f t="shared" si="3"/>
        <v>1</v>
      </c>
      <c r="AB47" s="1352">
        <f t="shared" si="4"/>
        <v>1</v>
      </c>
      <c r="AC47" s="1961">
        <f t="shared" si="5"/>
        <v>1</v>
      </c>
    </row>
    <row r="48" spans="1:29" ht="15">
      <c r="A48" s="430" t="s">
        <v>1707</v>
      </c>
      <c r="B48" s="431"/>
      <c r="C48" s="1153" t="s">
        <v>0</v>
      </c>
      <c r="D48" s="1154"/>
      <c r="E48" s="1155"/>
      <c r="F48" s="1156"/>
      <c r="G48" s="1157"/>
      <c r="H48" s="1158"/>
      <c r="I48" s="1155"/>
      <c r="J48" s="436"/>
      <c r="K48" s="713"/>
      <c r="L48" s="2723"/>
      <c r="M48" s="2715"/>
      <c r="N48" s="2715"/>
      <c r="O48" s="2715"/>
      <c r="P48" s="3678" t="str">
        <f>A48</f>
        <v>成交单价（元/平方米）</v>
      </c>
      <c r="Q48" s="3696"/>
      <c r="R48" s="3697">
        <f>E48</f>
        <v>0</v>
      </c>
      <c r="S48" s="3697"/>
      <c r="T48" s="3697">
        <f>G48</f>
        <v>0</v>
      </c>
      <c r="U48" s="3697"/>
      <c r="V48" s="3697">
        <f>I48</f>
        <v>0</v>
      </c>
      <c r="W48" s="3697"/>
      <c r="X48" s="397"/>
      <c r="Y48" s="711"/>
      <c r="Z48" s="397"/>
      <c r="AA48" s="397"/>
      <c r="AB48" s="397"/>
      <c r="AC48" s="578"/>
    </row>
    <row r="49" spans="1:29" ht="15.75" thickBot="1">
      <c r="A49" s="437" t="s">
        <v>1792</v>
      </c>
      <c r="B49" s="438"/>
      <c r="C49" s="1159" t="e">
        <f>R50</f>
        <v>#DIV/0!</v>
      </c>
      <c r="D49" s="2316" t="s">
        <v>2136</v>
      </c>
      <c r="E49" s="1160" t="e">
        <f>R49</f>
        <v>#DIV/0!</v>
      </c>
      <c r="F49" s="2317"/>
      <c r="G49" s="1159" t="e">
        <f>T49</f>
        <v>#DIV/0!</v>
      </c>
      <c r="H49" s="2317"/>
      <c r="I49" s="1160" t="e">
        <f>V49</f>
        <v>#DIV/0!</v>
      </c>
      <c r="J49" s="2317"/>
      <c r="K49" s="2319">
        <f>F49+H49+J49</f>
        <v>0</v>
      </c>
      <c r="L49" s="2723"/>
      <c r="M49" s="2715"/>
      <c r="N49" s="2715"/>
      <c r="O49" s="2715"/>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1793</v>
      </c>
      <c r="B50" s="442"/>
      <c r="C50" s="1162" t="e">
        <f>R50</f>
        <v>#DIV/0!</v>
      </c>
      <c r="D50" s="1162"/>
      <c r="E50" s="1162"/>
      <c r="F50" s="1162"/>
      <c r="G50" s="1162"/>
      <c r="H50" s="1162"/>
      <c r="I50" s="1162"/>
      <c r="J50" s="443"/>
      <c r="K50" s="714"/>
      <c r="L50" s="2723"/>
      <c r="M50" s="2715"/>
      <c r="N50" s="2715"/>
      <c r="O50" s="2715"/>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1797</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1678</v>
      </c>
      <c r="B59" s="455"/>
      <c r="C59" s="1183" t="str">
        <f>YEAR(C7)&amp;"-"&amp;MONTH(C7)</f>
        <v>2023-9</v>
      </c>
      <c r="D59" s="1184">
        <f>EDATE(C59,-1)</f>
        <v>45139</v>
      </c>
      <c r="E59" s="1184">
        <f>EDATE(D59,-1)</f>
        <v>45108</v>
      </c>
      <c r="F59" s="1184">
        <f t="shared" ref="F59:O59" si="16">EDATE(E59,-1)</f>
        <v>45078</v>
      </c>
      <c r="G59" s="1184">
        <f t="shared" si="16"/>
        <v>45047</v>
      </c>
      <c r="H59" s="1184">
        <f t="shared" si="16"/>
        <v>45017</v>
      </c>
      <c r="I59" s="1184">
        <f t="shared" si="16"/>
        <v>44986</v>
      </c>
      <c r="J59" s="1184">
        <f t="shared" si="16"/>
        <v>44958</v>
      </c>
      <c r="K59" s="1184">
        <f t="shared" si="16"/>
        <v>44927</v>
      </c>
      <c r="L59" s="1184">
        <f t="shared" si="16"/>
        <v>44896</v>
      </c>
      <c r="M59" s="1184">
        <f t="shared" si="16"/>
        <v>44866</v>
      </c>
      <c r="N59" s="1184">
        <f t="shared" si="16"/>
        <v>44835</v>
      </c>
      <c r="O59" s="1184">
        <f t="shared" si="16"/>
        <v>44805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1825</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349.71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679" t="s">
        <v>1769</v>
      </c>
      <c r="D4" s="3680"/>
      <c r="E4" s="3681" t="s">
        <v>1770</v>
      </c>
      <c r="F4" s="3682"/>
      <c r="G4" s="3679" t="s">
        <v>1771</v>
      </c>
      <c r="H4" s="3680"/>
      <c r="I4" s="3679" t="s">
        <v>1772</v>
      </c>
      <c r="J4" s="3680"/>
      <c r="K4" s="559" t="s">
        <v>1773</v>
      </c>
      <c r="L4" s="912"/>
      <c r="M4" s="913"/>
      <c r="N4" s="913"/>
      <c r="O4" s="913"/>
      <c r="P4" s="3683" t="s">
        <v>1774</v>
      </c>
      <c r="Q4" s="3684"/>
      <c r="R4" s="3666" t="s">
        <v>1770</v>
      </c>
      <c r="S4" s="3667"/>
      <c r="T4" s="3666" t="s">
        <v>1771</v>
      </c>
      <c r="U4" s="3667"/>
      <c r="V4" s="3691" t="s">
        <v>1772</v>
      </c>
      <c r="W4" s="3691"/>
      <c r="X4" s="1354"/>
      <c r="Y4" s="3666" t="s">
        <v>1774</v>
      </c>
      <c r="Z4" s="3667"/>
      <c r="AA4" s="3661" t="s">
        <v>1770</v>
      </c>
      <c r="AB4" s="3662" t="s">
        <v>1771</v>
      </c>
      <c r="AC4" s="3661" t="s">
        <v>1772</v>
      </c>
    </row>
    <row r="5" spans="1:29" ht="15">
      <c r="A5" s="358"/>
      <c r="B5" s="359"/>
      <c r="C5" s="3672" t="s">
        <v>1672</v>
      </c>
      <c r="D5" s="3673"/>
      <c r="E5" s="3670" t="s">
        <v>1673</v>
      </c>
      <c r="F5" s="3671"/>
      <c r="G5" s="3672" t="s">
        <v>1674</v>
      </c>
      <c r="H5" s="3673"/>
      <c r="I5" s="3672" t="s">
        <v>1675</v>
      </c>
      <c r="J5" s="3673"/>
      <c r="K5" s="559"/>
      <c r="L5" s="912"/>
      <c r="M5" s="913"/>
      <c r="N5" s="913"/>
      <c r="O5" s="913"/>
      <c r="P5" s="3685"/>
      <c r="Q5" s="3686"/>
      <c r="R5" s="3668"/>
      <c r="S5" s="3669"/>
      <c r="T5" s="3668"/>
      <c r="U5" s="3669"/>
      <c r="V5" s="3691"/>
      <c r="W5" s="3691"/>
      <c r="X5" s="1354"/>
      <c r="Y5" s="3668"/>
      <c r="Z5" s="3669"/>
      <c r="AA5" s="3662"/>
      <c r="AB5" s="3662"/>
      <c r="AC5" s="3662"/>
    </row>
    <row r="6" spans="1:29" ht="15.75" thickBot="1">
      <c r="A6" s="360"/>
      <c r="B6" s="361"/>
      <c r="C6" s="3674" t="s">
        <v>1676</v>
      </c>
      <c r="D6" s="3675"/>
      <c r="E6" s="3676" t="s">
        <v>1676</v>
      </c>
      <c r="F6" s="3677"/>
      <c r="G6" s="3674" t="s">
        <v>1676</v>
      </c>
      <c r="H6" s="3675"/>
      <c r="I6" s="3674" t="s">
        <v>1676</v>
      </c>
      <c r="J6" s="3675"/>
      <c r="K6" s="559" t="s">
        <v>1677</v>
      </c>
      <c r="L6" s="912"/>
      <c r="M6" s="913"/>
      <c r="N6" s="913"/>
      <c r="O6" s="913"/>
      <c r="P6" s="3687"/>
      <c r="Q6" s="3688"/>
      <c r="R6" s="3668"/>
      <c r="S6" s="3669"/>
      <c r="T6" s="3689"/>
      <c r="U6" s="3690"/>
      <c r="V6" s="3691"/>
      <c r="W6" s="3691"/>
      <c r="X6" s="1354"/>
      <c r="Y6" s="3689"/>
      <c r="Z6" s="3690"/>
      <c r="AA6" s="3663"/>
      <c r="AB6" s="3663"/>
      <c r="AC6" s="3663"/>
    </row>
    <row r="7" spans="1:29" s="108" customFormat="1" ht="15.75" thickBot="1">
      <c r="A7" s="362" t="s">
        <v>1678</v>
      </c>
      <c r="B7" s="363"/>
      <c r="C7" s="364">
        <f>'数据-取费表'!B2</f>
        <v>45171</v>
      </c>
      <c r="D7" s="365">
        <v>100</v>
      </c>
      <c r="E7" s="366"/>
      <c r="F7" s="367">
        <f>SUMIF(52:52,YEAR(E7)&amp;"-"&amp;MONTH(E7),53:53)</f>
        <v>0</v>
      </c>
      <c r="G7" s="366"/>
      <c r="H7" s="365">
        <f>SUMIF(52:52,YEAR(G7)&amp;"-"&amp;MONTH(G7),53:53)</f>
        <v>0</v>
      </c>
      <c r="I7" s="366"/>
      <c r="J7" s="365">
        <f>SUMIF(52:52,YEAR(I7)&amp;"-"&amp;MONTH(I7),53:53)</f>
        <v>0</v>
      </c>
      <c r="K7" s="560"/>
      <c r="L7" s="914"/>
      <c r="M7" s="915"/>
      <c r="N7" s="915"/>
      <c r="O7" s="915"/>
      <c r="P7" s="3664" t="s">
        <v>1679</v>
      </c>
      <c r="Q7" s="3692"/>
      <c r="R7" s="700" t="s">
        <v>14</v>
      </c>
      <c r="S7" s="701">
        <f t="shared" ref="S7:S15" si="0">F7</f>
        <v>0</v>
      </c>
      <c r="T7" s="700" t="s">
        <v>14</v>
      </c>
      <c r="U7" s="701">
        <f t="shared" ref="U7:U15" si="1">H7</f>
        <v>0</v>
      </c>
      <c r="V7" s="700" t="s">
        <v>14</v>
      </c>
      <c r="W7" s="701">
        <f t="shared" ref="W7:W15" si="2">J7</f>
        <v>0</v>
      </c>
      <c r="X7" s="702"/>
      <c r="Y7" s="3664" t="s">
        <v>1679</v>
      </c>
      <c r="Z7" s="3665"/>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64" t="s">
        <v>1682</v>
      </c>
      <c r="Q8" s="3665"/>
      <c r="R8" s="700" t="s">
        <v>14</v>
      </c>
      <c r="S8" s="701">
        <f t="shared" si="0"/>
        <v>100</v>
      </c>
      <c r="T8" s="700" t="s">
        <v>14</v>
      </c>
      <c r="U8" s="701">
        <f t="shared" si="1"/>
        <v>100</v>
      </c>
      <c r="V8" s="700" t="s">
        <v>14</v>
      </c>
      <c r="W8" s="701">
        <f t="shared" si="2"/>
        <v>100</v>
      </c>
      <c r="X8" s="702"/>
      <c r="Y8" s="3664" t="s">
        <v>1682</v>
      </c>
      <c r="Z8" s="3665"/>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6" t="s">
        <v>1685</v>
      </c>
      <c r="Q9" s="1342" t="str">
        <f t="shared" ref="Q9:Q15" si="6">B9</f>
        <v>用途</v>
      </c>
      <c r="R9" s="700" t="s">
        <v>14</v>
      </c>
      <c r="S9" s="701">
        <f t="shared" si="0"/>
        <v>100</v>
      </c>
      <c r="T9" s="700" t="s">
        <v>14</v>
      </c>
      <c r="U9" s="701">
        <f t="shared" si="1"/>
        <v>100</v>
      </c>
      <c r="V9" s="700" t="s">
        <v>14</v>
      </c>
      <c r="W9" s="701">
        <f t="shared" si="2"/>
        <v>100</v>
      </c>
      <c r="X9" s="702"/>
      <c r="Y9" s="3608" t="s">
        <v>1686</v>
      </c>
      <c r="Z9" s="52" t="str">
        <f t="shared" ref="Z9:Z15" si="7">Q9</f>
        <v>用途</v>
      </c>
      <c r="AA9" s="703">
        <f t="shared" si="3"/>
        <v>1</v>
      </c>
      <c r="AB9" s="703">
        <f t="shared" si="4"/>
        <v>1</v>
      </c>
      <c r="AC9" s="703">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96"/>
      <c r="Q10" s="1342"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6"/>
      <c r="Q11" s="1342" t="str">
        <f t="shared" si="6"/>
        <v>容积率</v>
      </c>
      <c r="R11" s="700" t="s">
        <v>14</v>
      </c>
      <c r="S11" s="701">
        <f t="shared" si="0"/>
        <v>100</v>
      </c>
      <c r="T11" s="700" t="s">
        <v>14</v>
      </c>
      <c r="U11" s="701">
        <f t="shared" si="1"/>
        <v>100</v>
      </c>
      <c r="V11" s="700" t="s">
        <v>14</v>
      </c>
      <c r="W11" s="701">
        <f t="shared" si="2"/>
        <v>100</v>
      </c>
      <c r="X11" s="702"/>
      <c r="Y11" s="360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96"/>
      <c r="Q12" s="1342">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96"/>
      <c r="Q13" s="1342">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96"/>
      <c r="Q14" s="1342">
        <f t="shared" si="6"/>
        <v>111</v>
      </c>
      <c r="R14" s="700" t="s">
        <v>14</v>
      </c>
      <c r="S14" s="701">
        <f t="shared" si="0"/>
        <v>100</v>
      </c>
      <c r="T14" s="700" t="s">
        <v>14</v>
      </c>
      <c r="U14" s="701">
        <f t="shared" si="1"/>
        <v>100</v>
      </c>
      <c r="V14" s="700" t="s">
        <v>14</v>
      </c>
      <c r="W14" s="701">
        <f t="shared" si="2"/>
        <v>100</v>
      </c>
      <c r="X14" s="702"/>
      <c r="Y14" s="3608"/>
      <c r="Z14" s="52">
        <f t="shared" si="7"/>
        <v>111</v>
      </c>
      <c r="AA14" s="703">
        <f t="shared" si="3"/>
        <v>1</v>
      </c>
      <c r="AB14" s="703">
        <f t="shared" si="4"/>
        <v>1</v>
      </c>
      <c r="AC14" s="703">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8" t="s">
        <v>1690</v>
      </c>
      <c r="Q15" s="1351" t="str">
        <f t="shared" si="6"/>
        <v>产业集聚程度</v>
      </c>
      <c r="R15" s="704" t="s">
        <v>14</v>
      </c>
      <c r="S15" s="705">
        <f t="shared" si="0"/>
        <v>100</v>
      </c>
      <c r="T15" s="704" t="s">
        <v>14</v>
      </c>
      <c r="U15" s="705">
        <f t="shared" si="1"/>
        <v>100</v>
      </c>
      <c r="V15" s="704" t="s">
        <v>14</v>
      </c>
      <c r="W15" s="705">
        <f t="shared" si="2"/>
        <v>100</v>
      </c>
      <c r="X15" s="1354"/>
      <c r="Y15" s="3698"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9"/>
      <c r="Q16" s="1351"/>
      <c r="R16" s="704"/>
      <c r="S16" s="705"/>
      <c r="T16" s="704"/>
      <c r="U16" s="705"/>
      <c r="V16" s="704"/>
      <c r="W16" s="705"/>
      <c r="X16" s="1354"/>
      <c r="Y16" s="3699"/>
      <c r="Z16" s="1355"/>
      <c r="AA16" s="1352">
        <v>1</v>
      </c>
      <c r="AB16" s="1352">
        <v>1</v>
      </c>
      <c r="AC16" s="1352">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9"/>
      <c r="Q17" s="1351" t="str">
        <f>B17</f>
        <v>交通便捷度</v>
      </c>
      <c r="R17" s="704" t="s">
        <v>14</v>
      </c>
      <c r="S17" s="705">
        <f>F17</f>
        <v>100</v>
      </c>
      <c r="T17" s="704" t="s">
        <v>14</v>
      </c>
      <c r="U17" s="705">
        <f>H17</f>
        <v>100</v>
      </c>
      <c r="V17" s="704" t="s">
        <v>14</v>
      </c>
      <c r="W17" s="705">
        <f>J17</f>
        <v>100</v>
      </c>
      <c r="X17" s="1354"/>
      <c r="Y17" s="369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9"/>
      <c r="Q18" s="1351"/>
      <c r="R18" s="704"/>
      <c r="S18" s="705"/>
      <c r="T18" s="704"/>
      <c r="U18" s="705"/>
      <c r="V18" s="704"/>
      <c r="W18" s="705"/>
      <c r="X18" s="1354"/>
      <c r="Y18" s="3699"/>
      <c r="Z18" s="1355"/>
      <c r="AA18" s="1352">
        <v>1</v>
      </c>
      <c r="AB18" s="1352">
        <v>1</v>
      </c>
      <c r="AC18" s="1352">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9"/>
      <c r="Q19" s="1351" t="str">
        <f>B19</f>
        <v>公共配套设施</v>
      </c>
      <c r="R19" s="704" t="s">
        <v>14</v>
      </c>
      <c r="S19" s="705">
        <f>F19</f>
        <v>100</v>
      </c>
      <c r="T19" s="704" t="s">
        <v>14</v>
      </c>
      <c r="U19" s="705">
        <f>H19</f>
        <v>100</v>
      </c>
      <c r="V19" s="704" t="s">
        <v>14</v>
      </c>
      <c r="W19" s="705">
        <f>J19</f>
        <v>100</v>
      </c>
      <c r="X19" s="1354"/>
      <c r="Y19" s="369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9"/>
      <c r="Q20" s="1351"/>
      <c r="R20" s="704"/>
      <c r="S20" s="705"/>
      <c r="T20" s="704"/>
      <c r="U20" s="705"/>
      <c r="V20" s="704"/>
      <c r="W20" s="705"/>
      <c r="X20" s="1354"/>
      <c r="Y20" s="3699"/>
      <c r="Z20" s="1355"/>
      <c r="AA20" s="1352">
        <v>1</v>
      </c>
      <c r="AB20" s="1352">
        <v>1</v>
      </c>
      <c r="AC20" s="1352">
        <v>1</v>
      </c>
    </row>
    <row r="21" spans="1:29" ht="28.5">
      <c r="A21" s="379"/>
      <c r="B21" s="1130"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9"/>
      <c r="Q21" s="1351" t="str">
        <f>B21</f>
        <v>基础设施水平</v>
      </c>
      <c r="R21" s="704" t="s">
        <v>14</v>
      </c>
      <c r="S21" s="705">
        <f>F21</f>
        <v>100</v>
      </c>
      <c r="T21" s="704" t="s">
        <v>14</v>
      </c>
      <c r="U21" s="705">
        <f>H21</f>
        <v>100</v>
      </c>
      <c r="V21" s="704" t="s">
        <v>14</v>
      </c>
      <c r="W21" s="705">
        <f>J21</f>
        <v>100</v>
      </c>
      <c r="X21" s="1354"/>
      <c r="Y21" s="369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9"/>
      <c r="Q22" s="1351"/>
      <c r="R22" s="704"/>
      <c r="S22" s="705"/>
      <c r="T22" s="704"/>
      <c r="U22" s="705"/>
      <c r="V22" s="704"/>
      <c r="W22" s="705"/>
      <c r="X22" s="1354"/>
      <c r="Y22" s="3699"/>
      <c r="Z22" s="1355"/>
      <c r="AA22" s="1352">
        <v>1</v>
      </c>
      <c r="AB22" s="1352">
        <v>1</v>
      </c>
      <c r="AC22" s="1352">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9"/>
      <c r="Q23" s="1351" t="str">
        <f>B23</f>
        <v>环境质量</v>
      </c>
      <c r="R23" s="704" t="s">
        <v>14</v>
      </c>
      <c r="S23" s="705">
        <f>F23</f>
        <v>100</v>
      </c>
      <c r="T23" s="704" t="s">
        <v>14</v>
      </c>
      <c r="U23" s="705">
        <f>H23</f>
        <v>100</v>
      </c>
      <c r="V23" s="704" t="s">
        <v>14</v>
      </c>
      <c r="W23" s="705">
        <f>J23</f>
        <v>100</v>
      </c>
      <c r="X23" s="1354"/>
      <c r="Y23" s="369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9"/>
      <c r="Q24" s="1351"/>
      <c r="R24" s="704"/>
      <c r="S24" s="705"/>
      <c r="T24" s="704"/>
      <c r="U24" s="705"/>
      <c r="V24" s="704"/>
      <c r="W24" s="705"/>
      <c r="X24" s="1354"/>
      <c r="Y24" s="369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9"/>
      <c r="Q25" s="1351">
        <f>B25</f>
        <v>111</v>
      </c>
      <c r="R25" s="704" t="s">
        <v>14</v>
      </c>
      <c r="S25" s="705">
        <f>F25</f>
        <v>100</v>
      </c>
      <c r="T25" s="704" t="s">
        <v>14</v>
      </c>
      <c r="U25" s="705">
        <f>H25</f>
        <v>100</v>
      </c>
      <c r="V25" s="704" t="s">
        <v>14</v>
      </c>
      <c r="W25" s="705">
        <f>J25</f>
        <v>100</v>
      </c>
      <c r="X25" s="1354"/>
      <c r="Y25" s="369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9"/>
      <c r="Q26" s="1351">
        <f t="shared" ref="Q26:Q40" si="11">B26</f>
        <v>111</v>
      </c>
      <c r="R26" s="704" t="s">
        <v>14</v>
      </c>
      <c r="S26" s="705">
        <f>F26</f>
        <v>100</v>
      </c>
      <c r="T26" s="704" t="s">
        <v>14</v>
      </c>
      <c r="U26" s="705">
        <f>H26</f>
        <v>100</v>
      </c>
      <c r="V26" s="704" t="s">
        <v>14</v>
      </c>
      <c r="W26" s="705">
        <f>J26</f>
        <v>100</v>
      </c>
      <c r="X26" s="1354"/>
      <c r="Y26" s="369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9"/>
      <c r="Q27" s="1342">
        <f t="shared" si="11"/>
        <v>111</v>
      </c>
      <c r="R27" s="700" t="s">
        <v>14</v>
      </c>
      <c r="S27" s="701">
        <f>F27</f>
        <v>100</v>
      </c>
      <c r="T27" s="700" t="s">
        <v>14</v>
      </c>
      <c r="U27" s="701">
        <f>H27</f>
        <v>100</v>
      </c>
      <c r="V27" s="700" t="s">
        <v>14</v>
      </c>
      <c r="W27" s="701">
        <f>J27</f>
        <v>100</v>
      </c>
      <c r="X27" s="702"/>
      <c r="Y27" s="369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9"/>
      <c r="Q28" s="1351">
        <f t="shared" si="11"/>
        <v>111</v>
      </c>
      <c r="R28" s="704" t="s">
        <v>14</v>
      </c>
      <c r="S28" s="705">
        <f t="shared" ref="S28:S40" si="12">F28</f>
        <v>100</v>
      </c>
      <c r="T28" s="704" t="s">
        <v>14</v>
      </c>
      <c r="U28" s="705">
        <f t="shared" ref="U28:U40" si="13">H28</f>
        <v>100</v>
      </c>
      <c r="V28" s="704" t="s">
        <v>14</v>
      </c>
      <c r="W28" s="705">
        <f t="shared" ref="W28:W40" si="14">J28</f>
        <v>100</v>
      </c>
      <c r="X28" s="1354"/>
      <c r="Y28" s="3699"/>
      <c r="Z28" s="1355">
        <f t="shared" ref="Z28:Z40" si="15">Q28</f>
        <v>111</v>
      </c>
      <c r="AA28" s="1352">
        <f t="shared" si="3"/>
        <v>1</v>
      </c>
      <c r="AB28" s="1352">
        <f t="shared" si="4"/>
        <v>1</v>
      </c>
      <c r="AC28" s="1352">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22" t="s">
        <v>1695</v>
      </c>
      <c r="Q29" s="1351" t="str">
        <f t="shared" si="11"/>
        <v>建筑类型</v>
      </c>
      <c r="R29" s="704" t="s">
        <v>14</v>
      </c>
      <c r="S29" s="705">
        <f t="shared" si="12"/>
        <v>100</v>
      </c>
      <c r="T29" s="704" t="s">
        <v>14</v>
      </c>
      <c r="U29" s="705">
        <f t="shared" si="13"/>
        <v>100</v>
      </c>
      <c r="V29" s="704" t="s">
        <v>14</v>
      </c>
      <c r="W29" s="705">
        <f t="shared" si="14"/>
        <v>100</v>
      </c>
      <c r="X29" s="1354"/>
      <c r="Y29" s="3703"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3"/>
      <c r="Q30" s="706" t="str">
        <f t="shared" si="11"/>
        <v>项目建筑规模</v>
      </c>
      <c r="R30" s="707" t="s">
        <v>14</v>
      </c>
      <c r="S30" s="708" t="e">
        <f t="shared" si="12"/>
        <v>#N/A</v>
      </c>
      <c r="T30" s="707" t="s">
        <v>14</v>
      </c>
      <c r="U30" s="708" t="e">
        <f t="shared" si="13"/>
        <v>#N/A</v>
      </c>
      <c r="V30" s="707" t="s">
        <v>14</v>
      </c>
      <c r="W30" s="708" t="e">
        <f t="shared" si="14"/>
        <v>#N/A</v>
      </c>
      <c r="X30" s="709"/>
      <c r="Y30" s="3703"/>
      <c r="Z30" s="710"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3"/>
      <c r="Q31" s="1351" t="str">
        <f t="shared" si="11"/>
        <v>建筑结构</v>
      </c>
      <c r="R31" s="704" t="s">
        <v>14</v>
      </c>
      <c r="S31" s="705">
        <f t="shared" si="12"/>
        <v>100</v>
      </c>
      <c r="T31" s="704" t="s">
        <v>14</v>
      </c>
      <c r="U31" s="705">
        <f t="shared" si="13"/>
        <v>100</v>
      </c>
      <c r="V31" s="704" t="s">
        <v>14</v>
      </c>
      <c r="W31" s="705">
        <f t="shared" si="14"/>
        <v>100</v>
      </c>
      <c r="X31" s="1354"/>
      <c r="Y31" s="3703"/>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3"/>
      <c r="Q32" s="1351" t="str">
        <f t="shared" si="11"/>
        <v>公共部分装修</v>
      </c>
      <c r="R32" s="704" t="s">
        <v>14</v>
      </c>
      <c r="S32" s="705">
        <f t="shared" si="12"/>
        <v>100</v>
      </c>
      <c r="T32" s="704" t="s">
        <v>14</v>
      </c>
      <c r="U32" s="705">
        <f t="shared" si="13"/>
        <v>100</v>
      </c>
      <c r="V32" s="704" t="s">
        <v>14</v>
      </c>
      <c r="W32" s="705">
        <f t="shared" si="14"/>
        <v>100</v>
      </c>
      <c r="X32" s="1354"/>
      <c r="Y32" s="3703"/>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3"/>
      <c r="Q33" s="1351" t="str">
        <f t="shared" si="11"/>
        <v>成新度</v>
      </c>
      <c r="R33" s="704" t="s">
        <v>14</v>
      </c>
      <c r="S33" s="705" t="e">
        <f t="shared" si="12"/>
        <v>#N/A</v>
      </c>
      <c r="T33" s="704" t="s">
        <v>14</v>
      </c>
      <c r="U33" s="705" t="e">
        <f t="shared" si="13"/>
        <v>#N/A</v>
      </c>
      <c r="V33" s="704" t="s">
        <v>14</v>
      </c>
      <c r="W33" s="705" t="e">
        <f t="shared" si="14"/>
        <v>#N/A</v>
      </c>
      <c r="X33" s="1354"/>
      <c r="Y33" s="3703"/>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3"/>
      <c r="Q34" s="1342" t="str">
        <f t="shared" si="11"/>
        <v>物业管理</v>
      </c>
      <c r="R34" s="700" t="s">
        <v>14</v>
      </c>
      <c r="S34" s="701">
        <f t="shared" si="12"/>
        <v>100</v>
      </c>
      <c r="T34" s="700" t="s">
        <v>14</v>
      </c>
      <c r="U34" s="701">
        <f t="shared" si="13"/>
        <v>100</v>
      </c>
      <c r="V34" s="700" t="s">
        <v>14</v>
      </c>
      <c r="W34" s="701">
        <f t="shared" si="14"/>
        <v>100</v>
      </c>
      <c r="X34" s="702"/>
      <c r="Y34" s="3703"/>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3" t="s">
        <v>1695</v>
      </c>
      <c r="Q35" s="1351" t="str">
        <f t="shared" si="11"/>
        <v>市政基础设施</v>
      </c>
      <c r="R35" s="704" t="s">
        <v>14</v>
      </c>
      <c r="S35" s="705">
        <f t="shared" si="12"/>
        <v>100</v>
      </c>
      <c r="T35" s="704" t="s">
        <v>14</v>
      </c>
      <c r="U35" s="705">
        <f t="shared" si="13"/>
        <v>100</v>
      </c>
      <c r="V35" s="704" t="s">
        <v>14</v>
      </c>
      <c r="W35" s="705">
        <f t="shared" si="14"/>
        <v>100</v>
      </c>
      <c r="X35" s="1354"/>
      <c r="Y35" s="3703"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3"/>
      <c r="Q36" s="1351" t="str">
        <f t="shared" si="11"/>
        <v>内部装修</v>
      </c>
      <c r="R36" s="704" t="s">
        <v>14</v>
      </c>
      <c r="S36" s="705">
        <f t="shared" si="12"/>
        <v>100</v>
      </c>
      <c r="T36" s="704" t="s">
        <v>14</v>
      </c>
      <c r="U36" s="705">
        <f t="shared" si="13"/>
        <v>100</v>
      </c>
      <c r="V36" s="704" t="s">
        <v>14</v>
      </c>
      <c r="W36" s="705">
        <f t="shared" si="14"/>
        <v>100</v>
      </c>
      <c r="X36" s="1354"/>
      <c r="Y36" s="3703"/>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3"/>
      <c r="Q37" s="1351" t="str">
        <f t="shared" si="11"/>
        <v>内部装修状况</v>
      </c>
      <c r="R37" s="704" t="s">
        <v>14</v>
      </c>
      <c r="S37" s="705">
        <f t="shared" si="12"/>
        <v>100</v>
      </c>
      <c r="T37" s="704" t="s">
        <v>14</v>
      </c>
      <c r="U37" s="705">
        <f t="shared" si="13"/>
        <v>100</v>
      </c>
      <c r="V37" s="704" t="s">
        <v>14</v>
      </c>
      <c r="W37" s="705">
        <f t="shared" si="14"/>
        <v>100</v>
      </c>
      <c r="X37" s="1354"/>
      <c r="Y37" s="370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3"/>
      <c r="Q38" s="706">
        <f t="shared" si="11"/>
        <v>111</v>
      </c>
      <c r="R38" s="707" t="s">
        <v>14</v>
      </c>
      <c r="S38" s="708">
        <f t="shared" si="12"/>
        <v>100</v>
      </c>
      <c r="T38" s="707" t="s">
        <v>14</v>
      </c>
      <c r="U38" s="708">
        <f t="shared" si="13"/>
        <v>100</v>
      </c>
      <c r="V38" s="707" t="s">
        <v>14</v>
      </c>
      <c r="W38" s="708">
        <f t="shared" si="14"/>
        <v>100</v>
      </c>
      <c r="X38" s="709"/>
      <c r="Y38" s="3703"/>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3"/>
      <c r="Q39" s="1351">
        <f t="shared" si="11"/>
        <v>111</v>
      </c>
      <c r="R39" s="704" t="s">
        <v>14</v>
      </c>
      <c r="S39" s="705">
        <f t="shared" si="12"/>
        <v>100</v>
      </c>
      <c r="T39" s="704" t="s">
        <v>14</v>
      </c>
      <c r="U39" s="705">
        <f t="shared" si="13"/>
        <v>100</v>
      </c>
      <c r="V39" s="704" t="s">
        <v>14</v>
      </c>
      <c r="W39" s="705">
        <f t="shared" si="14"/>
        <v>100</v>
      </c>
      <c r="X39" s="1354"/>
      <c r="Y39" s="370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4"/>
      <c r="Q40" s="1351">
        <f t="shared" si="11"/>
        <v>111</v>
      </c>
      <c r="R40" s="704" t="s">
        <v>14</v>
      </c>
      <c r="S40" s="705">
        <f t="shared" si="12"/>
        <v>100</v>
      </c>
      <c r="T40" s="704" t="s">
        <v>14</v>
      </c>
      <c r="U40" s="705">
        <f t="shared" si="13"/>
        <v>100</v>
      </c>
      <c r="V40" s="704" t="s">
        <v>14</v>
      </c>
      <c r="W40" s="705">
        <f t="shared" si="14"/>
        <v>100</v>
      </c>
      <c r="X40" s="1354"/>
      <c r="Y40" s="3704"/>
      <c r="Z40" s="1355">
        <f t="shared" si="15"/>
        <v>111</v>
      </c>
      <c r="AA40" s="1352">
        <f t="shared" si="3"/>
        <v>1</v>
      </c>
      <c r="AB40" s="1352">
        <f t="shared" si="4"/>
        <v>1</v>
      </c>
      <c r="AC40" s="1352">
        <f t="shared" si="5"/>
        <v>1</v>
      </c>
    </row>
    <row r="41" spans="1:29" ht="15">
      <c r="A41" s="430" t="s">
        <v>1707</v>
      </c>
      <c r="B41" s="431"/>
      <c r="C41" s="1153" t="s">
        <v>0</v>
      </c>
      <c r="D41" s="1154"/>
      <c r="E41" s="1155"/>
      <c r="F41" s="1156"/>
      <c r="G41" s="1157"/>
      <c r="H41" s="1158"/>
      <c r="I41" s="1155"/>
      <c r="J41" s="1158"/>
      <c r="K41" s="713"/>
      <c r="L41" s="925"/>
      <c r="M41" s="926"/>
      <c r="N41" s="913"/>
      <c r="O41" s="926"/>
      <c r="P41" s="3696" t="str">
        <f>A41</f>
        <v>成交单价（元/平方米）</v>
      </c>
      <c r="Q41" s="3696"/>
      <c r="R41" s="3697">
        <f>E41</f>
        <v>0</v>
      </c>
      <c r="S41" s="3697"/>
      <c r="T41" s="3697">
        <f>G41</f>
        <v>0</v>
      </c>
      <c r="U41" s="3697"/>
      <c r="V41" s="3697">
        <f>I41</f>
        <v>0</v>
      </c>
      <c r="W41" s="3697"/>
      <c r="X41" s="689"/>
      <c r="Y41" s="711"/>
      <c r="Z41" s="689"/>
      <c r="AA41" s="689"/>
      <c r="AB41" s="689"/>
      <c r="AC41" s="689"/>
    </row>
    <row r="42" spans="1:29" ht="15.75" thickBot="1">
      <c r="A42" s="437" t="s">
        <v>1792</v>
      </c>
      <c r="B42" s="438"/>
      <c r="C42" s="1159" t="e">
        <f>R43</f>
        <v>#DIV/0!</v>
      </c>
      <c r="D42" s="2316" t="s">
        <v>2136</v>
      </c>
      <c r="E42" s="1160" t="e">
        <f>R42</f>
        <v>#DIV/0!</v>
      </c>
      <c r="F42" s="2317"/>
      <c r="G42" s="1159" t="e">
        <f>T42</f>
        <v>#DIV/0!</v>
      </c>
      <c r="H42" s="2317"/>
      <c r="I42" s="1160" t="e">
        <f>V42</f>
        <v>#DIV/0!</v>
      </c>
      <c r="J42" s="2317"/>
      <c r="K42" s="2319">
        <f>F42+H42+J42</f>
        <v>0</v>
      </c>
      <c r="L42" s="925"/>
      <c r="M42" s="926"/>
      <c r="N42" s="913"/>
      <c r="O42" s="926"/>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9"/>
      <c r="Y42" s="689"/>
      <c r="Z42" s="689"/>
      <c r="AA42" s="689"/>
      <c r="AB42" s="689"/>
      <c r="AC42" s="689"/>
    </row>
    <row r="43" spans="1:29" ht="15.75" thickBot="1">
      <c r="A43" s="441" t="s">
        <v>1793</v>
      </c>
      <c r="B43" s="442"/>
      <c r="C43" s="1162" t="e">
        <f>R43</f>
        <v>#DIV/0!</v>
      </c>
      <c r="D43" s="1162"/>
      <c r="E43" s="1162"/>
      <c r="F43" s="1162"/>
      <c r="G43" s="1162"/>
      <c r="H43" s="1162"/>
      <c r="I43" s="1162"/>
      <c r="J43" s="1162"/>
      <c r="K43" s="714"/>
      <c r="L43" s="925"/>
      <c r="M43" s="926"/>
      <c r="N43" s="926"/>
      <c r="O43" s="926"/>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2"/>
      <c r="Q51" s="453"/>
    </row>
    <row r="52" spans="1:17" s="457" customFormat="1" ht="15">
      <c r="A52" s="454" t="s">
        <v>1678</v>
      </c>
      <c r="B52" s="455"/>
      <c r="C52" s="1183" t="str">
        <f>YEAR(C7)&amp;"-"&amp;MONTH(C7)</f>
        <v>2023-9</v>
      </c>
      <c r="D52" s="1184">
        <f>EDATE(C52,-1)</f>
        <v>45139</v>
      </c>
      <c r="E52" s="1184">
        <f t="shared" ref="E52:O52" si="16">EDATE(D52,-1)</f>
        <v>45108</v>
      </c>
      <c r="F52" s="1184">
        <f t="shared" si="16"/>
        <v>45078</v>
      </c>
      <c r="G52" s="1184">
        <f t="shared" si="16"/>
        <v>45047</v>
      </c>
      <c r="H52" s="1184">
        <f t="shared" si="16"/>
        <v>45017</v>
      </c>
      <c r="I52" s="1184">
        <f t="shared" si="16"/>
        <v>44986</v>
      </c>
      <c r="J52" s="1184">
        <f t="shared" si="16"/>
        <v>44958</v>
      </c>
      <c r="K52" s="1184">
        <f t="shared" si="16"/>
        <v>44927</v>
      </c>
      <c r="L52" s="1184">
        <f t="shared" si="16"/>
        <v>44896</v>
      </c>
      <c r="M52" s="1184">
        <f t="shared" si="16"/>
        <v>44866</v>
      </c>
      <c r="N52" s="1184">
        <f t="shared" si="16"/>
        <v>44835</v>
      </c>
      <c r="O52" s="1184">
        <f t="shared" si="16"/>
        <v>44805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897</v>
      </c>
    </row>
    <row r="2" spans="1:1">
      <c r="A2" s="1477"/>
    </row>
    <row r="3" spans="1:1" ht="18">
      <c r="A3" s="1478" t="str">
        <f>项目基本情况!B5&amp;"："</f>
        <v>：</v>
      </c>
    </row>
    <row r="4" spans="1:1" ht="18">
      <c r="A4" s="1479" t="str">
        <f>"受贵公司委托，我公司对"&amp;项目基本情况!S1&amp;"进行了预评估。"</f>
        <v>受贵公司委托，我公司对北京市平谷区平谷镇新开街33号房地产抵押价值进行了预评估。</v>
      </c>
    </row>
    <row r="5" spans="1:1" ht="18.75">
      <c r="A5" s="1480" t="s">
        <v>898</v>
      </c>
    </row>
    <row r="6" spans="1:1" ht="18.75">
      <c r="A6" s="1481" t="s">
        <v>899</v>
      </c>
    </row>
    <row r="7" spans="1:1" ht="18">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估价对象为北京市平谷区平谷镇新开街33号房地产，为所有。根据《国有土地使用证》[]，估价对象（分摊）出让国有建设用地使用权面积为0平方米，建筑面积为349.71平方米。</v>
      </c>
    </row>
    <row r="8" spans="1:1" ht="57.75">
      <c r="A8" s="1482" t="s">
        <v>900</v>
      </c>
    </row>
    <row r="9" spans="1:1" ht="18.75">
      <c r="A9" s="1481" t="s">
        <v>901</v>
      </c>
    </row>
    <row r="10" spans="1:1" ht="18">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估价对象为北京市平谷区平谷镇新开街33号房地产,属开发建设的，该项目尚在开发建设中。根据《国有土地使用证》[]，估价对象（分摊）出让国有建设用地使用权面积为0平方米，规划建筑面积为349.71平方米。</v>
      </c>
    </row>
    <row r="11" spans="1:1" ht="76.5">
      <c r="A11" s="1482" t="s">
        <v>902</v>
      </c>
    </row>
    <row r="12" spans="1:1" ht="18.75">
      <c r="A12" s="1480" t="s">
        <v>903</v>
      </c>
    </row>
    <row r="13" spans="1:1" ht="38.25" customHeight="1">
      <c r="A13" s="1483" t="str">
        <f>IF(项目基本情况!B8="抵押",IF(项目基本情况!B5=项目基本情况!B6,定义!C51,定义!B51),定义!D51)</f>
        <v>拟使用北京市平谷区平谷镇新开街33号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904</v>
      </c>
    </row>
    <row r="15" spans="1:1" ht="18">
      <c r="A15" s="1485" t="str">
        <f>TEXT(项目基本情况!D3,"yyyy年m月d日;;")&amp;IF(项目基本情况!D3=项目基本情况!B3,"（评估专业人员实地查勘之日）","")</f>
        <v>2023年9月2日（评估专业人员实地查勘之日）</v>
      </c>
    </row>
    <row r="16" spans="1:1" ht="18.75">
      <c r="A16" s="1484" t="s">
        <v>905</v>
      </c>
    </row>
    <row r="17" spans="1:1" ht="75">
      <c r="A17" s="1479" t="s">
        <v>906</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895</v>
      </c>
    </row>
    <row r="24" spans="1:1" ht="18">
      <c r="A24" s="1486" t="str">
        <f>"本次评估采用的主估价方法为"&amp;结果表!K4&amp;"和"&amp;结果表!L4&amp;"。"</f>
        <v>本次评估采用的主估价方法为比较法和收益法。</v>
      </c>
    </row>
    <row r="25" spans="1:1" ht="18">
      <c r="A25" s="1486"/>
    </row>
    <row r="26" spans="1:1" ht="18.75">
      <c r="A26" s="1487" t="s">
        <v>896</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3337</v>
      </c>
      <c r="C1" s="1223" t="s">
        <v>1661</v>
      </c>
      <c r="D1" s="1224"/>
      <c r="E1" s="3432"/>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1768</v>
      </c>
      <c r="B4" s="356"/>
      <c r="C4" s="3679" t="s">
        <v>1769</v>
      </c>
      <c r="D4" s="3680"/>
      <c r="E4" s="3681" t="s">
        <v>1770</v>
      </c>
      <c r="F4" s="3682"/>
      <c r="G4" s="3679" t="s">
        <v>1771</v>
      </c>
      <c r="H4" s="3680"/>
      <c r="I4" s="3679" t="s">
        <v>1772</v>
      </c>
      <c r="J4" s="3680"/>
      <c r="K4" s="559" t="s">
        <v>1773</v>
      </c>
      <c r="L4" s="2714"/>
      <c r="M4" s="2715"/>
      <c r="N4" s="2715"/>
      <c r="O4" s="2715"/>
      <c r="P4" s="3683" t="s">
        <v>1774</v>
      </c>
      <c r="Q4" s="3684"/>
      <c r="R4" s="3666" t="s">
        <v>1770</v>
      </c>
      <c r="S4" s="3667"/>
      <c r="T4" s="3666" t="s">
        <v>1771</v>
      </c>
      <c r="U4" s="3667"/>
      <c r="V4" s="3691" t="s">
        <v>1772</v>
      </c>
      <c r="W4" s="3691"/>
      <c r="X4" s="1354"/>
      <c r="Y4" s="3666" t="s">
        <v>1774</v>
      </c>
      <c r="Z4" s="3667"/>
      <c r="AA4" s="3661" t="s">
        <v>1770</v>
      </c>
      <c r="AB4" s="3662" t="s">
        <v>1771</v>
      </c>
      <c r="AC4" s="3661" t="s">
        <v>1772</v>
      </c>
    </row>
    <row r="5" spans="1:29" ht="15">
      <c r="A5" s="358"/>
      <c r="B5" s="359"/>
      <c r="C5" s="3672" t="s">
        <v>1672</v>
      </c>
      <c r="D5" s="3673"/>
      <c r="E5" s="3670" t="s">
        <v>1673</v>
      </c>
      <c r="F5" s="3671"/>
      <c r="G5" s="3672" t="s">
        <v>1674</v>
      </c>
      <c r="H5" s="3673"/>
      <c r="I5" s="3672" t="s">
        <v>1675</v>
      </c>
      <c r="J5" s="3673"/>
      <c r="K5" s="559"/>
      <c r="L5" s="2714"/>
      <c r="M5" s="2715"/>
      <c r="N5" s="2715"/>
      <c r="O5" s="2715"/>
      <c r="P5" s="3685"/>
      <c r="Q5" s="3686"/>
      <c r="R5" s="3668"/>
      <c r="S5" s="3669"/>
      <c r="T5" s="3668"/>
      <c r="U5" s="3669"/>
      <c r="V5" s="3691"/>
      <c r="W5" s="3691"/>
      <c r="X5" s="1354"/>
      <c r="Y5" s="3668"/>
      <c r="Z5" s="3669"/>
      <c r="AA5" s="3662"/>
      <c r="AB5" s="3662"/>
      <c r="AC5" s="3662"/>
    </row>
    <row r="6" spans="1:29" ht="15.75" thickBot="1">
      <c r="A6" s="360"/>
      <c r="B6" s="361"/>
      <c r="C6" s="3674" t="s">
        <v>1676</v>
      </c>
      <c r="D6" s="3675"/>
      <c r="E6" s="3676" t="s">
        <v>1676</v>
      </c>
      <c r="F6" s="3677"/>
      <c r="G6" s="3674" t="s">
        <v>1676</v>
      </c>
      <c r="H6" s="3675"/>
      <c r="I6" s="3674" t="s">
        <v>1676</v>
      </c>
      <c r="J6" s="3675"/>
      <c r="K6" s="559" t="s">
        <v>1677</v>
      </c>
      <c r="L6" s="2714"/>
      <c r="M6" s="2715"/>
      <c r="N6" s="2715"/>
      <c r="O6" s="2715"/>
      <c r="P6" s="3687"/>
      <c r="Q6" s="3688"/>
      <c r="R6" s="3668"/>
      <c r="S6" s="3669"/>
      <c r="T6" s="3689"/>
      <c r="U6" s="3690"/>
      <c r="V6" s="3691"/>
      <c r="W6" s="3691"/>
      <c r="X6" s="1354"/>
      <c r="Y6" s="3689"/>
      <c r="Z6" s="3690"/>
      <c r="AA6" s="3663"/>
      <c r="AB6" s="3663"/>
      <c r="AC6" s="3663"/>
    </row>
    <row r="7" spans="1:29" s="108" customFormat="1" ht="15.75" thickBot="1">
      <c r="A7" s="362" t="s">
        <v>1678</v>
      </c>
      <c r="B7" s="363"/>
      <c r="C7" s="364">
        <f>'数据-取费表'!B2</f>
        <v>45171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4" t="s">
        <v>1679</v>
      </c>
      <c r="Q7" s="3692"/>
      <c r="R7" s="700" t="s">
        <v>14</v>
      </c>
      <c r="S7" s="701">
        <f t="shared" ref="S7:S14" si="0">F7</f>
        <v>0</v>
      </c>
      <c r="T7" s="700" t="s">
        <v>14</v>
      </c>
      <c r="U7" s="701">
        <f t="shared" ref="U7:U14" si="1">H7</f>
        <v>0</v>
      </c>
      <c r="V7" s="700" t="s">
        <v>14</v>
      </c>
      <c r="W7" s="701">
        <f t="shared" ref="W7:W14" si="2">J7</f>
        <v>0</v>
      </c>
      <c r="X7" s="702"/>
      <c r="Y7" s="3664" t="s">
        <v>1679</v>
      </c>
      <c r="Z7" s="3665"/>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4" t="s">
        <v>1682</v>
      </c>
      <c r="Q8" s="3665"/>
      <c r="R8" s="700" t="s">
        <v>14</v>
      </c>
      <c r="S8" s="701">
        <f t="shared" si="0"/>
        <v>100</v>
      </c>
      <c r="T8" s="700" t="s">
        <v>14</v>
      </c>
      <c r="U8" s="701">
        <f t="shared" si="1"/>
        <v>100</v>
      </c>
      <c r="V8" s="700" t="s">
        <v>14</v>
      </c>
      <c r="W8" s="701">
        <f t="shared" si="2"/>
        <v>100</v>
      </c>
      <c r="X8" s="702"/>
      <c r="Y8" s="3664" t="s">
        <v>1682</v>
      </c>
      <c r="Z8" s="3665"/>
      <c r="AA8" s="703">
        <f t="shared" ref="AA8:AA36" si="3">D8/F8</f>
        <v>1</v>
      </c>
      <c r="AB8" s="703">
        <f t="shared" ref="AB8:AB36" si="4">D8/H8</f>
        <v>1</v>
      </c>
      <c r="AC8" s="703">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1685</v>
      </c>
      <c r="Q9" s="1342" t="str">
        <f t="shared" ref="Q9:Q14" si="6">B9</f>
        <v>用途</v>
      </c>
      <c r="R9" s="700" t="s">
        <v>14</v>
      </c>
      <c r="S9" s="701">
        <f t="shared" si="0"/>
        <v>100</v>
      </c>
      <c r="T9" s="700" t="s">
        <v>14</v>
      </c>
      <c r="U9" s="701">
        <f t="shared" si="1"/>
        <v>100</v>
      </c>
      <c r="V9" s="700" t="s">
        <v>14</v>
      </c>
      <c r="W9" s="701">
        <f t="shared" si="2"/>
        <v>100</v>
      </c>
      <c r="X9" s="702"/>
      <c r="Y9" s="3608" t="s">
        <v>1686</v>
      </c>
      <c r="Z9" s="52" t="str">
        <f t="shared" ref="Z9:Z14" si="7">Q9</f>
        <v>用途</v>
      </c>
      <c r="AA9" s="703">
        <f t="shared" si="3"/>
        <v>1</v>
      </c>
      <c r="AB9" s="703">
        <f t="shared" si="4"/>
        <v>1</v>
      </c>
      <c r="AC9" s="703">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2"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2">
        <f t="shared" si="6"/>
        <v>111</v>
      </c>
      <c r="R11" s="700" t="s">
        <v>14</v>
      </c>
      <c r="S11" s="701">
        <f t="shared" si="0"/>
        <v>100</v>
      </c>
      <c r="T11" s="700" t="s">
        <v>14</v>
      </c>
      <c r="U11" s="701">
        <f t="shared" si="1"/>
        <v>100</v>
      </c>
      <c r="V11" s="700" t="s">
        <v>14</v>
      </c>
      <c r="W11" s="701">
        <f t="shared" si="2"/>
        <v>100</v>
      </c>
      <c r="X11" s="702"/>
      <c r="Y11" s="360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2">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2">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1690</v>
      </c>
      <c r="Q14" s="1351" t="str">
        <f t="shared" si="6"/>
        <v>交通便捷度</v>
      </c>
      <c r="R14" s="704" t="s">
        <v>14</v>
      </c>
      <c r="S14" s="705">
        <f t="shared" si="0"/>
        <v>100</v>
      </c>
      <c r="T14" s="704" t="s">
        <v>14</v>
      </c>
      <c r="U14" s="705">
        <f t="shared" si="1"/>
        <v>100</v>
      </c>
      <c r="V14" s="704" t="s">
        <v>14</v>
      </c>
      <c r="W14" s="705">
        <f t="shared" si="2"/>
        <v>100</v>
      </c>
      <c r="X14" s="1354"/>
      <c r="Y14" s="3698"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9"/>
      <c r="Q15" s="1351"/>
      <c r="R15" s="704"/>
      <c r="S15" s="705"/>
      <c r="T15" s="704"/>
      <c r="U15" s="705"/>
      <c r="V15" s="704"/>
      <c r="W15" s="705"/>
      <c r="X15" s="1354"/>
      <c r="Y15" s="3699"/>
      <c r="Z15" s="1355"/>
      <c r="AA15" s="1352">
        <v>1</v>
      </c>
      <c r="AB15" s="1352">
        <v>1</v>
      </c>
      <c r="AC15" s="1352">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1" t="str">
        <f>B16</f>
        <v>公共配套设施</v>
      </c>
      <c r="R16" s="704" t="s">
        <v>14</v>
      </c>
      <c r="S16" s="705">
        <f>F16</f>
        <v>100</v>
      </c>
      <c r="T16" s="704" t="s">
        <v>14</v>
      </c>
      <c r="U16" s="705">
        <f>H16</f>
        <v>100</v>
      </c>
      <c r="V16" s="704" t="s">
        <v>14</v>
      </c>
      <c r="W16" s="705">
        <f>J16</f>
        <v>100</v>
      </c>
      <c r="X16" s="1354"/>
      <c r="Y16" s="369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9"/>
      <c r="Q17" s="1351"/>
      <c r="R17" s="704"/>
      <c r="S17" s="705"/>
      <c r="T17" s="704"/>
      <c r="U17" s="705"/>
      <c r="V17" s="704"/>
      <c r="W17" s="705"/>
      <c r="X17" s="1354"/>
      <c r="Y17" s="3699"/>
      <c r="Z17" s="1355"/>
      <c r="AA17" s="1352">
        <v>1</v>
      </c>
      <c r="AB17" s="1352">
        <v>1</v>
      </c>
      <c r="AC17" s="1352">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1" t="str">
        <f>B18</f>
        <v>基础设施水平</v>
      </c>
      <c r="R18" s="704" t="s">
        <v>14</v>
      </c>
      <c r="S18" s="705">
        <f>F18</f>
        <v>100</v>
      </c>
      <c r="T18" s="704" t="s">
        <v>14</v>
      </c>
      <c r="U18" s="705">
        <f>H18</f>
        <v>100</v>
      </c>
      <c r="V18" s="704" t="s">
        <v>14</v>
      </c>
      <c r="W18" s="705">
        <f>J18</f>
        <v>100</v>
      </c>
      <c r="X18" s="1354"/>
      <c r="Y18" s="369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99"/>
      <c r="Q19" s="1351"/>
      <c r="R19" s="704"/>
      <c r="S19" s="705"/>
      <c r="T19" s="704"/>
      <c r="U19" s="705"/>
      <c r="V19" s="704"/>
      <c r="W19" s="705"/>
      <c r="X19" s="1354"/>
      <c r="Y19" s="3699"/>
      <c r="Z19" s="1355"/>
      <c r="AA19" s="1352">
        <v>1</v>
      </c>
      <c r="AB19" s="1352">
        <v>1</v>
      </c>
      <c r="AC19" s="1352">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1" t="str">
        <f>B20</f>
        <v>自然及人文环境</v>
      </c>
      <c r="R20" s="704" t="s">
        <v>14</v>
      </c>
      <c r="S20" s="705">
        <f>F20</f>
        <v>100</v>
      </c>
      <c r="T20" s="704" t="s">
        <v>14</v>
      </c>
      <c r="U20" s="705">
        <f>H20</f>
        <v>100</v>
      </c>
      <c r="V20" s="704" t="s">
        <v>14</v>
      </c>
      <c r="W20" s="705">
        <f>J20</f>
        <v>100</v>
      </c>
      <c r="X20" s="1354"/>
      <c r="Y20" s="369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9"/>
      <c r="Q21" s="1351"/>
      <c r="R21" s="704"/>
      <c r="S21" s="705"/>
      <c r="T21" s="704"/>
      <c r="U21" s="705"/>
      <c r="V21" s="704"/>
      <c r="W21" s="705"/>
      <c r="X21" s="1354"/>
      <c r="Y21" s="3699"/>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1" t="str">
        <f>B22</f>
        <v>楼层</v>
      </c>
      <c r="R22" s="704" t="s">
        <v>14</v>
      </c>
      <c r="S22" s="705">
        <f>F22</f>
        <v>100</v>
      </c>
      <c r="T22" s="704" t="s">
        <v>14</v>
      </c>
      <c r="U22" s="705">
        <f>H22</f>
        <v>100</v>
      </c>
      <c r="V22" s="704" t="s">
        <v>14</v>
      </c>
      <c r="W22" s="705">
        <f>J22</f>
        <v>100</v>
      </c>
      <c r="X22" s="1354"/>
      <c r="Y22" s="369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1">
        <f>B23</f>
        <v>111</v>
      </c>
      <c r="R23" s="704" t="s">
        <v>14</v>
      </c>
      <c r="S23" s="705">
        <f>F23</f>
        <v>100</v>
      </c>
      <c r="T23" s="704" t="s">
        <v>14</v>
      </c>
      <c r="U23" s="705">
        <f>H23</f>
        <v>100</v>
      </c>
      <c r="V23" s="704" t="s">
        <v>14</v>
      </c>
      <c r="W23" s="705">
        <f>J23</f>
        <v>100</v>
      </c>
      <c r="X23" s="1354"/>
      <c r="Y23" s="369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1">
        <f t="shared" ref="Q24:Q36" si="11">B24</f>
        <v>111</v>
      </c>
      <c r="R24" s="704" t="s">
        <v>14</v>
      </c>
      <c r="S24" s="705">
        <f>F24</f>
        <v>100</v>
      </c>
      <c r="T24" s="704" t="s">
        <v>14</v>
      </c>
      <c r="U24" s="705">
        <f>H24</f>
        <v>100</v>
      </c>
      <c r="V24" s="704" t="s">
        <v>14</v>
      </c>
      <c r="W24" s="705">
        <f>J24</f>
        <v>100</v>
      </c>
      <c r="X24" s="1354"/>
      <c r="Y24" s="369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2">
        <f t="shared" si="11"/>
        <v>111</v>
      </c>
      <c r="R25" s="700" t="s">
        <v>14</v>
      </c>
      <c r="S25" s="701">
        <f>F25</f>
        <v>100</v>
      </c>
      <c r="T25" s="700" t="s">
        <v>14</v>
      </c>
      <c r="U25" s="701">
        <f>H25</f>
        <v>100</v>
      </c>
      <c r="V25" s="700" t="s">
        <v>14</v>
      </c>
      <c r="W25" s="701">
        <f>J25</f>
        <v>100</v>
      </c>
      <c r="X25" s="702"/>
      <c r="Y25" s="3699"/>
      <c r="Z25" s="52">
        <f>Q25</f>
        <v>111</v>
      </c>
      <c r="AA25" s="1352">
        <f>D25/F25</f>
        <v>1</v>
      </c>
      <c r="AB25" s="1352">
        <f>D25/H25</f>
        <v>1</v>
      </c>
      <c r="AC25" s="1352">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2"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3"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6" t="str">
        <f t="shared" si="11"/>
        <v>项目停车位配比</v>
      </c>
      <c r="R27" s="707" t="s">
        <v>14</v>
      </c>
      <c r="S27" s="708">
        <f t="shared" si="12"/>
        <v>100</v>
      </c>
      <c r="T27" s="707" t="s">
        <v>14</v>
      </c>
      <c r="U27" s="708">
        <f t="shared" si="13"/>
        <v>100</v>
      </c>
      <c r="V27" s="707" t="s">
        <v>14</v>
      </c>
      <c r="W27" s="708">
        <f t="shared" si="14"/>
        <v>100</v>
      </c>
      <c r="X27" s="709"/>
      <c r="Y27" s="3703"/>
      <c r="Z27" s="710"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1" t="str">
        <f t="shared" si="11"/>
        <v>公共部分装修</v>
      </c>
      <c r="R28" s="704" t="s">
        <v>14</v>
      </c>
      <c r="S28" s="705">
        <f t="shared" si="12"/>
        <v>100</v>
      </c>
      <c r="T28" s="704" t="s">
        <v>14</v>
      </c>
      <c r="U28" s="705">
        <f t="shared" si="13"/>
        <v>100</v>
      </c>
      <c r="V28" s="704" t="s">
        <v>14</v>
      </c>
      <c r="W28" s="705">
        <f t="shared" si="14"/>
        <v>100</v>
      </c>
      <c r="X28" s="1354"/>
      <c r="Y28" s="3703"/>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1" t="str">
        <f t="shared" si="11"/>
        <v>成新率</v>
      </c>
      <c r="R29" s="704" t="s">
        <v>14</v>
      </c>
      <c r="S29" s="705" t="e">
        <f t="shared" si="12"/>
        <v>#N/A</v>
      </c>
      <c r="T29" s="704" t="s">
        <v>14</v>
      </c>
      <c r="U29" s="705" t="e">
        <f t="shared" si="13"/>
        <v>#N/A</v>
      </c>
      <c r="V29" s="704" t="s">
        <v>14</v>
      </c>
      <c r="W29" s="705" t="e">
        <f t="shared" si="14"/>
        <v>#N/A</v>
      </c>
      <c r="X29" s="1354"/>
      <c r="Y29" s="3703"/>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1" t="str">
        <f t="shared" si="11"/>
        <v>物业等级</v>
      </c>
      <c r="R30" s="704" t="s">
        <v>14</v>
      </c>
      <c r="S30" s="705">
        <f t="shared" si="12"/>
        <v>100</v>
      </c>
      <c r="T30" s="704" t="s">
        <v>14</v>
      </c>
      <c r="U30" s="705">
        <f t="shared" si="13"/>
        <v>100</v>
      </c>
      <c r="V30" s="704" t="s">
        <v>14</v>
      </c>
      <c r="W30" s="705">
        <f t="shared" si="14"/>
        <v>100</v>
      </c>
      <c r="X30" s="1354"/>
      <c r="Y30" s="3703"/>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2" t="str">
        <f t="shared" si="11"/>
        <v>停车位面积</v>
      </c>
      <c r="R31" s="700" t="s">
        <v>14</v>
      </c>
      <c r="S31" s="701" t="e">
        <f t="shared" si="12"/>
        <v>#N/A</v>
      </c>
      <c r="T31" s="700" t="s">
        <v>14</v>
      </c>
      <c r="U31" s="701" t="e">
        <f t="shared" si="13"/>
        <v>#N/A</v>
      </c>
      <c r="V31" s="700" t="s">
        <v>14</v>
      </c>
      <c r="W31" s="701" t="e">
        <f t="shared" si="14"/>
        <v>#N/A</v>
      </c>
      <c r="X31" s="702"/>
      <c r="Y31" s="3703"/>
      <c r="Z31" s="52" t="str">
        <f t="shared" si="15"/>
        <v>停车位面积</v>
      </c>
      <c r="AA31" s="703" t="e">
        <f t="shared" si="3"/>
        <v>#N/A</v>
      </c>
      <c r="AB31" s="703" t="e">
        <f t="shared" si="4"/>
        <v>#N/A</v>
      </c>
      <c r="AC31" s="703"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1695</v>
      </c>
      <c r="Q32" s="1351" t="str">
        <f t="shared" si="11"/>
        <v>车位类型</v>
      </c>
      <c r="R32" s="704" t="s">
        <v>14</v>
      </c>
      <c r="S32" s="705">
        <f t="shared" si="12"/>
        <v>100</v>
      </c>
      <c r="T32" s="704" t="s">
        <v>14</v>
      </c>
      <c r="U32" s="705">
        <f t="shared" si="13"/>
        <v>100</v>
      </c>
      <c r="V32" s="704" t="s">
        <v>14</v>
      </c>
      <c r="W32" s="705">
        <f t="shared" si="14"/>
        <v>100</v>
      </c>
      <c r="X32" s="1354"/>
      <c r="Y32" s="3703"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1" t="str">
        <f t="shared" si="11"/>
        <v>是否直接入户</v>
      </c>
      <c r="R33" s="704" t="s">
        <v>14</v>
      </c>
      <c r="S33" s="705">
        <f t="shared" si="12"/>
        <v>100</v>
      </c>
      <c r="T33" s="704" t="s">
        <v>14</v>
      </c>
      <c r="U33" s="705">
        <f t="shared" si="13"/>
        <v>100</v>
      </c>
      <c r="V33" s="704" t="s">
        <v>14</v>
      </c>
      <c r="W33" s="705">
        <f t="shared" si="14"/>
        <v>100</v>
      </c>
      <c r="X33" s="1354"/>
      <c r="Y33" s="370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1">
        <f t="shared" si="11"/>
        <v>111</v>
      </c>
      <c r="R34" s="704" t="s">
        <v>14</v>
      </c>
      <c r="S34" s="705">
        <f t="shared" si="12"/>
        <v>100</v>
      </c>
      <c r="T34" s="704" t="s">
        <v>14</v>
      </c>
      <c r="U34" s="705">
        <f t="shared" si="13"/>
        <v>100</v>
      </c>
      <c r="V34" s="704" t="s">
        <v>14</v>
      </c>
      <c r="W34" s="705">
        <f t="shared" si="14"/>
        <v>100</v>
      </c>
      <c r="X34" s="1354"/>
      <c r="Y34" s="370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6">
        <f t="shared" si="11"/>
        <v>111</v>
      </c>
      <c r="R35" s="707" t="s">
        <v>14</v>
      </c>
      <c r="S35" s="708">
        <f t="shared" si="12"/>
        <v>100</v>
      </c>
      <c r="T35" s="707" t="s">
        <v>14</v>
      </c>
      <c r="U35" s="708">
        <f t="shared" si="13"/>
        <v>100</v>
      </c>
      <c r="V35" s="707" t="s">
        <v>14</v>
      </c>
      <c r="W35" s="708">
        <f t="shared" si="14"/>
        <v>100</v>
      </c>
      <c r="X35" s="709"/>
      <c r="Y35" s="3703"/>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1">
        <f t="shared" si="11"/>
        <v>111</v>
      </c>
      <c r="R36" s="704" t="s">
        <v>14</v>
      </c>
      <c r="S36" s="705">
        <f t="shared" si="12"/>
        <v>100</v>
      </c>
      <c r="T36" s="704" t="s">
        <v>14</v>
      </c>
      <c r="U36" s="705">
        <f t="shared" si="13"/>
        <v>100</v>
      </c>
      <c r="V36" s="704" t="s">
        <v>14</v>
      </c>
      <c r="W36" s="705">
        <f t="shared" si="14"/>
        <v>100</v>
      </c>
      <c r="X36" s="1354"/>
      <c r="Y36" s="3703"/>
      <c r="Z36" s="1355">
        <f t="shared" si="15"/>
        <v>111</v>
      </c>
      <c r="AA36" s="1352">
        <f t="shared" si="3"/>
        <v>1</v>
      </c>
      <c r="AB36" s="1352">
        <f t="shared" si="4"/>
        <v>1</v>
      </c>
      <c r="AC36" s="1352">
        <f t="shared" si="5"/>
        <v>1</v>
      </c>
    </row>
    <row r="37" spans="1:29" ht="15">
      <c r="A37" s="430" t="s">
        <v>1843</v>
      </c>
      <c r="B37" s="1972" t="s">
        <v>3358</v>
      </c>
      <c r="C37" s="1153" t="s">
        <v>0</v>
      </c>
      <c r="D37" s="1154"/>
      <c r="E37" s="1155"/>
      <c r="F37" s="1156"/>
      <c r="G37" s="1157"/>
      <c r="H37" s="1158"/>
      <c r="I37" s="1155"/>
      <c r="J37" s="1158"/>
      <c r="K37" s="568"/>
      <c r="L37" s="2723"/>
      <c r="M37" s="2724"/>
      <c r="N37" s="2715"/>
      <c r="O37" s="2724"/>
      <c r="P37" s="3696" t="str">
        <f>A37</f>
        <v>成交单价</v>
      </c>
      <c r="Q37" s="3696"/>
      <c r="R37" s="3697">
        <f>E37</f>
        <v>0</v>
      </c>
      <c r="S37" s="3697"/>
      <c r="T37" s="3697">
        <f>G37</f>
        <v>0</v>
      </c>
      <c r="U37" s="3697"/>
      <c r="V37" s="3697">
        <f>I37</f>
        <v>0</v>
      </c>
      <c r="W37" s="3697"/>
      <c r="X37" s="689"/>
      <c r="Y37" s="711"/>
      <c r="Z37" s="689"/>
      <c r="AA37" s="689"/>
      <c r="AB37" s="689"/>
      <c r="AC37" s="689"/>
    </row>
    <row r="38" spans="1:29" ht="15.75" thickBot="1">
      <c r="A38" s="437" t="s">
        <v>1844</v>
      </c>
      <c r="B38" s="438" t="str">
        <f>B37</f>
        <v>元/平方米</v>
      </c>
      <c r="C38" s="1159" t="e">
        <f>R39</f>
        <v>#DIV/0!</v>
      </c>
      <c r="D38" s="2316" t="s">
        <v>2136</v>
      </c>
      <c r="E38" s="1160" t="e">
        <f>R38</f>
        <v>#DIV/0!</v>
      </c>
      <c r="F38" s="2317"/>
      <c r="G38" s="1159" t="e">
        <f>T38</f>
        <v>#DIV/0!</v>
      </c>
      <c r="H38" s="2317"/>
      <c r="I38" s="1160" t="e">
        <f>V38</f>
        <v>#DIV/0!</v>
      </c>
      <c r="J38" s="2317"/>
      <c r="K38" s="2319">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9"/>
      <c r="Y38" s="689"/>
      <c r="Z38" s="689"/>
      <c r="AA38" s="689"/>
      <c r="AB38" s="689"/>
      <c r="AC38" s="689"/>
    </row>
    <row r="39" spans="1:29" ht="15.75" thickBot="1">
      <c r="A39" s="441" t="s">
        <v>1845</v>
      </c>
      <c r="B39" s="442"/>
      <c r="C39" s="1162" t="e">
        <f>R39</f>
        <v>#DIV/0!</v>
      </c>
      <c r="D39" s="1162"/>
      <c r="E39" s="1162"/>
      <c r="F39" s="1162"/>
      <c r="G39" s="1162"/>
      <c r="H39" s="1162"/>
      <c r="I39" s="1162"/>
      <c r="J39" s="1162"/>
      <c r="K39" s="569"/>
      <c r="L39" s="2723"/>
      <c r="M39" s="2724"/>
      <c r="N39" s="2724"/>
      <c r="O39" s="2724"/>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1849</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3" t="str">
        <f>YEAR(C7)&amp;"-"&amp;MONTH(C7)</f>
        <v>2023-9</v>
      </c>
      <c r="D48" s="1184">
        <f>EDATE(C48,-1)</f>
        <v>45139</v>
      </c>
      <c r="E48" s="1184">
        <f t="shared" ref="E48:O48" si="16">EDATE(D48,-1)</f>
        <v>45108</v>
      </c>
      <c r="F48" s="1184">
        <f t="shared" si="16"/>
        <v>45078</v>
      </c>
      <c r="G48" s="1184">
        <f t="shared" si="16"/>
        <v>45047</v>
      </c>
      <c r="H48" s="1184">
        <f t="shared" si="16"/>
        <v>45017</v>
      </c>
      <c r="I48" s="1184">
        <f t="shared" si="16"/>
        <v>44986</v>
      </c>
      <c r="J48" s="1184">
        <f t="shared" si="16"/>
        <v>44958</v>
      </c>
      <c r="K48" s="1184">
        <f t="shared" si="16"/>
        <v>44927</v>
      </c>
      <c r="L48" s="1184">
        <f t="shared" si="16"/>
        <v>44896</v>
      </c>
      <c r="M48" s="1184">
        <f t="shared" si="16"/>
        <v>44866</v>
      </c>
      <c r="N48" s="1184">
        <f t="shared" si="16"/>
        <v>44835</v>
      </c>
      <c r="O48" s="1184">
        <f t="shared" si="16"/>
        <v>44805</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3338</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1768</v>
      </c>
      <c r="B4" s="356"/>
      <c r="C4" s="3679" t="s">
        <v>1769</v>
      </c>
      <c r="D4" s="3680"/>
      <c r="E4" s="3681" t="s">
        <v>1770</v>
      </c>
      <c r="F4" s="3682"/>
      <c r="G4" s="3679" t="s">
        <v>1771</v>
      </c>
      <c r="H4" s="3680"/>
      <c r="I4" s="3679" t="s">
        <v>1772</v>
      </c>
      <c r="J4" s="3680"/>
      <c r="K4" s="559" t="s">
        <v>1773</v>
      </c>
      <c r="L4" s="2714"/>
      <c r="M4" s="2715"/>
      <c r="N4" s="2715"/>
      <c r="O4" s="2715"/>
      <c r="P4" s="3683" t="s">
        <v>1774</v>
      </c>
      <c r="Q4" s="3684"/>
      <c r="R4" s="3666" t="s">
        <v>1770</v>
      </c>
      <c r="S4" s="3667"/>
      <c r="T4" s="3666" t="s">
        <v>1771</v>
      </c>
      <c r="U4" s="3667"/>
      <c r="V4" s="3691" t="s">
        <v>1772</v>
      </c>
      <c r="W4" s="3691"/>
      <c r="X4" s="1354"/>
      <c r="Y4" s="3666" t="s">
        <v>1774</v>
      </c>
      <c r="Z4" s="3667"/>
      <c r="AA4" s="3661" t="s">
        <v>1770</v>
      </c>
      <c r="AB4" s="3662" t="s">
        <v>1771</v>
      </c>
      <c r="AC4" s="3661" t="s">
        <v>1772</v>
      </c>
    </row>
    <row r="5" spans="1:29" ht="15">
      <c r="A5" s="358"/>
      <c r="B5" s="359"/>
      <c r="C5" s="3672" t="s">
        <v>1672</v>
      </c>
      <c r="D5" s="3673"/>
      <c r="E5" s="3670" t="s">
        <v>1673</v>
      </c>
      <c r="F5" s="3671"/>
      <c r="G5" s="3672" t="s">
        <v>1674</v>
      </c>
      <c r="H5" s="3673"/>
      <c r="I5" s="3672" t="s">
        <v>1675</v>
      </c>
      <c r="J5" s="3673"/>
      <c r="K5" s="559"/>
      <c r="L5" s="2714"/>
      <c r="M5" s="2715"/>
      <c r="N5" s="2715"/>
      <c r="O5" s="2715"/>
      <c r="P5" s="3685"/>
      <c r="Q5" s="3686"/>
      <c r="R5" s="3668"/>
      <c r="S5" s="3669"/>
      <c r="T5" s="3668"/>
      <c r="U5" s="3669"/>
      <c r="V5" s="3691"/>
      <c r="W5" s="3691"/>
      <c r="X5" s="1354"/>
      <c r="Y5" s="3668"/>
      <c r="Z5" s="3669"/>
      <c r="AA5" s="3662"/>
      <c r="AB5" s="3662"/>
      <c r="AC5" s="3662"/>
    </row>
    <row r="6" spans="1:29" ht="15.75" thickBot="1">
      <c r="A6" s="360"/>
      <c r="B6" s="361"/>
      <c r="C6" s="3674" t="s">
        <v>1676</v>
      </c>
      <c r="D6" s="3675"/>
      <c r="E6" s="3676" t="s">
        <v>1676</v>
      </c>
      <c r="F6" s="3677"/>
      <c r="G6" s="3674" t="s">
        <v>1676</v>
      </c>
      <c r="H6" s="3675"/>
      <c r="I6" s="3674" t="s">
        <v>1676</v>
      </c>
      <c r="J6" s="3675"/>
      <c r="K6" s="559" t="s">
        <v>1677</v>
      </c>
      <c r="L6" s="2714"/>
      <c r="M6" s="2715"/>
      <c r="N6" s="2715"/>
      <c r="O6" s="2715"/>
      <c r="P6" s="3687"/>
      <c r="Q6" s="3688"/>
      <c r="R6" s="3668"/>
      <c r="S6" s="3669"/>
      <c r="T6" s="3689"/>
      <c r="U6" s="3690"/>
      <c r="V6" s="3691"/>
      <c r="W6" s="3691"/>
      <c r="X6" s="1354"/>
      <c r="Y6" s="3689"/>
      <c r="Z6" s="3690"/>
      <c r="AA6" s="3663"/>
      <c r="AB6" s="3663"/>
      <c r="AC6" s="3663"/>
    </row>
    <row r="7" spans="1:29" s="108" customFormat="1" ht="15.75" thickBot="1">
      <c r="A7" s="362" t="s">
        <v>1678</v>
      </c>
      <c r="B7" s="363"/>
      <c r="C7" s="364">
        <f>'数据-取费表'!B2</f>
        <v>45171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64" t="s">
        <v>1679</v>
      </c>
      <c r="Q7" s="3692"/>
      <c r="R7" s="700" t="s">
        <v>14</v>
      </c>
      <c r="S7" s="701">
        <f t="shared" ref="S7:S14" si="0">F7</f>
        <v>0</v>
      </c>
      <c r="T7" s="700" t="s">
        <v>14</v>
      </c>
      <c r="U7" s="701">
        <f t="shared" ref="U7:U14" si="1">H7</f>
        <v>0</v>
      </c>
      <c r="V7" s="700" t="s">
        <v>14</v>
      </c>
      <c r="W7" s="701">
        <f t="shared" ref="W7:W14" si="2">J7</f>
        <v>0</v>
      </c>
      <c r="X7" s="702"/>
      <c r="Y7" s="3664" t="s">
        <v>1679</v>
      </c>
      <c r="Z7" s="3665"/>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4" t="s">
        <v>1682</v>
      </c>
      <c r="Q8" s="3665"/>
      <c r="R8" s="700" t="s">
        <v>14</v>
      </c>
      <c r="S8" s="701">
        <f t="shared" si="0"/>
        <v>100</v>
      </c>
      <c r="T8" s="700" t="s">
        <v>14</v>
      </c>
      <c r="U8" s="701">
        <f t="shared" si="1"/>
        <v>100</v>
      </c>
      <c r="V8" s="700" t="s">
        <v>14</v>
      </c>
      <c r="W8" s="701">
        <f t="shared" si="2"/>
        <v>100</v>
      </c>
      <c r="X8" s="702"/>
      <c r="Y8" s="3664" t="s">
        <v>1682</v>
      </c>
      <c r="Z8" s="3665"/>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1685</v>
      </c>
      <c r="Q9" s="1342" t="str">
        <f t="shared" ref="Q9:Q14" si="6">B9</f>
        <v>用途</v>
      </c>
      <c r="R9" s="700" t="s">
        <v>14</v>
      </c>
      <c r="S9" s="701">
        <f t="shared" si="0"/>
        <v>100</v>
      </c>
      <c r="T9" s="700" t="s">
        <v>14</v>
      </c>
      <c r="U9" s="701">
        <f t="shared" si="1"/>
        <v>100</v>
      </c>
      <c r="V9" s="700" t="s">
        <v>14</v>
      </c>
      <c r="W9" s="701">
        <f t="shared" si="2"/>
        <v>100</v>
      </c>
      <c r="X9" s="702"/>
      <c r="Y9" s="3608" t="s">
        <v>1686</v>
      </c>
      <c r="Z9" s="52" t="str">
        <f t="shared" ref="Z9:Z14" si="7">Q9</f>
        <v>用途</v>
      </c>
      <c r="AA9" s="703">
        <f t="shared" si="3"/>
        <v>1</v>
      </c>
      <c r="AB9" s="703">
        <f t="shared" si="4"/>
        <v>1</v>
      </c>
      <c r="AC9" s="703">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2"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2">
        <f t="shared" si="6"/>
        <v>111</v>
      </c>
      <c r="R11" s="700" t="s">
        <v>14</v>
      </c>
      <c r="S11" s="701">
        <f t="shared" si="0"/>
        <v>100</v>
      </c>
      <c r="T11" s="700" t="s">
        <v>14</v>
      </c>
      <c r="U11" s="701">
        <f t="shared" si="1"/>
        <v>100</v>
      </c>
      <c r="V11" s="700" t="s">
        <v>14</v>
      </c>
      <c r="W11" s="701">
        <f t="shared" si="2"/>
        <v>100</v>
      </c>
      <c r="X11" s="702"/>
      <c r="Y11" s="360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2">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96"/>
      <c r="Q13" s="1342">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1690</v>
      </c>
      <c r="Q14" s="1351" t="str">
        <f t="shared" si="6"/>
        <v>交通便捷度</v>
      </c>
      <c r="R14" s="704" t="s">
        <v>14</v>
      </c>
      <c r="S14" s="705">
        <f t="shared" si="0"/>
        <v>100</v>
      </c>
      <c r="T14" s="704" t="s">
        <v>14</v>
      </c>
      <c r="U14" s="705">
        <f t="shared" si="1"/>
        <v>100</v>
      </c>
      <c r="V14" s="704" t="s">
        <v>14</v>
      </c>
      <c r="W14" s="705">
        <f t="shared" si="2"/>
        <v>100</v>
      </c>
      <c r="X14" s="1354"/>
      <c r="Y14" s="3698"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9"/>
      <c r="Q15" s="1351"/>
      <c r="R15" s="704"/>
      <c r="S15" s="705"/>
      <c r="T15" s="704"/>
      <c r="U15" s="705"/>
      <c r="V15" s="704"/>
      <c r="W15" s="705"/>
      <c r="X15" s="1354"/>
      <c r="Y15" s="3699"/>
      <c r="Z15" s="1355"/>
      <c r="AA15" s="1352">
        <v>1</v>
      </c>
      <c r="AB15" s="1352">
        <v>1</v>
      </c>
      <c r="AC15" s="1352">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1" t="str">
        <f>B16</f>
        <v>公共配套设施</v>
      </c>
      <c r="R16" s="704" t="s">
        <v>14</v>
      </c>
      <c r="S16" s="705">
        <f>F16</f>
        <v>100</v>
      </c>
      <c r="T16" s="704" t="s">
        <v>14</v>
      </c>
      <c r="U16" s="705">
        <f>H16</f>
        <v>100</v>
      </c>
      <c r="V16" s="704" t="s">
        <v>14</v>
      </c>
      <c r="W16" s="705">
        <f>J16</f>
        <v>100</v>
      </c>
      <c r="X16" s="1354"/>
      <c r="Y16" s="369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9"/>
      <c r="Q17" s="1351"/>
      <c r="R17" s="704"/>
      <c r="S17" s="705"/>
      <c r="T17" s="704"/>
      <c r="U17" s="705"/>
      <c r="V17" s="704"/>
      <c r="W17" s="705"/>
      <c r="X17" s="1354"/>
      <c r="Y17" s="3699"/>
      <c r="Z17" s="1355"/>
      <c r="AA17" s="1352">
        <v>1</v>
      </c>
      <c r="AB17" s="1352">
        <v>1</v>
      </c>
      <c r="AC17" s="1352">
        <v>1</v>
      </c>
    </row>
    <row r="18" spans="1:29" ht="28.5">
      <c r="A18" s="379"/>
      <c r="B18" s="1130"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1" t="str">
        <f>B18</f>
        <v>基础设施水平</v>
      </c>
      <c r="R18" s="704" t="s">
        <v>14</v>
      </c>
      <c r="S18" s="705">
        <f>F18</f>
        <v>100</v>
      </c>
      <c r="T18" s="704" t="s">
        <v>14</v>
      </c>
      <c r="U18" s="705">
        <f>H18</f>
        <v>100</v>
      </c>
      <c r="V18" s="704" t="s">
        <v>14</v>
      </c>
      <c r="W18" s="705">
        <f>J18</f>
        <v>100</v>
      </c>
      <c r="X18" s="1354"/>
      <c r="Y18" s="3699"/>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9"/>
      <c r="Q19" s="1351"/>
      <c r="R19" s="704"/>
      <c r="S19" s="705"/>
      <c r="T19" s="704"/>
      <c r="U19" s="705"/>
      <c r="V19" s="704"/>
      <c r="W19" s="705"/>
      <c r="X19" s="1354"/>
      <c r="Y19" s="3699"/>
      <c r="Z19" s="1355"/>
      <c r="AA19" s="1352">
        <v>1</v>
      </c>
      <c r="AB19" s="1352">
        <v>1</v>
      </c>
      <c r="AC19" s="1352">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1" t="str">
        <f>B20</f>
        <v>自然及人文环境</v>
      </c>
      <c r="R20" s="704" t="s">
        <v>14</v>
      </c>
      <c r="S20" s="705">
        <f>F20</f>
        <v>100</v>
      </c>
      <c r="T20" s="704" t="s">
        <v>14</v>
      </c>
      <c r="U20" s="705">
        <f>H20</f>
        <v>100</v>
      </c>
      <c r="V20" s="704" t="s">
        <v>14</v>
      </c>
      <c r="W20" s="705">
        <f>J20</f>
        <v>100</v>
      </c>
      <c r="X20" s="1354"/>
      <c r="Y20" s="369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9"/>
      <c r="Q21" s="1351"/>
      <c r="R21" s="704"/>
      <c r="S21" s="705"/>
      <c r="T21" s="704"/>
      <c r="U21" s="705"/>
      <c r="V21" s="704"/>
      <c r="W21" s="705"/>
      <c r="X21" s="1354"/>
      <c r="Y21" s="3699"/>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1" t="str">
        <f>B22</f>
        <v>楼层</v>
      </c>
      <c r="R22" s="704" t="s">
        <v>14</v>
      </c>
      <c r="S22" s="705">
        <f>F22</f>
        <v>100</v>
      </c>
      <c r="T22" s="704" t="s">
        <v>14</v>
      </c>
      <c r="U22" s="705">
        <f>H22</f>
        <v>100</v>
      </c>
      <c r="V22" s="704" t="s">
        <v>14</v>
      </c>
      <c r="W22" s="705">
        <f>J22</f>
        <v>100</v>
      </c>
      <c r="X22" s="1354"/>
      <c r="Y22" s="369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1">
        <f>B23</f>
        <v>111</v>
      </c>
      <c r="R23" s="704" t="s">
        <v>14</v>
      </c>
      <c r="S23" s="705">
        <f>F23</f>
        <v>100</v>
      </c>
      <c r="T23" s="704" t="s">
        <v>14</v>
      </c>
      <c r="U23" s="705">
        <f>H23</f>
        <v>100</v>
      </c>
      <c r="V23" s="704" t="s">
        <v>14</v>
      </c>
      <c r="W23" s="705">
        <f>J23</f>
        <v>100</v>
      </c>
      <c r="X23" s="1354"/>
      <c r="Y23" s="369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1">
        <f t="shared" ref="Q24:Q34" si="11">B24</f>
        <v>111</v>
      </c>
      <c r="R24" s="704" t="s">
        <v>14</v>
      </c>
      <c r="S24" s="705">
        <f>F24</f>
        <v>100</v>
      </c>
      <c r="T24" s="704" t="s">
        <v>14</v>
      </c>
      <c r="U24" s="705">
        <f>H24</f>
        <v>100</v>
      </c>
      <c r="V24" s="704" t="s">
        <v>14</v>
      </c>
      <c r="W24" s="705">
        <f>J24</f>
        <v>100</v>
      </c>
      <c r="X24" s="1354"/>
      <c r="Y24" s="3699"/>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9"/>
      <c r="Q25" s="1342">
        <f t="shared" si="11"/>
        <v>111</v>
      </c>
      <c r="R25" s="700" t="s">
        <v>14</v>
      </c>
      <c r="S25" s="701">
        <f>F25</f>
        <v>100</v>
      </c>
      <c r="T25" s="700" t="s">
        <v>14</v>
      </c>
      <c r="U25" s="701">
        <f>H25</f>
        <v>100</v>
      </c>
      <c r="V25" s="700" t="s">
        <v>14</v>
      </c>
      <c r="W25" s="701">
        <f>J25</f>
        <v>100</v>
      </c>
      <c r="X25" s="702"/>
      <c r="Y25" s="3699"/>
      <c r="Z25" s="52">
        <f>Q25</f>
        <v>111</v>
      </c>
      <c r="AA25" s="1352">
        <f>D25/F25</f>
        <v>1</v>
      </c>
      <c r="AB25" s="1352">
        <f>D25/H25</f>
        <v>1</v>
      </c>
      <c r="AC25" s="1352">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2"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3"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6" t="str">
        <f t="shared" si="11"/>
        <v>成新率</v>
      </c>
      <c r="R27" s="707" t="s">
        <v>14</v>
      </c>
      <c r="S27" s="708" t="e">
        <f t="shared" si="12"/>
        <v>#N/A</v>
      </c>
      <c r="T27" s="707" t="s">
        <v>14</v>
      </c>
      <c r="U27" s="708" t="e">
        <f t="shared" si="13"/>
        <v>#N/A</v>
      </c>
      <c r="V27" s="707" t="s">
        <v>14</v>
      </c>
      <c r="W27" s="708" t="e">
        <f t="shared" si="14"/>
        <v>#N/A</v>
      </c>
      <c r="X27" s="709"/>
      <c r="Y27" s="3703"/>
      <c r="Z27" s="710"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1" t="str">
        <f t="shared" si="11"/>
        <v>物业等级</v>
      </c>
      <c r="R28" s="704" t="s">
        <v>14</v>
      </c>
      <c r="S28" s="705">
        <f t="shared" si="12"/>
        <v>100</v>
      </c>
      <c r="T28" s="704" t="s">
        <v>14</v>
      </c>
      <c r="U28" s="705">
        <f t="shared" si="13"/>
        <v>100</v>
      </c>
      <c r="V28" s="704" t="s">
        <v>14</v>
      </c>
      <c r="W28" s="705">
        <f t="shared" si="14"/>
        <v>100</v>
      </c>
      <c r="X28" s="1354"/>
      <c r="Y28" s="3703"/>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1" t="str">
        <f t="shared" si="11"/>
        <v>有无电梯</v>
      </c>
      <c r="R29" s="704" t="s">
        <v>14</v>
      </c>
      <c r="S29" s="705">
        <f t="shared" si="12"/>
        <v>100</v>
      </c>
      <c r="T29" s="704" t="s">
        <v>14</v>
      </c>
      <c r="U29" s="705">
        <f t="shared" si="13"/>
        <v>100</v>
      </c>
      <c r="V29" s="704" t="s">
        <v>14</v>
      </c>
      <c r="W29" s="705">
        <f t="shared" si="14"/>
        <v>100</v>
      </c>
      <c r="X29" s="1354"/>
      <c r="Y29" s="3703"/>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1" t="str">
        <f t="shared" si="11"/>
        <v>建筑面积</v>
      </c>
      <c r="R30" s="704" t="s">
        <v>14</v>
      </c>
      <c r="S30" s="705" t="e">
        <f t="shared" si="12"/>
        <v>#N/A</v>
      </c>
      <c r="T30" s="704" t="s">
        <v>14</v>
      </c>
      <c r="U30" s="705" t="e">
        <f t="shared" si="13"/>
        <v>#N/A</v>
      </c>
      <c r="V30" s="704" t="s">
        <v>14</v>
      </c>
      <c r="W30" s="705" t="e">
        <f t="shared" si="14"/>
        <v>#N/A</v>
      </c>
      <c r="X30" s="1354"/>
      <c r="Y30" s="3703"/>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2" t="str">
        <f t="shared" si="11"/>
        <v>是否封闭</v>
      </c>
      <c r="R31" s="700" t="s">
        <v>14</v>
      </c>
      <c r="S31" s="701">
        <f t="shared" si="12"/>
        <v>100</v>
      </c>
      <c r="T31" s="700" t="s">
        <v>14</v>
      </c>
      <c r="U31" s="701">
        <f t="shared" si="13"/>
        <v>100</v>
      </c>
      <c r="V31" s="700" t="s">
        <v>14</v>
      </c>
      <c r="W31" s="701">
        <f t="shared" si="14"/>
        <v>100</v>
      </c>
      <c r="X31" s="702"/>
      <c r="Y31" s="3703"/>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1695</v>
      </c>
      <c r="Q32" s="1351">
        <f t="shared" si="11"/>
        <v>111</v>
      </c>
      <c r="R32" s="704" t="s">
        <v>14</v>
      </c>
      <c r="S32" s="705">
        <f t="shared" si="12"/>
        <v>100</v>
      </c>
      <c r="T32" s="704" t="s">
        <v>14</v>
      </c>
      <c r="U32" s="705">
        <f t="shared" si="13"/>
        <v>100</v>
      </c>
      <c r="V32" s="704" t="s">
        <v>14</v>
      </c>
      <c r="W32" s="705">
        <f t="shared" si="14"/>
        <v>100</v>
      </c>
      <c r="X32" s="1354"/>
      <c r="Y32" s="3703"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1">
        <f t="shared" si="11"/>
        <v>111</v>
      </c>
      <c r="R33" s="704" t="s">
        <v>14</v>
      </c>
      <c r="S33" s="705">
        <f t="shared" si="12"/>
        <v>100</v>
      </c>
      <c r="T33" s="704" t="s">
        <v>14</v>
      </c>
      <c r="U33" s="705">
        <f t="shared" si="13"/>
        <v>100</v>
      </c>
      <c r="V33" s="704" t="s">
        <v>14</v>
      </c>
      <c r="W33" s="705">
        <f t="shared" si="14"/>
        <v>100</v>
      </c>
      <c r="X33" s="1354"/>
      <c r="Y33" s="370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03"/>
      <c r="Q34" s="1351">
        <f t="shared" si="11"/>
        <v>111</v>
      </c>
      <c r="R34" s="704" t="s">
        <v>14</v>
      </c>
      <c r="S34" s="705">
        <f t="shared" si="12"/>
        <v>100</v>
      </c>
      <c r="T34" s="704" t="s">
        <v>14</v>
      </c>
      <c r="U34" s="705">
        <f t="shared" si="13"/>
        <v>100</v>
      </c>
      <c r="V34" s="704" t="s">
        <v>14</v>
      </c>
      <c r="W34" s="705">
        <f t="shared" si="14"/>
        <v>100</v>
      </c>
      <c r="X34" s="1354"/>
      <c r="Y34" s="3703"/>
      <c r="Z34" s="1355">
        <f t="shared" si="15"/>
        <v>111</v>
      </c>
      <c r="AA34" s="1352">
        <f t="shared" si="3"/>
        <v>1</v>
      </c>
      <c r="AB34" s="1352">
        <f t="shared" si="4"/>
        <v>1</v>
      </c>
      <c r="AC34" s="1352">
        <f t="shared" si="5"/>
        <v>1</v>
      </c>
    </row>
    <row r="35" spans="1:30" ht="15">
      <c r="A35" s="430" t="s">
        <v>1707</v>
      </c>
      <c r="B35" s="431"/>
      <c r="C35" s="1153" t="s">
        <v>0</v>
      </c>
      <c r="D35" s="1154"/>
      <c r="E35" s="1155"/>
      <c r="F35" s="1156"/>
      <c r="G35" s="1157"/>
      <c r="H35" s="1158"/>
      <c r="I35" s="1155"/>
      <c r="J35" s="1158"/>
      <c r="K35" s="713"/>
      <c r="L35" s="2723"/>
      <c r="M35" s="2724"/>
      <c r="N35" s="2715"/>
      <c r="O35" s="2724"/>
      <c r="P35" s="3696" t="str">
        <f>A35</f>
        <v>成交单价（元/平方米）</v>
      </c>
      <c r="Q35" s="3696"/>
      <c r="R35" s="3697">
        <f>E35</f>
        <v>0</v>
      </c>
      <c r="S35" s="3697"/>
      <c r="T35" s="3697">
        <f>G35</f>
        <v>0</v>
      </c>
      <c r="U35" s="3697"/>
      <c r="V35" s="3697">
        <f>I35</f>
        <v>0</v>
      </c>
      <c r="W35" s="3697"/>
      <c r="X35" s="689"/>
      <c r="Y35" s="711"/>
      <c r="Z35" s="689"/>
      <c r="AA35" s="689"/>
      <c r="AB35" s="689"/>
      <c r="AC35" s="689"/>
    </row>
    <row r="36" spans="1:30" ht="15.75" thickBot="1">
      <c r="A36" s="437" t="s">
        <v>1792</v>
      </c>
      <c r="B36" s="438"/>
      <c r="C36" s="1159" t="e">
        <f>R37</f>
        <v>#DIV/0!</v>
      </c>
      <c r="D36" s="2316" t="s">
        <v>2136</v>
      </c>
      <c r="E36" s="1160" t="e">
        <f>R36</f>
        <v>#DIV/0!</v>
      </c>
      <c r="F36" s="2317"/>
      <c r="G36" s="1159" t="e">
        <f>T36</f>
        <v>#DIV/0!</v>
      </c>
      <c r="H36" s="2317"/>
      <c r="I36" s="1160" t="e">
        <f>V36</f>
        <v>#DIV/0!</v>
      </c>
      <c r="J36" s="2317"/>
      <c r="K36" s="2319">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9"/>
      <c r="Y36" s="689"/>
      <c r="Z36" s="689"/>
      <c r="AA36" s="689"/>
      <c r="AB36" s="689"/>
      <c r="AC36" s="689"/>
    </row>
    <row r="37" spans="1:30" ht="15.75" thickBot="1">
      <c r="A37" s="441" t="s">
        <v>1793</v>
      </c>
      <c r="B37" s="442"/>
      <c r="C37" s="1162" t="e">
        <f>R37</f>
        <v>#DIV/0!</v>
      </c>
      <c r="D37" s="1162"/>
      <c r="E37" s="1162"/>
      <c r="F37" s="1162"/>
      <c r="G37" s="1162"/>
      <c r="H37" s="1162"/>
      <c r="I37" s="1162"/>
      <c r="J37" s="1162"/>
      <c r="K37" s="714"/>
      <c r="L37" s="2723"/>
      <c r="M37" s="2724"/>
      <c r="N37" s="2724"/>
      <c r="O37" s="2724"/>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1797</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1678</v>
      </c>
      <c r="B46" s="455"/>
      <c r="C46" s="1183" t="str">
        <f>YEAR(C7)&amp;"-"&amp;MONTH(C7)</f>
        <v>2023-9</v>
      </c>
      <c r="D46" s="1184">
        <f>EDATE(C46,-1)</f>
        <v>45139</v>
      </c>
      <c r="E46" s="1184">
        <f t="shared" ref="E46:O46" si="16">EDATE(D46,-1)</f>
        <v>45108</v>
      </c>
      <c r="F46" s="1184">
        <f t="shared" si="16"/>
        <v>45078</v>
      </c>
      <c r="G46" s="1184">
        <f t="shared" si="16"/>
        <v>45047</v>
      </c>
      <c r="H46" s="1184">
        <f t="shared" si="16"/>
        <v>45017</v>
      </c>
      <c r="I46" s="1184">
        <f t="shared" si="16"/>
        <v>44986</v>
      </c>
      <c r="J46" s="1184">
        <f t="shared" si="16"/>
        <v>44958</v>
      </c>
      <c r="K46" s="1184">
        <f t="shared" si="16"/>
        <v>44927</v>
      </c>
      <c r="L46" s="1184">
        <f t="shared" si="16"/>
        <v>44896</v>
      </c>
      <c r="M46" s="1184">
        <f t="shared" si="16"/>
        <v>44866</v>
      </c>
      <c r="N46" s="1184">
        <f t="shared" si="16"/>
        <v>44835</v>
      </c>
      <c r="O46" s="1184">
        <f t="shared" si="16"/>
        <v>44805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1463</v>
      </c>
      <c r="B3" s="558" t="e">
        <f>ROUND(IF(D3="",B2*10000/'数据-汇总表'!E3,B2*10000/D3),0)</f>
        <v>#DIV/0!</v>
      </c>
      <c r="C3" s="203" t="s">
        <v>1868</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1768</v>
      </c>
      <c r="B4" s="356"/>
      <c r="C4" s="3679" t="s">
        <v>1769</v>
      </c>
      <c r="D4" s="3680"/>
      <c r="E4" s="3681" t="s">
        <v>1770</v>
      </c>
      <c r="F4" s="3682"/>
      <c r="G4" s="3679" t="s">
        <v>1771</v>
      </c>
      <c r="H4" s="3680"/>
      <c r="I4" s="3679" t="s">
        <v>1772</v>
      </c>
      <c r="J4" s="3680"/>
      <c r="K4" s="559" t="s">
        <v>1773</v>
      </c>
      <c r="L4" s="2714"/>
      <c r="M4" s="2715"/>
      <c r="N4" s="2715"/>
      <c r="O4" s="2715"/>
      <c r="P4" s="3683" t="s">
        <v>1774</v>
      </c>
      <c r="Q4" s="3684"/>
      <c r="R4" s="3666" t="s">
        <v>1770</v>
      </c>
      <c r="S4" s="3667"/>
      <c r="T4" s="3666" t="s">
        <v>1771</v>
      </c>
      <c r="U4" s="3667"/>
      <c r="V4" s="3691" t="s">
        <v>1772</v>
      </c>
      <c r="W4" s="3691"/>
      <c r="X4" s="1354"/>
      <c r="Y4" s="3666" t="s">
        <v>1774</v>
      </c>
      <c r="Z4" s="3667"/>
      <c r="AA4" s="3661" t="s">
        <v>1770</v>
      </c>
      <c r="AB4" s="3662" t="s">
        <v>1771</v>
      </c>
      <c r="AC4" s="3661" t="s">
        <v>1772</v>
      </c>
    </row>
    <row r="5" spans="1:30" ht="15">
      <c r="A5" s="358"/>
      <c r="B5" s="359"/>
      <c r="C5" s="3672" t="s">
        <v>1672</v>
      </c>
      <c r="D5" s="3673"/>
      <c r="E5" s="3670" t="s">
        <v>1673</v>
      </c>
      <c r="F5" s="3671"/>
      <c r="G5" s="3672" t="s">
        <v>1674</v>
      </c>
      <c r="H5" s="3673"/>
      <c r="I5" s="3672" t="s">
        <v>1675</v>
      </c>
      <c r="J5" s="3673"/>
      <c r="K5" s="559"/>
      <c r="L5" s="2714"/>
      <c r="M5" s="2715"/>
      <c r="N5" s="2715"/>
      <c r="O5" s="2715"/>
      <c r="P5" s="3685"/>
      <c r="Q5" s="3686"/>
      <c r="R5" s="3668"/>
      <c r="S5" s="3669"/>
      <c r="T5" s="3668"/>
      <c r="U5" s="3669"/>
      <c r="V5" s="3691"/>
      <c r="W5" s="3691"/>
      <c r="X5" s="1354"/>
      <c r="Y5" s="3668"/>
      <c r="Z5" s="3669"/>
      <c r="AA5" s="3662"/>
      <c r="AB5" s="3662"/>
      <c r="AC5" s="3662"/>
    </row>
    <row r="6" spans="1:30" ht="15.75" thickBot="1">
      <c r="A6" s="360"/>
      <c r="B6" s="361"/>
      <c r="C6" s="3674" t="s">
        <v>1676</v>
      </c>
      <c r="D6" s="3675"/>
      <c r="E6" s="3676" t="s">
        <v>1676</v>
      </c>
      <c r="F6" s="3677"/>
      <c r="G6" s="3674" t="s">
        <v>1676</v>
      </c>
      <c r="H6" s="3675"/>
      <c r="I6" s="3674" t="s">
        <v>1676</v>
      </c>
      <c r="J6" s="3675"/>
      <c r="K6" s="559" t="s">
        <v>1677</v>
      </c>
      <c r="L6" s="2714"/>
      <c r="M6" s="2715"/>
      <c r="N6" s="2715"/>
      <c r="O6" s="2715"/>
      <c r="P6" s="3687"/>
      <c r="Q6" s="3688"/>
      <c r="R6" s="3668"/>
      <c r="S6" s="3669"/>
      <c r="T6" s="3689"/>
      <c r="U6" s="3690"/>
      <c r="V6" s="3691"/>
      <c r="W6" s="3691"/>
      <c r="X6" s="1354"/>
      <c r="Y6" s="3689"/>
      <c r="Z6" s="3690"/>
      <c r="AA6" s="3663"/>
      <c r="AB6" s="3663"/>
      <c r="AC6" s="3663"/>
    </row>
    <row r="7" spans="1:30" s="108" customFormat="1" ht="15.75" thickBot="1">
      <c r="A7" s="362" t="s">
        <v>1678</v>
      </c>
      <c r="B7" s="363"/>
      <c r="C7" s="364">
        <f>'数据-取费表'!B2</f>
        <v>45171</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64" t="s">
        <v>1679</v>
      </c>
      <c r="Q7" s="3692"/>
      <c r="R7" s="700" t="s">
        <v>14</v>
      </c>
      <c r="S7" s="701">
        <f t="shared" ref="S7:S15" si="0">F7</f>
        <v>0</v>
      </c>
      <c r="T7" s="700" t="s">
        <v>14</v>
      </c>
      <c r="U7" s="701">
        <f t="shared" ref="U7:U15" si="1">H7</f>
        <v>0</v>
      </c>
      <c r="V7" s="700" t="s">
        <v>14</v>
      </c>
      <c r="W7" s="701">
        <f t="shared" ref="W7:W15" si="2">J7</f>
        <v>0</v>
      </c>
      <c r="X7" s="702"/>
      <c r="Y7" s="3664" t="s">
        <v>1679</v>
      </c>
      <c r="Z7" s="3665"/>
      <c r="AA7" s="703" t="e">
        <f>D7/F7</f>
        <v>#DIV/0!</v>
      </c>
      <c r="AB7" s="703" t="e">
        <f>D7/H7</f>
        <v>#DIV/0!</v>
      </c>
      <c r="AC7" s="703"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4" t="s">
        <v>1682</v>
      </c>
      <c r="Q8" s="3665"/>
      <c r="R8" s="700" t="s">
        <v>14</v>
      </c>
      <c r="S8" s="701">
        <f t="shared" si="0"/>
        <v>0</v>
      </c>
      <c r="T8" s="700" t="s">
        <v>14</v>
      </c>
      <c r="U8" s="701">
        <f t="shared" si="1"/>
        <v>0</v>
      </c>
      <c r="V8" s="700" t="s">
        <v>14</v>
      </c>
      <c r="W8" s="701">
        <f t="shared" si="2"/>
        <v>0</v>
      </c>
      <c r="X8" s="702"/>
      <c r="Y8" s="3664" t="s">
        <v>1682</v>
      </c>
      <c r="Z8" s="3665"/>
      <c r="AA8" s="703" t="e">
        <f t="shared" ref="AA8:AA45" si="3">D8/F8</f>
        <v>#DIV/0!</v>
      </c>
      <c r="AB8" s="703" t="e">
        <f t="shared" ref="AB8:AB45" si="4">D8/H8</f>
        <v>#DIV/0!</v>
      </c>
      <c r="AC8" s="703"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96" t="s">
        <v>1685</v>
      </c>
      <c r="Q9" s="1342" t="str">
        <f t="shared" ref="Q9:Q15" si="6">B9</f>
        <v>用途</v>
      </c>
      <c r="R9" s="700" t="s">
        <v>14</v>
      </c>
      <c r="S9" s="701">
        <f t="shared" si="0"/>
        <v>100</v>
      </c>
      <c r="T9" s="700" t="s">
        <v>14</v>
      </c>
      <c r="U9" s="701">
        <f t="shared" si="1"/>
        <v>100</v>
      </c>
      <c r="V9" s="700" t="s">
        <v>14</v>
      </c>
      <c r="W9" s="701">
        <f t="shared" si="2"/>
        <v>100</v>
      </c>
      <c r="X9" s="702"/>
      <c r="Y9" s="3608" t="s">
        <v>1686</v>
      </c>
      <c r="Z9" s="52" t="str">
        <f t="shared" ref="Z9:Z15" si="7">Q9</f>
        <v>用途</v>
      </c>
      <c r="AA9" s="703">
        <f t="shared" si="3"/>
        <v>1</v>
      </c>
      <c r="AB9" s="703">
        <f t="shared" si="4"/>
        <v>1</v>
      </c>
      <c r="AC9" s="703">
        <f t="shared" si="5"/>
        <v>1</v>
      </c>
    </row>
    <row r="10" spans="1:30" s="378" customFormat="1" ht="27">
      <c r="A10" s="374"/>
      <c r="B10" s="375" t="s">
        <v>1687</v>
      </c>
      <c r="C10" s="383"/>
      <c r="D10" s="127">
        <v>100</v>
      </c>
      <c r="E10" s="416"/>
      <c r="F10" s="127">
        <f>ROUND(100/'数据-取费表'!G16,0)</f>
        <v>131</v>
      </c>
      <c r="G10" s="414"/>
      <c r="H10" s="127">
        <f>ROUND(100/'数据-取费表'!G16,0)</f>
        <v>131</v>
      </c>
      <c r="I10" s="414"/>
      <c r="J10" s="127">
        <f>ROUND(100/'数据-取费表'!G16,0)</f>
        <v>131</v>
      </c>
      <c r="K10" s="620"/>
      <c r="L10" s="2718"/>
      <c r="M10" s="2719"/>
      <c r="N10" s="2719"/>
      <c r="O10" s="2772"/>
      <c r="P10" s="3696"/>
      <c r="Q10" s="1342" t="str">
        <f t="shared" si="6"/>
        <v>土地使用年限（年）</v>
      </c>
      <c r="R10" s="700" t="s">
        <v>14</v>
      </c>
      <c r="S10" s="701">
        <f t="shared" si="0"/>
        <v>131</v>
      </c>
      <c r="T10" s="700" t="s">
        <v>14</v>
      </c>
      <c r="U10" s="701">
        <f t="shared" si="1"/>
        <v>131</v>
      </c>
      <c r="V10" s="700" t="s">
        <v>14</v>
      </c>
      <c r="W10" s="701">
        <f t="shared" si="2"/>
        <v>131</v>
      </c>
      <c r="X10" s="702"/>
      <c r="Y10" s="3608"/>
      <c r="Z10" s="52" t="str">
        <f t="shared" si="7"/>
        <v>土地使用年限（年）</v>
      </c>
      <c r="AA10" s="703">
        <f t="shared" si="3"/>
        <v>0.76335877862595425</v>
      </c>
      <c r="AB10" s="703">
        <f t="shared" si="4"/>
        <v>0.76335877862595425</v>
      </c>
      <c r="AC10" s="703">
        <f t="shared" si="5"/>
        <v>0.76335877862595425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2" t="str">
        <f t="shared" si="6"/>
        <v>容积率</v>
      </c>
      <c r="R11" s="700" t="s">
        <v>14</v>
      </c>
      <c r="S11" s="701" t="e">
        <f t="shared" si="0"/>
        <v>#N/A</v>
      </c>
      <c r="T11" s="700" t="s">
        <v>14</v>
      </c>
      <c r="U11" s="701" t="e">
        <f t="shared" si="1"/>
        <v>#N/A</v>
      </c>
      <c r="V11" s="700" t="s">
        <v>14</v>
      </c>
      <c r="W11" s="701" t="e">
        <f t="shared" si="2"/>
        <v>#N/A</v>
      </c>
      <c r="X11" s="702"/>
      <c r="Y11" s="3608"/>
      <c r="Z11" s="52" t="str">
        <f t="shared" si="7"/>
        <v>容积率</v>
      </c>
      <c r="AA11" s="703" t="e">
        <f t="shared" si="3"/>
        <v>#N/A</v>
      </c>
      <c r="AB11" s="703" t="e">
        <f t="shared" si="4"/>
        <v>#N/A</v>
      </c>
      <c r="AC11" s="703"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2" t="str">
        <f t="shared" si="6"/>
        <v>配建</v>
      </c>
      <c r="R12" s="700" t="s">
        <v>14</v>
      </c>
      <c r="S12" s="701">
        <f t="shared" si="0"/>
        <v>100</v>
      </c>
      <c r="T12" s="700" t="s">
        <v>14</v>
      </c>
      <c r="U12" s="701">
        <f t="shared" si="1"/>
        <v>100</v>
      </c>
      <c r="V12" s="700" t="s">
        <v>14</v>
      </c>
      <c r="W12" s="701">
        <f t="shared" si="2"/>
        <v>100</v>
      </c>
      <c r="X12" s="702"/>
      <c r="Y12" s="360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2">
        <f t="shared" si="6"/>
        <v>111</v>
      </c>
      <c r="R13" s="700" t="s">
        <v>14</v>
      </c>
      <c r="S13" s="701">
        <f t="shared" si="0"/>
        <v>100</v>
      </c>
      <c r="T13" s="700" t="s">
        <v>14</v>
      </c>
      <c r="U13" s="701">
        <f t="shared" si="1"/>
        <v>100</v>
      </c>
      <c r="V13" s="700" t="s">
        <v>14</v>
      </c>
      <c r="W13" s="701">
        <f t="shared" si="2"/>
        <v>100</v>
      </c>
      <c r="X13" s="702"/>
      <c r="Y13" s="360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2">
        <f t="shared" si="6"/>
        <v>111</v>
      </c>
      <c r="R14" s="700" t="s">
        <v>14</v>
      </c>
      <c r="S14" s="701">
        <f t="shared" si="0"/>
        <v>100</v>
      </c>
      <c r="T14" s="700" t="s">
        <v>14</v>
      </c>
      <c r="U14" s="701">
        <f t="shared" si="1"/>
        <v>100</v>
      </c>
      <c r="V14" s="700" t="s">
        <v>14</v>
      </c>
      <c r="W14" s="701">
        <f t="shared" si="2"/>
        <v>100</v>
      </c>
      <c r="X14" s="702"/>
      <c r="Y14" s="3608"/>
      <c r="Z14" s="52">
        <f t="shared" si="7"/>
        <v>111</v>
      </c>
      <c r="AA14" s="703">
        <f>D14/F14</f>
        <v>1</v>
      </c>
      <c r="AB14" s="703">
        <f>D14/H14</f>
        <v>1</v>
      </c>
      <c r="AC14" s="703">
        <f>D14/J14</f>
        <v>1</v>
      </c>
    </row>
    <row r="15" spans="1:30" ht="99.75">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1690</v>
      </c>
      <c r="Q15" s="1351" t="str">
        <f t="shared" si="6"/>
        <v>居住社区成熟度</v>
      </c>
      <c r="R15" s="704" t="s">
        <v>14</v>
      </c>
      <c r="S15" s="705">
        <f t="shared" si="0"/>
        <v>100</v>
      </c>
      <c r="T15" s="704" t="s">
        <v>14</v>
      </c>
      <c r="U15" s="705">
        <f t="shared" si="1"/>
        <v>100</v>
      </c>
      <c r="V15" s="704" t="s">
        <v>14</v>
      </c>
      <c r="W15" s="705">
        <f t="shared" si="2"/>
        <v>100</v>
      </c>
      <c r="X15" s="1354"/>
      <c r="Y15" s="3698" t="s">
        <v>1690</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9"/>
      <c r="Q16" s="1351"/>
      <c r="R16" s="704"/>
      <c r="S16" s="705"/>
      <c r="T16" s="704"/>
      <c r="U16" s="705"/>
      <c r="V16" s="704"/>
      <c r="W16" s="705"/>
      <c r="X16" s="1354"/>
      <c r="Y16" s="3699"/>
      <c r="Z16" s="1355"/>
      <c r="AA16" s="1352">
        <v>1</v>
      </c>
      <c r="AB16" s="1352">
        <v>1</v>
      </c>
      <c r="AC16" s="1352">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1" t="str">
        <f>B17</f>
        <v>商业繁华度</v>
      </c>
      <c r="R17" s="704" t="s">
        <v>14</v>
      </c>
      <c r="S17" s="705">
        <f>F17</f>
        <v>100</v>
      </c>
      <c r="T17" s="704" t="s">
        <v>14</v>
      </c>
      <c r="U17" s="705">
        <f>H17</f>
        <v>100</v>
      </c>
      <c r="V17" s="704" t="s">
        <v>14</v>
      </c>
      <c r="W17" s="705">
        <f>J17</f>
        <v>100</v>
      </c>
      <c r="X17" s="1354"/>
      <c r="Y17" s="369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99"/>
      <c r="Q18" s="1351"/>
      <c r="R18" s="704"/>
      <c r="S18" s="705"/>
      <c r="T18" s="704"/>
      <c r="U18" s="705"/>
      <c r="V18" s="704"/>
      <c r="W18" s="705"/>
      <c r="X18" s="1354"/>
      <c r="Y18" s="3699"/>
      <c r="Z18" s="1355"/>
      <c r="AA18" s="1352">
        <v>1</v>
      </c>
      <c r="AB18" s="1352">
        <v>1</v>
      </c>
      <c r="AC18" s="1352">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1" t="str">
        <f>B19</f>
        <v>办公集聚程度</v>
      </c>
      <c r="R19" s="704" t="s">
        <v>14</v>
      </c>
      <c r="S19" s="705">
        <f>F19</f>
        <v>100</v>
      </c>
      <c r="T19" s="704" t="s">
        <v>14</v>
      </c>
      <c r="U19" s="705">
        <f>H19</f>
        <v>100</v>
      </c>
      <c r="V19" s="704" t="s">
        <v>14</v>
      </c>
      <c r="W19" s="705">
        <f>J19</f>
        <v>100</v>
      </c>
      <c r="X19" s="1354"/>
      <c r="Y19" s="369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9"/>
      <c r="Q20" s="1351"/>
      <c r="R20" s="704"/>
      <c r="S20" s="705"/>
      <c r="T20" s="704"/>
      <c r="U20" s="705"/>
      <c r="V20" s="704"/>
      <c r="W20" s="705"/>
      <c r="X20" s="1354"/>
      <c r="Y20" s="3699"/>
      <c r="Z20" s="1355"/>
      <c r="AA20" s="1352">
        <v>1</v>
      </c>
      <c r="AB20" s="1352">
        <v>1</v>
      </c>
      <c r="AC20" s="1352">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1" t="str">
        <f>B21</f>
        <v>交通便捷度</v>
      </c>
      <c r="R21" s="704" t="s">
        <v>14</v>
      </c>
      <c r="S21" s="705">
        <f>F21</f>
        <v>100</v>
      </c>
      <c r="T21" s="704" t="s">
        <v>14</v>
      </c>
      <c r="U21" s="705">
        <f>H21</f>
        <v>100</v>
      </c>
      <c r="V21" s="704" t="s">
        <v>14</v>
      </c>
      <c r="W21" s="705">
        <f>J21</f>
        <v>100</v>
      </c>
      <c r="X21" s="1354"/>
      <c r="Y21" s="3699"/>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99"/>
      <c r="Q22" s="1351"/>
      <c r="R22" s="704"/>
      <c r="S22" s="705"/>
      <c r="T22" s="704"/>
      <c r="U22" s="705"/>
      <c r="V22" s="704"/>
      <c r="W22" s="705"/>
      <c r="X22" s="1354"/>
      <c r="Y22" s="3699"/>
      <c r="Z22" s="1355"/>
      <c r="AA22" s="1352">
        <v>1</v>
      </c>
      <c r="AB22" s="1352">
        <v>1</v>
      </c>
      <c r="AC22" s="1352">
        <v>1</v>
      </c>
    </row>
    <row r="23" spans="1:29" ht="15">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1" t="str">
        <f t="shared" ref="Q23:Q37" si="8">B23</f>
        <v>区域土地利用方向</v>
      </c>
      <c r="R23" s="704" t="s">
        <v>14</v>
      </c>
      <c r="S23" s="705">
        <f>F23</f>
        <v>100</v>
      </c>
      <c r="T23" s="704" t="s">
        <v>14</v>
      </c>
      <c r="U23" s="705">
        <f>H23</f>
        <v>100</v>
      </c>
      <c r="V23" s="704" t="s">
        <v>14</v>
      </c>
      <c r="W23" s="705">
        <f>J23</f>
        <v>100</v>
      </c>
      <c r="X23" s="1354"/>
      <c r="Y23" s="369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9"/>
      <c r="Q24" s="1351"/>
      <c r="R24" s="704"/>
      <c r="S24" s="705"/>
      <c r="T24" s="704"/>
      <c r="U24" s="705"/>
      <c r="V24" s="704"/>
      <c r="W24" s="705"/>
      <c r="X24" s="1354"/>
      <c r="Y24" s="3699"/>
      <c r="Z24" s="1355"/>
      <c r="AA24" s="1352"/>
      <c r="AB24" s="1352"/>
      <c r="AC24" s="1352"/>
    </row>
    <row r="25" spans="1:29" ht="57">
      <c r="A25" s="358"/>
      <c r="B25" s="1130"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1" t="str">
        <f t="shared" si="8"/>
        <v>自然及人文环境状况</v>
      </c>
      <c r="R25" s="704" t="s">
        <v>14</v>
      </c>
      <c r="S25" s="705">
        <f>F25</f>
        <v>100</v>
      </c>
      <c r="T25" s="704" t="s">
        <v>14</v>
      </c>
      <c r="U25" s="705">
        <f>H25</f>
        <v>100</v>
      </c>
      <c r="V25" s="704" t="s">
        <v>14</v>
      </c>
      <c r="W25" s="705">
        <f>J25</f>
        <v>100</v>
      </c>
      <c r="X25" s="1354"/>
      <c r="Y25" s="369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99"/>
      <c r="Q26" s="1351"/>
      <c r="R26" s="704"/>
      <c r="S26" s="705"/>
      <c r="T26" s="704"/>
      <c r="U26" s="705"/>
      <c r="V26" s="704"/>
      <c r="W26" s="705"/>
      <c r="X26" s="1354"/>
      <c r="Y26" s="3699"/>
      <c r="Z26" s="1355"/>
      <c r="AA26" s="1352">
        <v>1</v>
      </c>
      <c r="AB26" s="1352">
        <v>1</v>
      </c>
      <c r="AC26" s="1352">
        <v>1</v>
      </c>
    </row>
    <row r="27" spans="1:29" s="108" customFormat="1" ht="42.75">
      <c r="A27" s="597"/>
      <c r="B27" s="1130"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2" t="str">
        <f t="shared" si="8"/>
        <v>公共配套设施</v>
      </c>
      <c r="R27" s="700" t="s">
        <v>14</v>
      </c>
      <c r="S27" s="701">
        <f>F27</f>
        <v>100</v>
      </c>
      <c r="T27" s="700" t="s">
        <v>14</v>
      </c>
      <c r="U27" s="701">
        <f>H27</f>
        <v>100</v>
      </c>
      <c r="V27" s="700" t="s">
        <v>14</v>
      </c>
      <c r="W27" s="701">
        <f>J27</f>
        <v>100</v>
      </c>
      <c r="X27" s="702"/>
      <c r="Y27" s="3699"/>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99"/>
      <c r="Q28" s="1342"/>
      <c r="R28" s="700"/>
      <c r="S28" s="701"/>
      <c r="T28" s="700"/>
      <c r="U28" s="701"/>
      <c r="V28" s="700"/>
      <c r="W28" s="701"/>
      <c r="X28" s="702"/>
      <c r="Y28" s="3699"/>
      <c r="Z28" s="52"/>
      <c r="AA28" s="1352">
        <v>1</v>
      </c>
      <c r="AB28" s="1352">
        <v>1</v>
      </c>
      <c r="AC28" s="1352">
        <v>1</v>
      </c>
    </row>
    <row r="29" spans="1:29" s="108" customFormat="1" ht="28.5">
      <c r="A29" s="597"/>
      <c r="B29" s="1130"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2" t="str">
        <f t="shared" ref="Q29" si="9">B29</f>
        <v>基础设施水平</v>
      </c>
      <c r="R29" s="700" t="s">
        <v>14</v>
      </c>
      <c r="S29" s="701">
        <f>F29</f>
        <v>100</v>
      </c>
      <c r="T29" s="700" t="s">
        <v>14</v>
      </c>
      <c r="U29" s="701">
        <f>H29</f>
        <v>100</v>
      </c>
      <c r="V29" s="700" t="s">
        <v>14</v>
      </c>
      <c r="W29" s="701">
        <f>J29</f>
        <v>100</v>
      </c>
      <c r="X29" s="702"/>
      <c r="Y29" s="3699"/>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99"/>
      <c r="Q30" s="1342"/>
      <c r="R30" s="700"/>
      <c r="S30" s="701"/>
      <c r="T30" s="700"/>
      <c r="U30" s="701"/>
      <c r="V30" s="700"/>
      <c r="W30" s="701"/>
      <c r="X30" s="702"/>
      <c r="Y30" s="3699"/>
      <c r="Z30" s="52"/>
      <c r="AA30" s="1352">
        <v>1</v>
      </c>
      <c r="AB30" s="1352">
        <v>1</v>
      </c>
      <c r="AC30" s="1352">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9"/>
      <c r="Z31" s="1355" t="str">
        <f t="shared" ref="Z31:Z45" si="13">Q31</f>
        <v>临街状况</v>
      </c>
      <c r="AA31" s="1352">
        <f t="shared" si="3"/>
        <v>1</v>
      </c>
      <c r="AB31" s="1352">
        <f t="shared" si="4"/>
        <v>1</v>
      </c>
      <c r="AC31" s="1352">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1" t="str">
        <f t="shared" si="8"/>
        <v>毗邻道路的类型与等级</v>
      </c>
      <c r="R32" s="704" t="s">
        <v>14</v>
      </c>
      <c r="S32" s="705">
        <f t="shared" si="10"/>
        <v>100</v>
      </c>
      <c r="T32" s="704" t="s">
        <v>14</v>
      </c>
      <c r="U32" s="705">
        <f t="shared" si="11"/>
        <v>100</v>
      </c>
      <c r="V32" s="704" t="s">
        <v>14</v>
      </c>
      <c r="W32" s="705">
        <f t="shared" si="12"/>
        <v>100</v>
      </c>
      <c r="X32" s="1354"/>
      <c r="Y32" s="369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9"/>
      <c r="Q33" s="1351"/>
      <c r="R33" s="704"/>
      <c r="S33" s="705"/>
      <c r="T33" s="704"/>
      <c r="U33" s="705"/>
      <c r="V33" s="704"/>
      <c r="W33" s="705"/>
      <c r="X33" s="1354"/>
      <c r="Y33" s="3699"/>
      <c r="Z33" s="1355"/>
      <c r="AA33" s="1352">
        <v>1</v>
      </c>
      <c r="AB33" s="1352">
        <v>1</v>
      </c>
      <c r="AC33" s="1352">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1" t="str">
        <f t="shared" si="8"/>
        <v>土地级别</v>
      </c>
      <c r="R34" s="704" t="s">
        <v>14</v>
      </c>
      <c r="S34" s="705">
        <f t="shared" si="10"/>
        <v>100</v>
      </c>
      <c r="T34" s="704" t="s">
        <v>14</v>
      </c>
      <c r="U34" s="705">
        <f t="shared" si="11"/>
        <v>100</v>
      </c>
      <c r="V34" s="704" t="s">
        <v>14</v>
      </c>
      <c r="W34" s="705">
        <f t="shared" si="12"/>
        <v>100</v>
      </c>
      <c r="X34" s="1354"/>
      <c r="Y34" s="3699"/>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1">
        <f t="shared" si="8"/>
        <v>111</v>
      </c>
      <c r="R35" s="704" t="s">
        <v>14</v>
      </c>
      <c r="S35" s="705">
        <f t="shared" si="10"/>
        <v>100</v>
      </c>
      <c r="T35" s="704" t="s">
        <v>14</v>
      </c>
      <c r="U35" s="705">
        <f t="shared" si="11"/>
        <v>100</v>
      </c>
      <c r="V35" s="704" t="s">
        <v>14</v>
      </c>
      <c r="W35" s="705">
        <f t="shared" si="12"/>
        <v>100</v>
      </c>
      <c r="X35" s="1354"/>
      <c r="Y35" s="3699"/>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2" t="s">
        <v>1695</v>
      </c>
      <c r="Q36" s="1351">
        <f t="shared" si="8"/>
        <v>111</v>
      </c>
      <c r="R36" s="704" t="s">
        <v>14</v>
      </c>
      <c r="S36" s="705">
        <f t="shared" si="10"/>
        <v>100</v>
      </c>
      <c r="T36" s="704" t="s">
        <v>14</v>
      </c>
      <c r="U36" s="705">
        <f t="shared" si="11"/>
        <v>100</v>
      </c>
      <c r="V36" s="704" t="s">
        <v>14</v>
      </c>
      <c r="W36" s="705">
        <f t="shared" si="12"/>
        <v>100</v>
      </c>
      <c r="X36" s="1354"/>
      <c r="Y36" s="3703" t="s">
        <v>1695</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1">
        <f t="shared" si="8"/>
        <v>111</v>
      </c>
      <c r="R37" s="707" t="s">
        <v>14</v>
      </c>
      <c r="S37" s="708">
        <f t="shared" si="10"/>
        <v>100</v>
      </c>
      <c r="T37" s="707" t="s">
        <v>14</v>
      </c>
      <c r="U37" s="708">
        <f t="shared" si="11"/>
        <v>100</v>
      </c>
      <c r="V37" s="707" t="s">
        <v>14</v>
      </c>
      <c r="W37" s="708">
        <f t="shared" si="12"/>
        <v>100</v>
      </c>
      <c r="X37" s="709"/>
      <c r="Y37" s="3703"/>
      <c r="Z37" s="710">
        <f t="shared" si="13"/>
        <v>111</v>
      </c>
      <c r="AA37" s="1352">
        <f t="shared" si="3"/>
        <v>1</v>
      </c>
      <c r="AB37" s="1352">
        <f t="shared" si="4"/>
        <v>1</v>
      </c>
      <c r="AC37" s="1352">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1" t="str">
        <f>B38</f>
        <v>宗地面积</v>
      </c>
      <c r="R38" s="704" t="s">
        <v>14</v>
      </c>
      <c r="S38" s="705" t="e">
        <f t="shared" si="10"/>
        <v>#N/A</v>
      </c>
      <c r="T38" s="704" t="s">
        <v>14</v>
      </c>
      <c r="U38" s="705" t="e">
        <f t="shared" si="11"/>
        <v>#N/A</v>
      </c>
      <c r="V38" s="704" t="s">
        <v>14</v>
      </c>
      <c r="W38" s="705" t="e">
        <f t="shared" si="12"/>
        <v>#N/A</v>
      </c>
      <c r="X38" s="1354"/>
      <c r="Y38" s="3703"/>
      <c r="Z38" s="1355" t="str">
        <f t="shared" si="13"/>
        <v>宗地面积</v>
      </c>
      <c r="AA38" s="1352" t="e">
        <f t="shared" si="3"/>
        <v>#N/A</v>
      </c>
      <c r="AB38" s="1352" t="e">
        <f t="shared" si="4"/>
        <v>#N/A</v>
      </c>
      <c r="AC38" s="1352"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03"/>
      <c r="Q39" s="1351" t="str">
        <f t="shared" ref="Q39:Q45" si="14">B39</f>
        <v>宗地形状</v>
      </c>
      <c r="R39" s="704" t="s">
        <v>14</v>
      </c>
      <c r="S39" s="705">
        <f t="shared" si="10"/>
        <v>100</v>
      </c>
      <c r="T39" s="704" t="s">
        <v>14</v>
      </c>
      <c r="U39" s="705">
        <f t="shared" si="11"/>
        <v>100</v>
      </c>
      <c r="V39" s="704" t="s">
        <v>14</v>
      </c>
      <c r="W39" s="705">
        <f t="shared" si="12"/>
        <v>100</v>
      </c>
      <c r="X39" s="1354"/>
      <c r="Y39" s="3703"/>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03"/>
      <c r="Q40" s="1351" t="str">
        <f t="shared" si="14"/>
        <v>临街宽度及深度</v>
      </c>
      <c r="R40" s="704" t="s">
        <v>14</v>
      </c>
      <c r="S40" s="705">
        <f t="shared" si="10"/>
        <v>100</v>
      </c>
      <c r="T40" s="704" t="s">
        <v>14</v>
      </c>
      <c r="U40" s="705">
        <f t="shared" si="11"/>
        <v>100</v>
      </c>
      <c r="V40" s="704" t="s">
        <v>14</v>
      </c>
      <c r="W40" s="705">
        <f t="shared" si="12"/>
        <v>100</v>
      </c>
      <c r="X40" s="1354"/>
      <c r="Y40" s="3703"/>
      <c r="Z40" s="1355" t="str">
        <f t="shared" si="13"/>
        <v>临街宽度及深度</v>
      </c>
      <c r="AA40" s="1352">
        <f t="shared" si="3"/>
        <v>1</v>
      </c>
      <c r="AB40" s="1352">
        <f t="shared" si="4"/>
        <v>1</v>
      </c>
      <c r="AC40" s="1352">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03"/>
      <c r="Q41" s="1351" t="str">
        <f t="shared" si="14"/>
        <v>宗地开发程度</v>
      </c>
      <c r="R41" s="700" t="s">
        <v>14</v>
      </c>
      <c r="S41" s="701">
        <f t="shared" si="10"/>
        <v>100</v>
      </c>
      <c r="T41" s="700" t="s">
        <v>14</v>
      </c>
      <c r="U41" s="701">
        <f t="shared" si="11"/>
        <v>100</v>
      </c>
      <c r="V41" s="700" t="s">
        <v>14</v>
      </c>
      <c r="W41" s="701">
        <f t="shared" si="12"/>
        <v>100</v>
      </c>
      <c r="X41" s="702"/>
      <c r="Y41" s="3703"/>
      <c r="Z41" s="52" t="str">
        <f t="shared" si="13"/>
        <v>宗地开发程度</v>
      </c>
      <c r="AA41" s="703">
        <f t="shared" si="3"/>
        <v>1</v>
      </c>
      <c r="AB41" s="703">
        <f t="shared" si="4"/>
        <v>1</v>
      </c>
      <c r="AC41" s="703">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03" t="s">
        <v>1695</v>
      </c>
      <c r="Q42" s="1351" t="str">
        <f t="shared" si="14"/>
        <v>工程地质条件</v>
      </c>
      <c r="R42" s="704" t="s">
        <v>14</v>
      </c>
      <c r="S42" s="705">
        <f t="shared" si="10"/>
        <v>100</v>
      </c>
      <c r="T42" s="704" t="s">
        <v>14</v>
      </c>
      <c r="U42" s="705">
        <f t="shared" si="11"/>
        <v>100</v>
      </c>
      <c r="V42" s="704" t="s">
        <v>14</v>
      </c>
      <c r="W42" s="705">
        <f t="shared" si="12"/>
        <v>100</v>
      </c>
      <c r="X42" s="1354"/>
      <c r="Y42" s="3703" t="s">
        <v>1695</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1">
        <f t="shared" si="14"/>
        <v>111</v>
      </c>
      <c r="R43" s="704" t="s">
        <v>14</v>
      </c>
      <c r="S43" s="705">
        <f t="shared" si="10"/>
        <v>100</v>
      </c>
      <c r="T43" s="704" t="s">
        <v>14</v>
      </c>
      <c r="U43" s="705">
        <f t="shared" si="11"/>
        <v>100</v>
      </c>
      <c r="V43" s="704" t="s">
        <v>14</v>
      </c>
      <c r="W43" s="705">
        <f t="shared" si="12"/>
        <v>100</v>
      </c>
      <c r="X43" s="1354"/>
      <c r="Y43" s="3703"/>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1">
        <f t="shared" si="14"/>
        <v>111</v>
      </c>
      <c r="R44" s="704" t="s">
        <v>14</v>
      </c>
      <c r="S44" s="705">
        <f t="shared" si="10"/>
        <v>100</v>
      </c>
      <c r="T44" s="704" t="s">
        <v>14</v>
      </c>
      <c r="U44" s="705">
        <f t="shared" si="11"/>
        <v>100</v>
      </c>
      <c r="V44" s="704" t="s">
        <v>14</v>
      </c>
      <c r="W44" s="705">
        <f t="shared" si="12"/>
        <v>100</v>
      </c>
      <c r="X44" s="1354"/>
      <c r="Y44" s="3703"/>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1">
        <f t="shared" si="14"/>
        <v>111</v>
      </c>
      <c r="R45" s="707" t="s">
        <v>14</v>
      </c>
      <c r="S45" s="708">
        <f t="shared" si="10"/>
        <v>100</v>
      </c>
      <c r="T45" s="707" t="s">
        <v>14</v>
      </c>
      <c r="U45" s="708">
        <f t="shared" si="11"/>
        <v>100</v>
      </c>
      <c r="V45" s="707" t="s">
        <v>14</v>
      </c>
      <c r="W45" s="708">
        <f t="shared" si="12"/>
        <v>100</v>
      </c>
      <c r="X45" s="709"/>
      <c r="Y45" s="3703"/>
      <c r="Z45" s="710">
        <f t="shared" si="13"/>
        <v>111</v>
      </c>
      <c r="AA45" s="1352">
        <f t="shared" si="3"/>
        <v>1</v>
      </c>
      <c r="AB45" s="1352">
        <f t="shared" si="4"/>
        <v>1</v>
      </c>
      <c r="AC45" s="1352">
        <f t="shared" si="5"/>
        <v>1</v>
      </c>
    </row>
    <row r="46" spans="1:29" ht="15">
      <c r="A46" s="430" t="s">
        <v>1843</v>
      </c>
      <c r="B46" s="1981" t="s">
        <v>1878</v>
      </c>
      <c r="C46" s="630" t="s">
        <v>0</v>
      </c>
      <c r="D46" s="432"/>
      <c r="E46" s="433"/>
      <c r="F46" s="434"/>
      <c r="G46" s="435"/>
      <c r="H46" s="436"/>
      <c r="I46" s="433"/>
      <c r="J46" s="436"/>
      <c r="K46" s="713"/>
      <c r="L46" s="2723"/>
      <c r="M46" s="2724"/>
      <c r="N46" s="2715"/>
      <c r="O46" s="2724"/>
      <c r="P46" s="3696" t="str">
        <f>A46</f>
        <v>成交单价</v>
      </c>
      <c r="Q46" s="3696"/>
      <c r="R46" s="3691">
        <f>E46</f>
        <v>0</v>
      </c>
      <c r="S46" s="3691"/>
      <c r="T46" s="3691">
        <f>G46</f>
        <v>0</v>
      </c>
      <c r="U46" s="3691"/>
      <c r="V46" s="3691">
        <f>I46</f>
        <v>0</v>
      </c>
      <c r="W46" s="3691"/>
      <c r="X46" s="689"/>
      <c r="Y46" s="711"/>
      <c r="Z46" s="689"/>
      <c r="AA46" s="689"/>
      <c r="AB46" s="689"/>
      <c r="AC46" s="689"/>
    </row>
    <row r="47" spans="1:29" ht="15.75" thickBot="1">
      <c r="A47" s="437" t="s">
        <v>1792</v>
      </c>
      <c r="B47" s="631"/>
      <c r="C47" s="440" t="e">
        <f>R48</f>
        <v>#DIV/0!</v>
      </c>
      <c r="D47" s="2316" t="s">
        <v>2136</v>
      </c>
      <c r="E47" s="440" t="e">
        <f>R47</f>
        <v>#DIV/0!</v>
      </c>
      <c r="F47" s="2317"/>
      <c r="G47" s="439" t="e">
        <f>T47</f>
        <v>#DIV/0!</v>
      </c>
      <c r="H47" s="2317"/>
      <c r="I47" s="440" t="e">
        <f>V47</f>
        <v>#DIV/0!</v>
      </c>
      <c r="J47" s="2317"/>
      <c r="K47" s="2319">
        <f>F47+H47+J47</f>
        <v>0</v>
      </c>
      <c r="L47" s="2723"/>
      <c r="M47" s="2724"/>
      <c r="N47" s="2724"/>
      <c r="O47" s="2724"/>
      <c r="P47" s="3696" t="str">
        <f>A47</f>
        <v>比较价值（元/平方米）</v>
      </c>
      <c r="Q47" s="3696"/>
      <c r="R47" s="3724" t="e">
        <f>ROUND(PRODUCT(R46,AA7:AA45),0)</f>
        <v>#DIV/0!</v>
      </c>
      <c r="S47" s="3724"/>
      <c r="T47" s="3724" t="e">
        <f>ROUND(PRODUCT(T46,AB7:AB45),0)</f>
        <v>#DIV/0!</v>
      </c>
      <c r="U47" s="3724"/>
      <c r="V47" s="3724" t="e">
        <f>ROUND(PRODUCT(V46,AC7:AC45),0)</f>
        <v>#DIV/0!</v>
      </c>
      <c r="W47" s="3724"/>
      <c r="X47" s="689"/>
      <c r="Y47" s="689"/>
      <c r="Z47" s="689"/>
      <c r="AA47" s="689"/>
      <c r="AB47" s="689"/>
      <c r="AC47" s="689"/>
    </row>
    <row r="48" spans="1:29" ht="15.75" thickBot="1">
      <c r="A48" s="441" t="s">
        <v>1879</v>
      </c>
      <c r="B48" s="442"/>
      <c r="C48" s="443" t="e">
        <f>R48</f>
        <v>#DIV/0!</v>
      </c>
      <c r="D48" s="443"/>
      <c r="E48" s="443"/>
      <c r="F48" s="443"/>
      <c r="G48" s="443"/>
      <c r="H48" s="443"/>
      <c r="I48" s="443"/>
      <c r="J48" s="443"/>
      <c r="K48" s="714"/>
      <c r="L48" s="2723"/>
      <c r="M48" s="2724"/>
      <c r="N48" s="2724"/>
      <c r="O48" s="2724"/>
      <c r="P48" s="3693" t="str">
        <f>A48</f>
        <v>估价对象XX用房的比较价值（楼面单价，元/平方米）</v>
      </c>
      <c r="Q48" s="3694"/>
      <c r="R48" s="3725" t="e">
        <f>ROUND(IF(D47="简单平均",AVERAGE(R47:W47),R47*F47+T47*H47+V47*J47),0)</f>
        <v>#DIV/0!</v>
      </c>
      <c r="S48" s="3725"/>
      <c r="T48" s="3725"/>
      <c r="U48" s="3725"/>
      <c r="V48" s="3725"/>
      <c r="W48" s="372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89" t="s">
        <v>1885</v>
      </c>
      <c r="G55" s="3679" t="s">
        <v>1886</v>
      </c>
      <c r="H55" s="3726"/>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3">
        <v>1</v>
      </c>
      <c r="E56" s="638">
        <f>'数据-汇总表'!E8+'数据-汇总表'!E9</f>
        <v>349.71</v>
      </c>
      <c r="F56" s="885" t="e">
        <f t="shared" ref="F56:F64" si="15">ROUND(B56*E56/10000,0)</f>
        <v>#DIV/0!</v>
      </c>
      <c r="G56" s="3678"/>
      <c r="H56" s="369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4">
        <v>0.25</v>
      </c>
      <c r="E57" s="642"/>
      <c r="F57" s="885" t="e">
        <f t="shared" si="15"/>
        <v>#DIV/0!</v>
      </c>
      <c r="G57" s="3005" t="s">
        <v>1891</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4">
        <v>0.25</v>
      </c>
      <c r="E60" s="217">
        <f>'数据-汇总表'!E11</f>
        <v>0</v>
      </c>
      <c r="F60" s="885" t="e">
        <f t="shared" si="15"/>
        <v>#DIV/0!</v>
      </c>
      <c r="G60" s="1986" t="s">
        <v>1895</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4">
        <v>0.25</v>
      </c>
      <c r="E61" s="217">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4">
        <v>0.25</v>
      </c>
      <c r="E62" s="217">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4">
        <v>0.25</v>
      </c>
      <c r="E63" s="217">
        <f>'数据-汇总表'!E14</f>
        <v>0</v>
      </c>
      <c r="F63" s="885" t="e">
        <f t="shared" si="15"/>
        <v>#DIV/0!</v>
      </c>
      <c r="G63" s="1986" t="s">
        <v>1891</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4">
        <v>0.25</v>
      </c>
      <c r="E64" s="217">
        <f>'数据-汇总表'!E15</f>
        <v>0</v>
      </c>
      <c r="F64" s="885" t="e">
        <f t="shared" si="15"/>
        <v>#DIV/0!</v>
      </c>
      <c r="G64" s="1987" t="s">
        <v>1895</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349.71</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2023-9-1</v>
      </c>
      <c r="D67" s="691">
        <f>EDATE(C67,-3)</f>
        <v>45078</v>
      </c>
      <c r="E67" s="691">
        <f>EDATE(D67,-3)</f>
        <v>44986</v>
      </c>
      <c r="F67" s="691">
        <f t="shared" ref="F67:O67" si="18">EDATE(E67,-3)</f>
        <v>44896</v>
      </c>
      <c r="G67" s="691">
        <f t="shared" si="18"/>
        <v>44805</v>
      </c>
      <c r="H67" s="691">
        <f t="shared" si="18"/>
        <v>44713</v>
      </c>
      <c r="I67" s="691">
        <f t="shared" si="18"/>
        <v>44621</v>
      </c>
      <c r="J67" s="691">
        <f t="shared" si="18"/>
        <v>44531</v>
      </c>
      <c r="K67" s="691">
        <f t="shared" si="18"/>
        <v>44440</v>
      </c>
      <c r="L67" s="691">
        <f t="shared" si="18"/>
        <v>44348</v>
      </c>
      <c r="M67" s="691">
        <f t="shared" si="18"/>
        <v>44256</v>
      </c>
      <c r="N67" s="691">
        <f t="shared" si="18"/>
        <v>44166</v>
      </c>
      <c r="O67" s="691">
        <f t="shared" si="18"/>
        <v>44075</v>
      </c>
      <c r="P67" s="2724"/>
      <c r="Q67" s="2724"/>
      <c r="R67" s="2724"/>
      <c r="S67" s="2724"/>
      <c r="T67" s="2724"/>
      <c r="U67" s="2724"/>
      <c r="V67" s="2724"/>
      <c r="W67" s="2724"/>
      <c r="X67" s="2724"/>
      <c r="Y67" s="2724"/>
      <c r="Z67" s="2724"/>
      <c r="AA67" s="2724"/>
      <c r="AB67" s="2724"/>
      <c r="AC67" s="2724"/>
    </row>
    <row r="68" spans="1:29" ht="21.75" thickBot="1">
      <c r="A68" s="693" t="s">
        <v>1797</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1903</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1768</v>
      </c>
      <c r="B4" s="356"/>
      <c r="C4" s="3679" t="s">
        <v>1769</v>
      </c>
      <c r="D4" s="3680"/>
      <c r="E4" s="3681" t="s">
        <v>1770</v>
      </c>
      <c r="F4" s="3682"/>
      <c r="G4" s="3679" t="s">
        <v>1771</v>
      </c>
      <c r="H4" s="3680"/>
      <c r="I4" s="3679" t="s">
        <v>1772</v>
      </c>
      <c r="J4" s="3680"/>
      <c r="K4" s="559" t="s">
        <v>1773</v>
      </c>
      <c r="L4" s="2714"/>
      <c r="M4" s="2715"/>
      <c r="N4" s="2715"/>
      <c r="O4" s="2715"/>
      <c r="P4" s="3683" t="s">
        <v>1774</v>
      </c>
      <c r="Q4" s="3684"/>
      <c r="R4" s="3666" t="s">
        <v>1770</v>
      </c>
      <c r="S4" s="3667"/>
      <c r="T4" s="3666" t="s">
        <v>1771</v>
      </c>
      <c r="U4" s="3667"/>
      <c r="V4" s="3691" t="s">
        <v>1772</v>
      </c>
      <c r="W4" s="3691"/>
      <c r="X4" s="1354"/>
      <c r="Y4" s="3666" t="s">
        <v>1774</v>
      </c>
      <c r="Z4" s="3667"/>
      <c r="AA4" s="3661" t="s">
        <v>1770</v>
      </c>
      <c r="AB4" s="3662" t="s">
        <v>1771</v>
      </c>
      <c r="AC4" s="3661" t="s">
        <v>1772</v>
      </c>
    </row>
    <row r="5" spans="1:29" ht="15">
      <c r="A5" s="358"/>
      <c r="B5" s="359"/>
      <c r="C5" s="3672" t="s">
        <v>1672</v>
      </c>
      <c r="D5" s="3673"/>
      <c r="E5" s="3670" t="s">
        <v>1673</v>
      </c>
      <c r="F5" s="3671"/>
      <c r="G5" s="3672" t="s">
        <v>1674</v>
      </c>
      <c r="H5" s="3673"/>
      <c r="I5" s="3672" t="s">
        <v>1675</v>
      </c>
      <c r="J5" s="3673"/>
      <c r="K5" s="559"/>
      <c r="L5" s="2714"/>
      <c r="M5" s="2715"/>
      <c r="N5" s="2715"/>
      <c r="O5" s="2715"/>
      <c r="P5" s="3685"/>
      <c r="Q5" s="3686"/>
      <c r="R5" s="3668"/>
      <c r="S5" s="3669"/>
      <c r="T5" s="3668"/>
      <c r="U5" s="3669"/>
      <c r="V5" s="3691"/>
      <c r="W5" s="3691"/>
      <c r="X5" s="1354"/>
      <c r="Y5" s="3668"/>
      <c r="Z5" s="3669"/>
      <c r="AA5" s="3662"/>
      <c r="AB5" s="3662"/>
      <c r="AC5" s="3662"/>
    </row>
    <row r="6" spans="1:29" ht="15.75" thickBot="1">
      <c r="A6" s="360"/>
      <c r="B6" s="361"/>
      <c r="C6" s="3727" t="s">
        <v>1918</v>
      </c>
      <c r="D6" s="3728"/>
      <c r="E6" s="3729" t="s">
        <v>1918</v>
      </c>
      <c r="F6" s="3730"/>
      <c r="G6" s="3727" t="s">
        <v>1918</v>
      </c>
      <c r="H6" s="3728"/>
      <c r="I6" s="3727" t="s">
        <v>1918</v>
      </c>
      <c r="J6" s="3728"/>
      <c r="K6" s="559" t="s">
        <v>1677</v>
      </c>
      <c r="L6" s="2714"/>
      <c r="M6" s="2715"/>
      <c r="N6" s="2715"/>
      <c r="O6" s="2715"/>
      <c r="P6" s="3687"/>
      <c r="Q6" s="3688"/>
      <c r="R6" s="3668"/>
      <c r="S6" s="3669"/>
      <c r="T6" s="3689"/>
      <c r="U6" s="3690"/>
      <c r="V6" s="3691"/>
      <c r="W6" s="3691"/>
      <c r="X6" s="1354"/>
      <c r="Y6" s="3689"/>
      <c r="Z6" s="3690"/>
      <c r="AA6" s="3663"/>
      <c r="AB6" s="3663"/>
      <c r="AC6" s="3663"/>
    </row>
    <row r="7" spans="1:29" s="108" customFormat="1" ht="15.75" thickBot="1">
      <c r="A7" s="362" t="s">
        <v>1678</v>
      </c>
      <c r="B7" s="363"/>
      <c r="C7" s="364">
        <f>'数据-取费表'!B2</f>
        <v>45171</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64" t="s">
        <v>1679</v>
      </c>
      <c r="Q7" s="3692"/>
      <c r="R7" s="700" t="s">
        <v>14</v>
      </c>
      <c r="S7" s="701">
        <f t="shared" ref="S7:S15" si="0">F7</f>
        <v>0</v>
      </c>
      <c r="T7" s="700" t="s">
        <v>14</v>
      </c>
      <c r="U7" s="701">
        <f t="shared" ref="U7:U15" si="1">H7</f>
        <v>0</v>
      </c>
      <c r="V7" s="700" t="s">
        <v>14</v>
      </c>
      <c r="W7" s="701">
        <f t="shared" ref="W7:W15" si="2">J7</f>
        <v>0</v>
      </c>
      <c r="X7" s="702"/>
      <c r="Y7" s="3664" t="s">
        <v>1679</v>
      </c>
      <c r="Z7" s="3665"/>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4" t="s">
        <v>1682</v>
      </c>
      <c r="Q8" s="3665"/>
      <c r="R8" s="700" t="s">
        <v>14</v>
      </c>
      <c r="S8" s="701">
        <f t="shared" si="0"/>
        <v>0</v>
      </c>
      <c r="T8" s="700" t="s">
        <v>14</v>
      </c>
      <c r="U8" s="701">
        <f t="shared" si="1"/>
        <v>0</v>
      </c>
      <c r="V8" s="700" t="s">
        <v>14</v>
      </c>
      <c r="W8" s="701">
        <f t="shared" si="2"/>
        <v>0</v>
      </c>
      <c r="X8" s="702"/>
      <c r="Y8" s="3664" t="s">
        <v>1682</v>
      </c>
      <c r="Z8" s="3665"/>
      <c r="AA8" s="703" t="e">
        <f t="shared" ref="AA8:AA40" si="3">D8/F8</f>
        <v>#DIV/0!</v>
      </c>
      <c r="AB8" s="703" t="e">
        <f t="shared" ref="AB8:AB40" si="4">D8/H8</f>
        <v>#DIV/0!</v>
      </c>
      <c r="AC8" s="703"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96" t="s">
        <v>1685</v>
      </c>
      <c r="Q9" s="1342" t="str">
        <f t="shared" ref="Q9:Q15" si="6">B9</f>
        <v>用途</v>
      </c>
      <c r="R9" s="700" t="s">
        <v>14</v>
      </c>
      <c r="S9" s="701">
        <f t="shared" si="0"/>
        <v>100</v>
      </c>
      <c r="T9" s="700" t="s">
        <v>14</v>
      </c>
      <c r="U9" s="701">
        <f t="shared" si="1"/>
        <v>100</v>
      </c>
      <c r="V9" s="700" t="s">
        <v>14</v>
      </c>
      <c r="W9" s="701">
        <f t="shared" si="2"/>
        <v>100</v>
      </c>
      <c r="X9" s="702"/>
      <c r="Y9" s="3608"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131</v>
      </c>
      <c r="G10" s="383"/>
      <c r="H10" s="127">
        <f>ROUND(100/'数据-取费表'!G16,0)</f>
        <v>131</v>
      </c>
      <c r="I10" s="383"/>
      <c r="J10" s="127">
        <f>ROUND(100/'数据-取费表'!G16,0)</f>
        <v>131</v>
      </c>
      <c r="K10" s="620"/>
      <c r="L10" s="2718"/>
      <c r="M10" s="2719"/>
      <c r="N10" s="2719"/>
      <c r="O10" s="2772"/>
      <c r="P10" s="3696"/>
      <c r="Q10" s="1342" t="str">
        <f t="shared" si="6"/>
        <v>土地使用年限（年）</v>
      </c>
      <c r="R10" s="700" t="s">
        <v>14</v>
      </c>
      <c r="S10" s="701">
        <f t="shared" si="0"/>
        <v>131</v>
      </c>
      <c r="T10" s="700" t="s">
        <v>14</v>
      </c>
      <c r="U10" s="701">
        <f t="shared" si="1"/>
        <v>131</v>
      </c>
      <c r="V10" s="700" t="s">
        <v>14</v>
      </c>
      <c r="W10" s="701">
        <f t="shared" si="2"/>
        <v>131</v>
      </c>
      <c r="X10" s="702"/>
      <c r="Y10" s="3608"/>
      <c r="Z10" s="52" t="str">
        <f t="shared" si="7"/>
        <v>土地使用年限（年）</v>
      </c>
      <c r="AA10" s="703">
        <f t="shared" si="3"/>
        <v>0.76335877862595425</v>
      </c>
      <c r="AB10" s="703">
        <f t="shared" si="4"/>
        <v>0.76335877862595425</v>
      </c>
      <c r="AC10" s="703">
        <f t="shared" si="5"/>
        <v>0.76335877862595425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2" t="str">
        <f t="shared" si="6"/>
        <v>容积率</v>
      </c>
      <c r="R11" s="700" t="s">
        <v>14</v>
      </c>
      <c r="S11" s="701" t="e">
        <f t="shared" si="0"/>
        <v>#N/A</v>
      </c>
      <c r="T11" s="700" t="s">
        <v>14</v>
      </c>
      <c r="U11" s="701" t="e">
        <f t="shared" si="1"/>
        <v>#N/A</v>
      </c>
      <c r="V11" s="700" t="s">
        <v>14</v>
      </c>
      <c r="W11" s="701" t="e">
        <f t="shared" si="2"/>
        <v>#N/A</v>
      </c>
      <c r="X11" s="702"/>
      <c r="Y11" s="360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2">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2">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2">
        <f t="shared" si="6"/>
        <v>111</v>
      </c>
      <c r="R14" s="700" t="s">
        <v>14</v>
      </c>
      <c r="S14" s="701">
        <f t="shared" si="0"/>
        <v>100</v>
      </c>
      <c r="T14" s="700" t="s">
        <v>14</v>
      </c>
      <c r="U14" s="701">
        <f t="shared" si="1"/>
        <v>100</v>
      </c>
      <c r="V14" s="700" t="s">
        <v>14</v>
      </c>
      <c r="W14" s="701">
        <f t="shared" si="2"/>
        <v>100</v>
      </c>
      <c r="X14" s="702"/>
      <c r="Y14" s="3608"/>
      <c r="Z14" s="52">
        <f t="shared" si="7"/>
        <v>111</v>
      </c>
      <c r="AA14" s="703">
        <f t="shared" si="3"/>
        <v>1</v>
      </c>
      <c r="AB14" s="703">
        <f t="shared" si="4"/>
        <v>1</v>
      </c>
      <c r="AC14" s="703">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1690</v>
      </c>
      <c r="Q15" s="1351" t="str">
        <f t="shared" si="6"/>
        <v>产业集聚程度</v>
      </c>
      <c r="R15" s="704" t="s">
        <v>14</v>
      </c>
      <c r="S15" s="705">
        <f t="shared" si="0"/>
        <v>100</v>
      </c>
      <c r="T15" s="704" t="s">
        <v>14</v>
      </c>
      <c r="U15" s="705">
        <f t="shared" si="1"/>
        <v>100</v>
      </c>
      <c r="V15" s="704" t="s">
        <v>14</v>
      </c>
      <c r="W15" s="705">
        <f t="shared" si="2"/>
        <v>100</v>
      </c>
      <c r="X15" s="1354"/>
      <c r="Y15" s="3698" t="s">
        <v>1690</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99"/>
      <c r="Q16" s="1351"/>
      <c r="R16" s="704"/>
      <c r="S16" s="705"/>
      <c r="T16" s="704"/>
      <c r="U16" s="705"/>
      <c r="V16" s="704"/>
      <c r="W16" s="705"/>
      <c r="X16" s="1354"/>
      <c r="Y16" s="3699"/>
      <c r="Z16" s="1355"/>
      <c r="AA16" s="1352">
        <v>1</v>
      </c>
      <c r="AB16" s="1352">
        <v>1</v>
      </c>
      <c r="AC16" s="1352">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1" t="str">
        <f>B17</f>
        <v>交通便捷度</v>
      </c>
      <c r="R17" s="704" t="s">
        <v>14</v>
      </c>
      <c r="S17" s="705">
        <f>F17</f>
        <v>100</v>
      </c>
      <c r="T17" s="704" t="s">
        <v>14</v>
      </c>
      <c r="U17" s="705">
        <f>H17</f>
        <v>100</v>
      </c>
      <c r="V17" s="704" t="s">
        <v>14</v>
      </c>
      <c r="W17" s="705">
        <f>J17</f>
        <v>100</v>
      </c>
      <c r="X17" s="1354"/>
      <c r="Y17" s="369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99"/>
      <c r="Q18" s="1351"/>
      <c r="R18" s="704"/>
      <c r="S18" s="705"/>
      <c r="T18" s="704"/>
      <c r="U18" s="705"/>
      <c r="V18" s="704"/>
      <c r="W18" s="705"/>
      <c r="X18" s="1354"/>
      <c r="Y18" s="3699"/>
      <c r="Z18" s="1355"/>
      <c r="AA18" s="1352">
        <v>1</v>
      </c>
      <c r="AB18" s="1352">
        <v>1</v>
      </c>
      <c r="AC18" s="1352">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1" t="str">
        <f t="shared" ref="Q19:Q33" si="8">B19</f>
        <v>区域土地利用方向</v>
      </c>
      <c r="R19" s="704" t="s">
        <v>14</v>
      </c>
      <c r="S19" s="705">
        <f>F19</f>
        <v>100</v>
      </c>
      <c r="T19" s="704" t="s">
        <v>14</v>
      </c>
      <c r="U19" s="705">
        <f>H19</f>
        <v>100</v>
      </c>
      <c r="V19" s="704" t="s">
        <v>14</v>
      </c>
      <c r="W19" s="705">
        <f>J19</f>
        <v>100</v>
      </c>
      <c r="X19" s="1354"/>
      <c r="Y19" s="369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99"/>
      <c r="Q20" s="1351"/>
      <c r="R20" s="704"/>
      <c r="S20" s="705"/>
      <c r="T20" s="704"/>
      <c r="U20" s="705"/>
      <c r="V20" s="704"/>
      <c r="W20" s="705"/>
      <c r="X20" s="1354"/>
      <c r="Y20" s="3699"/>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1" t="str">
        <f t="shared" si="8"/>
        <v>环境状况</v>
      </c>
      <c r="R21" s="704" t="s">
        <v>14</v>
      </c>
      <c r="S21" s="705">
        <f>F21</f>
        <v>100</v>
      </c>
      <c r="T21" s="704" t="s">
        <v>14</v>
      </c>
      <c r="U21" s="705">
        <f>H21</f>
        <v>100</v>
      </c>
      <c r="V21" s="704" t="s">
        <v>14</v>
      </c>
      <c r="W21" s="705">
        <f>J21</f>
        <v>100</v>
      </c>
      <c r="X21" s="1354"/>
      <c r="Y21" s="369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99"/>
      <c r="Q22" s="1351"/>
      <c r="R22" s="704"/>
      <c r="S22" s="705"/>
      <c r="T22" s="704"/>
      <c r="U22" s="705"/>
      <c r="V22" s="704"/>
      <c r="W22" s="705"/>
      <c r="X22" s="1354"/>
      <c r="Y22" s="3699"/>
      <c r="Z22" s="1355"/>
      <c r="AA22" s="1352">
        <v>1</v>
      </c>
      <c r="AB22" s="1352">
        <v>1</v>
      </c>
      <c r="AC22" s="1352">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2" t="str">
        <f t="shared" si="8"/>
        <v>公共配套设施</v>
      </c>
      <c r="R23" s="700" t="s">
        <v>14</v>
      </c>
      <c r="S23" s="701">
        <f>F23</f>
        <v>100</v>
      </c>
      <c r="T23" s="700" t="s">
        <v>14</v>
      </c>
      <c r="U23" s="701">
        <f>H23</f>
        <v>100</v>
      </c>
      <c r="V23" s="700" t="s">
        <v>14</v>
      </c>
      <c r="W23" s="701">
        <f>J23</f>
        <v>100</v>
      </c>
      <c r="X23" s="702"/>
      <c r="Y23" s="3699"/>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99"/>
      <c r="Q24" s="1342"/>
      <c r="R24" s="700"/>
      <c r="S24" s="701"/>
      <c r="T24" s="700"/>
      <c r="U24" s="701"/>
      <c r="V24" s="700"/>
      <c r="W24" s="701"/>
      <c r="X24" s="702"/>
      <c r="Y24" s="3699"/>
      <c r="Z24" s="52"/>
      <c r="AA24" s="703">
        <v>1</v>
      </c>
      <c r="AB24" s="703">
        <v>1</v>
      </c>
      <c r="AC24" s="703">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2" t="str">
        <f t="shared" ref="Q25" si="9">B25</f>
        <v>基础设施水平</v>
      </c>
      <c r="R25" s="700" t="s">
        <v>14</v>
      </c>
      <c r="S25" s="701">
        <f>F25</f>
        <v>100</v>
      </c>
      <c r="T25" s="700" t="s">
        <v>14</v>
      </c>
      <c r="U25" s="701">
        <f>H25</f>
        <v>100</v>
      </c>
      <c r="V25" s="700" t="s">
        <v>14</v>
      </c>
      <c r="W25" s="701">
        <f>J25</f>
        <v>100</v>
      </c>
      <c r="X25" s="702"/>
      <c r="Y25" s="3699"/>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99"/>
      <c r="Q26" s="1342"/>
      <c r="R26" s="700"/>
      <c r="S26" s="701"/>
      <c r="T26" s="700"/>
      <c r="U26" s="701"/>
      <c r="V26" s="700"/>
      <c r="W26" s="701"/>
      <c r="X26" s="702"/>
      <c r="Y26" s="3699"/>
      <c r="Z26" s="52"/>
      <c r="AA26" s="703">
        <v>1</v>
      </c>
      <c r="AB26" s="703">
        <v>1</v>
      </c>
      <c r="AC26" s="703">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9"/>
      <c r="Z27" s="1355" t="str">
        <f t="shared" ref="Z27:Z40" si="13">Q27</f>
        <v>临街状况</v>
      </c>
      <c r="AA27" s="1352">
        <f t="shared" si="3"/>
        <v>1</v>
      </c>
      <c r="AB27" s="1352">
        <f t="shared" si="4"/>
        <v>1</v>
      </c>
      <c r="AC27" s="1352">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1" t="str">
        <f t="shared" si="8"/>
        <v>毗邻道路的类型与等级</v>
      </c>
      <c r="R28" s="704" t="s">
        <v>14</v>
      </c>
      <c r="S28" s="705">
        <f t="shared" si="10"/>
        <v>100</v>
      </c>
      <c r="T28" s="704" t="s">
        <v>14</v>
      </c>
      <c r="U28" s="705">
        <f t="shared" si="11"/>
        <v>100</v>
      </c>
      <c r="V28" s="704" t="s">
        <v>14</v>
      </c>
      <c r="W28" s="705">
        <f t="shared" si="12"/>
        <v>100</v>
      </c>
      <c r="X28" s="1354"/>
      <c r="Y28" s="369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9"/>
      <c r="Q29" s="1351"/>
      <c r="R29" s="704"/>
      <c r="S29" s="705"/>
      <c r="T29" s="704"/>
      <c r="U29" s="705"/>
      <c r="V29" s="704"/>
      <c r="W29" s="705"/>
      <c r="X29" s="1354"/>
      <c r="Y29" s="3699"/>
      <c r="Z29" s="1355"/>
      <c r="AA29" s="1352">
        <v>1</v>
      </c>
      <c r="AB29" s="1352">
        <v>1</v>
      </c>
      <c r="AC29" s="1352">
        <v>1</v>
      </c>
    </row>
    <row r="30" spans="1:29" ht="15">
      <c r="A30" s="379"/>
      <c r="B30" s="602" t="s">
        <v>1872</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1" t="str">
        <f t="shared" si="8"/>
        <v>土地级别</v>
      </c>
      <c r="R30" s="704" t="s">
        <v>14</v>
      </c>
      <c r="S30" s="705">
        <f t="shared" si="10"/>
        <v>100</v>
      </c>
      <c r="T30" s="704" t="s">
        <v>14</v>
      </c>
      <c r="U30" s="705">
        <f t="shared" si="11"/>
        <v>100</v>
      </c>
      <c r="V30" s="704" t="s">
        <v>14</v>
      </c>
      <c r="W30" s="705">
        <f t="shared" si="12"/>
        <v>100</v>
      </c>
      <c r="X30" s="1354"/>
      <c r="Y30" s="369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1">
        <f t="shared" si="8"/>
        <v>111</v>
      </c>
      <c r="R31" s="704" t="s">
        <v>14</v>
      </c>
      <c r="S31" s="705">
        <f t="shared" si="10"/>
        <v>100</v>
      </c>
      <c r="T31" s="704" t="s">
        <v>14</v>
      </c>
      <c r="U31" s="705">
        <f t="shared" si="11"/>
        <v>100</v>
      </c>
      <c r="V31" s="704" t="s">
        <v>14</v>
      </c>
      <c r="W31" s="705">
        <f t="shared" si="12"/>
        <v>100</v>
      </c>
      <c r="X31" s="1354"/>
      <c r="Y31" s="369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2" t="s">
        <v>1695</v>
      </c>
      <c r="Q32" s="1351">
        <f t="shared" si="8"/>
        <v>111</v>
      </c>
      <c r="R32" s="704" t="s">
        <v>14</v>
      </c>
      <c r="S32" s="705">
        <f t="shared" si="10"/>
        <v>100</v>
      </c>
      <c r="T32" s="704" t="s">
        <v>14</v>
      </c>
      <c r="U32" s="705">
        <f t="shared" si="11"/>
        <v>100</v>
      </c>
      <c r="V32" s="704" t="s">
        <v>14</v>
      </c>
      <c r="W32" s="705">
        <f t="shared" si="12"/>
        <v>100</v>
      </c>
      <c r="X32" s="1354"/>
      <c r="Y32" s="3703" t="s">
        <v>1695</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1">
        <f t="shared" si="8"/>
        <v>111</v>
      </c>
      <c r="R33" s="707" t="s">
        <v>14</v>
      </c>
      <c r="S33" s="708">
        <f t="shared" si="10"/>
        <v>100</v>
      </c>
      <c r="T33" s="707" t="s">
        <v>14</v>
      </c>
      <c r="U33" s="708">
        <f t="shared" si="11"/>
        <v>100</v>
      </c>
      <c r="V33" s="707" t="s">
        <v>14</v>
      </c>
      <c r="W33" s="708">
        <f t="shared" si="12"/>
        <v>100</v>
      </c>
      <c r="X33" s="709"/>
      <c r="Y33" s="3703"/>
      <c r="Z33" s="710">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3"/>
      <c r="Q34" s="1351" t="str">
        <f>B34</f>
        <v>宗地面积</v>
      </c>
      <c r="R34" s="704" t="s">
        <v>14</v>
      </c>
      <c r="S34" s="705" t="e">
        <f t="shared" si="10"/>
        <v>#N/A</v>
      </c>
      <c r="T34" s="704" t="s">
        <v>14</v>
      </c>
      <c r="U34" s="705" t="e">
        <f t="shared" si="11"/>
        <v>#N/A</v>
      </c>
      <c r="V34" s="704" t="s">
        <v>14</v>
      </c>
      <c r="W34" s="705" t="e">
        <f t="shared" si="12"/>
        <v>#N/A</v>
      </c>
      <c r="X34" s="1354"/>
      <c r="Y34" s="3703"/>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03"/>
      <c r="Q35" s="1351" t="str">
        <f t="shared" ref="Q35:Q40" si="14">B35</f>
        <v>宗地形状</v>
      </c>
      <c r="R35" s="704" t="s">
        <v>14</v>
      </c>
      <c r="S35" s="705">
        <f t="shared" si="10"/>
        <v>100</v>
      </c>
      <c r="T35" s="704" t="s">
        <v>14</v>
      </c>
      <c r="U35" s="705">
        <f t="shared" si="11"/>
        <v>100</v>
      </c>
      <c r="V35" s="704" t="s">
        <v>14</v>
      </c>
      <c r="W35" s="705">
        <f t="shared" si="12"/>
        <v>100</v>
      </c>
      <c r="X35" s="1354"/>
      <c r="Y35" s="3703"/>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03"/>
      <c r="Q36" s="1351" t="str">
        <f t="shared" si="14"/>
        <v>宗地开发程度</v>
      </c>
      <c r="R36" s="700" t="s">
        <v>14</v>
      </c>
      <c r="S36" s="701">
        <f t="shared" si="10"/>
        <v>100</v>
      </c>
      <c r="T36" s="700" t="s">
        <v>14</v>
      </c>
      <c r="U36" s="701">
        <f t="shared" si="11"/>
        <v>100</v>
      </c>
      <c r="V36" s="700" t="s">
        <v>14</v>
      </c>
      <c r="W36" s="701">
        <f t="shared" si="12"/>
        <v>100</v>
      </c>
      <c r="X36" s="702"/>
      <c r="Y36" s="3703"/>
      <c r="Z36" s="52" t="str">
        <f t="shared" si="13"/>
        <v>宗地开发程度</v>
      </c>
      <c r="AA36" s="703">
        <f t="shared" si="3"/>
        <v>1</v>
      </c>
      <c r="AB36" s="703">
        <f t="shared" si="4"/>
        <v>1</v>
      </c>
      <c r="AC36" s="703">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03" t="s">
        <v>1695</v>
      </c>
      <c r="Q37" s="1351" t="str">
        <f t="shared" si="14"/>
        <v>工程地质条件</v>
      </c>
      <c r="R37" s="704" t="s">
        <v>14</v>
      </c>
      <c r="S37" s="705">
        <f t="shared" si="10"/>
        <v>100</v>
      </c>
      <c r="T37" s="704" t="s">
        <v>14</v>
      </c>
      <c r="U37" s="705">
        <f t="shared" si="11"/>
        <v>100</v>
      </c>
      <c r="V37" s="704" t="s">
        <v>14</v>
      </c>
      <c r="W37" s="705">
        <f t="shared" si="12"/>
        <v>100</v>
      </c>
      <c r="X37" s="1354"/>
      <c r="Y37" s="3703" t="s">
        <v>1695</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1">
        <f t="shared" si="14"/>
        <v>111</v>
      </c>
      <c r="R38" s="704" t="s">
        <v>14</v>
      </c>
      <c r="S38" s="705">
        <f t="shared" si="10"/>
        <v>100</v>
      </c>
      <c r="T38" s="704" t="s">
        <v>14</v>
      </c>
      <c r="U38" s="705">
        <f t="shared" si="11"/>
        <v>100</v>
      </c>
      <c r="V38" s="704" t="s">
        <v>14</v>
      </c>
      <c r="W38" s="705">
        <f t="shared" si="12"/>
        <v>100</v>
      </c>
      <c r="X38" s="1354"/>
      <c r="Y38" s="3703"/>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1">
        <f t="shared" si="14"/>
        <v>111</v>
      </c>
      <c r="R39" s="704" t="s">
        <v>14</v>
      </c>
      <c r="S39" s="705">
        <f t="shared" si="10"/>
        <v>100</v>
      </c>
      <c r="T39" s="704" t="s">
        <v>14</v>
      </c>
      <c r="U39" s="705">
        <f t="shared" si="11"/>
        <v>100</v>
      </c>
      <c r="V39" s="704" t="s">
        <v>14</v>
      </c>
      <c r="W39" s="705">
        <f t="shared" si="12"/>
        <v>100</v>
      </c>
      <c r="X39" s="1354"/>
      <c r="Y39" s="3703"/>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1">
        <f t="shared" si="14"/>
        <v>111</v>
      </c>
      <c r="R40" s="707" t="s">
        <v>14</v>
      </c>
      <c r="S40" s="708">
        <f t="shared" si="10"/>
        <v>100</v>
      </c>
      <c r="T40" s="707" t="s">
        <v>14</v>
      </c>
      <c r="U40" s="708">
        <f t="shared" si="11"/>
        <v>100</v>
      </c>
      <c r="V40" s="707" t="s">
        <v>14</v>
      </c>
      <c r="W40" s="708">
        <f t="shared" si="12"/>
        <v>100</v>
      </c>
      <c r="X40" s="709"/>
      <c r="Y40" s="3703"/>
      <c r="Z40" s="710">
        <f t="shared" si="13"/>
        <v>111</v>
      </c>
      <c r="AA40" s="1352">
        <f t="shared" si="3"/>
        <v>1</v>
      </c>
      <c r="AB40" s="1352">
        <f t="shared" si="4"/>
        <v>1</v>
      </c>
      <c r="AC40" s="1352">
        <f t="shared" si="5"/>
        <v>1</v>
      </c>
    </row>
    <row r="41" spans="1:31" ht="15">
      <c r="A41" s="430" t="s">
        <v>1843</v>
      </c>
      <c r="B41" s="1981" t="s">
        <v>1921</v>
      </c>
      <c r="C41" s="630" t="s">
        <v>0</v>
      </c>
      <c r="D41" s="432"/>
      <c r="E41" s="433"/>
      <c r="F41" s="434"/>
      <c r="G41" s="435"/>
      <c r="H41" s="436"/>
      <c r="I41" s="433"/>
      <c r="J41" s="436"/>
      <c r="K41" s="713"/>
      <c r="L41" s="2723"/>
      <c r="M41" s="2715"/>
      <c r="N41" s="2715"/>
      <c r="O41" s="2724"/>
      <c r="P41" s="3696" t="str">
        <f>A41</f>
        <v>成交单价</v>
      </c>
      <c r="Q41" s="3696"/>
      <c r="R41" s="3691">
        <f>E41</f>
        <v>0</v>
      </c>
      <c r="S41" s="3691"/>
      <c r="T41" s="3691">
        <f>G41</f>
        <v>0</v>
      </c>
      <c r="U41" s="3691"/>
      <c r="V41" s="3691">
        <f>I41</f>
        <v>0</v>
      </c>
      <c r="W41" s="3691"/>
      <c r="X41" s="689"/>
      <c r="Y41" s="711"/>
      <c r="Z41" s="689"/>
      <c r="AA41" s="689"/>
      <c r="AB41" s="689"/>
      <c r="AC41" s="689"/>
    </row>
    <row r="42" spans="1:31" ht="15.75" thickBot="1">
      <c r="A42" s="437" t="s">
        <v>1792</v>
      </c>
      <c r="B42" s="631"/>
      <c r="C42" s="440" t="e">
        <f>R43</f>
        <v>#DIV/0!</v>
      </c>
      <c r="D42" s="2316" t="s">
        <v>2136</v>
      </c>
      <c r="E42" s="440" t="e">
        <f>R42</f>
        <v>#DIV/0!</v>
      </c>
      <c r="F42" s="2317"/>
      <c r="G42" s="439" t="e">
        <f>T42</f>
        <v>#DIV/0!</v>
      </c>
      <c r="H42" s="2317"/>
      <c r="I42" s="440" t="e">
        <f>V42</f>
        <v>#DIV/0!</v>
      </c>
      <c r="J42" s="2317"/>
      <c r="K42" s="2319">
        <f>F42+H42+J42</f>
        <v>0</v>
      </c>
      <c r="L42" s="2723"/>
      <c r="M42" s="2715"/>
      <c r="N42" s="2715"/>
      <c r="O42" s="2724"/>
      <c r="P42" s="3696" t="str">
        <f>A42</f>
        <v>比较价值（元/平方米）</v>
      </c>
      <c r="Q42" s="3696"/>
      <c r="R42" s="3724" t="e">
        <f>ROUND(PRODUCT(R41,AA7:AA40),0)</f>
        <v>#DIV/0!</v>
      </c>
      <c r="S42" s="3724"/>
      <c r="T42" s="3724" t="e">
        <f>ROUND(PRODUCT(T41,AB7:AB40),0)</f>
        <v>#DIV/0!</v>
      </c>
      <c r="U42" s="3724"/>
      <c r="V42" s="3724" t="e">
        <f>ROUND(PRODUCT(V41,AC7:AC40),0)</f>
        <v>#DIV/0!</v>
      </c>
      <c r="W42" s="3724"/>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23"/>
      <c r="M43" s="2715"/>
      <c r="N43" s="2715"/>
      <c r="O43" s="2724"/>
      <c r="P43" s="3693" t="str">
        <f>A43</f>
        <v>估价对象XX用房的比较价值（楼面单价，元/平方米）</v>
      </c>
      <c r="Q43" s="3694"/>
      <c r="R43" s="3725" t="e">
        <f>ROUND(IF(D42="简单平均",AVERAGE(R42:W42),R42*F42+T42*H42+V42*J42),0)</f>
        <v>#DIV/0!</v>
      </c>
      <c r="S43" s="3725"/>
      <c r="T43" s="3725"/>
      <c r="U43" s="3725"/>
      <c r="V43" s="3725"/>
      <c r="W43" s="372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2" t="s">
        <v>1882</v>
      </c>
      <c r="D50" s="1983" t="s">
        <v>1883</v>
      </c>
      <c r="E50" s="634" t="s">
        <v>1884</v>
      </c>
      <c r="F50" s="635" t="s">
        <v>1885</v>
      </c>
      <c r="G50" s="3679" t="s">
        <v>1886</v>
      </c>
      <c r="H50" s="3726"/>
      <c r="I50" s="1355" t="s">
        <v>1922</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3">
        <v>1</v>
      </c>
      <c r="E51" s="638">
        <f>'数据-汇总表'!E8+'数据-汇总表'!E9</f>
        <v>349.71</v>
      </c>
      <c r="F51" s="639" t="e">
        <f t="shared" ref="F51:F60" si="15">ROUND(B51*E51/10000,0)</f>
        <v>#DIV/0!</v>
      </c>
      <c r="G51" s="3678"/>
      <c r="H51" s="369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4">
        <v>0.25</v>
      </c>
      <c r="E52" s="642"/>
      <c r="F52" s="639" t="e">
        <f t="shared" si="15"/>
        <v>#DIV/0!</v>
      </c>
      <c r="G52" s="3005" t="s">
        <v>1891</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4">
        <v>0.25</v>
      </c>
      <c r="E56" s="217">
        <f>'数据-汇总表'!E11</f>
        <v>0</v>
      </c>
      <c r="F56" s="639" t="e">
        <f t="shared" si="15"/>
        <v>#DIV/0!</v>
      </c>
      <c r="G56" s="1986" t="s">
        <v>1895</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4">
        <v>0.25</v>
      </c>
      <c r="E57" s="217">
        <f>'数据-汇总表'!E12</f>
        <v>0</v>
      </c>
      <c r="F57" s="639" t="e">
        <f t="shared" si="15"/>
        <v>#DIV/0!</v>
      </c>
      <c r="G57" s="891" t="s">
        <v>1897</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4">
        <v>0.25</v>
      </c>
      <c r="E58" s="217">
        <f>'数据-汇总表'!E13</f>
        <v>0</v>
      </c>
      <c r="F58" s="639" t="e">
        <f t="shared" si="15"/>
        <v>#DIV/0!</v>
      </c>
      <c r="G58" s="891" t="s">
        <v>1899</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4">
        <v>0.25</v>
      </c>
      <c r="E59" s="217">
        <f>'数据-汇总表'!E14</f>
        <v>0</v>
      </c>
      <c r="F59" s="639" t="e">
        <f t="shared" si="15"/>
        <v>#DIV/0!</v>
      </c>
      <c r="G59" s="1986" t="s">
        <v>1891</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4">
        <v>0.25</v>
      </c>
      <c r="E60" s="217">
        <f>'数据-汇总表'!E15</f>
        <v>0</v>
      </c>
      <c r="F60" s="639" t="e">
        <f t="shared" si="15"/>
        <v>#DIV/0!</v>
      </c>
      <c r="G60" s="1987" t="s">
        <v>1895</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2023-9-1</v>
      </c>
      <c r="D63" s="691">
        <f>EDATE(C63,-3)</f>
        <v>45078</v>
      </c>
      <c r="E63" s="691">
        <f>EDATE(D63,-3)</f>
        <v>44986</v>
      </c>
      <c r="F63" s="691">
        <f t="shared" ref="F63:O63" si="18">EDATE(E63,-3)</f>
        <v>44896</v>
      </c>
      <c r="G63" s="691">
        <f t="shared" si="18"/>
        <v>44805</v>
      </c>
      <c r="H63" s="691">
        <f t="shared" si="18"/>
        <v>44713</v>
      </c>
      <c r="I63" s="691">
        <f t="shared" si="18"/>
        <v>44621</v>
      </c>
      <c r="J63" s="691">
        <f t="shared" si="18"/>
        <v>44531</v>
      </c>
      <c r="K63" s="691">
        <f t="shared" si="18"/>
        <v>44440</v>
      </c>
      <c r="L63" s="691">
        <f t="shared" si="18"/>
        <v>44348</v>
      </c>
      <c r="M63" s="691">
        <f t="shared" si="18"/>
        <v>44256</v>
      </c>
      <c r="N63" s="691">
        <f t="shared" si="18"/>
        <v>44166</v>
      </c>
      <c r="O63" s="691">
        <f t="shared" si="18"/>
        <v>44075</v>
      </c>
      <c r="P63" s="2724"/>
      <c r="Q63" s="2724"/>
      <c r="R63" s="2724"/>
      <c r="S63" s="2724"/>
      <c r="T63" s="2724"/>
      <c r="U63" s="2724"/>
      <c r="V63" s="2724"/>
      <c r="W63" s="2724"/>
      <c r="X63" s="2724"/>
      <c r="Y63" s="2724"/>
      <c r="Z63" s="2724"/>
      <c r="AA63" s="2724"/>
      <c r="AB63" s="2724"/>
      <c r="AC63" s="2724"/>
      <c r="AD63" s="2724"/>
      <c r="AE63" s="2724"/>
    </row>
    <row r="64" spans="1:31" ht="21.75" thickBot="1">
      <c r="A64" s="693" t="s">
        <v>1797</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1903</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2082</v>
      </c>
      <c r="C1" s="3734" t="s">
        <v>2083</v>
      </c>
      <c r="D1" s="3735"/>
      <c r="E1" s="3735"/>
      <c r="F1" s="3735"/>
      <c r="G1" s="3735"/>
      <c r="H1" s="3735"/>
      <c r="I1" s="3735"/>
      <c r="J1" s="3735"/>
      <c r="K1" s="3735"/>
      <c r="L1" s="3735"/>
      <c r="M1" s="3735"/>
      <c r="N1" s="3735"/>
      <c r="O1" s="3735"/>
      <c r="P1" s="3735"/>
      <c r="Q1" s="3735"/>
      <c r="R1" s="3735"/>
      <c r="S1" s="3736"/>
      <c r="T1" s="982" t="s">
        <v>2084</v>
      </c>
    </row>
    <row r="2" spans="1:45" s="655" customFormat="1">
      <c r="A2" s="983"/>
      <c r="B2" s="651" t="s">
        <v>2085</v>
      </c>
      <c r="C2" s="652" t="str">
        <f t="shared" ref="C2:L2" si="0">C3&amp;"(含)"&amp;"-"&amp;D3</f>
        <v>0(含)-50</v>
      </c>
      <c r="D2" s="653" t="str">
        <f t="shared" si="0"/>
        <v>50(含)-100</v>
      </c>
      <c r="E2" s="653" t="str">
        <f t="shared" si="0"/>
        <v>100(含)-150</v>
      </c>
      <c r="F2" s="653" t="str">
        <f t="shared" si="0"/>
        <v>150(含)-200</v>
      </c>
      <c r="G2" s="653" t="str">
        <f t="shared" si="0"/>
        <v>200(含)-300</v>
      </c>
      <c r="H2" s="653" t="str">
        <f t="shared" si="0"/>
        <v>300(含)-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50</v>
      </c>
      <c r="E3" s="657">
        <f>'比较法-商业'!E103</f>
        <v>100</v>
      </c>
      <c r="F3" s="657">
        <f>'比较法-商业'!F103</f>
        <v>150</v>
      </c>
      <c r="G3" s="657">
        <f>'比较法-商业'!G103</f>
        <v>200</v>
      </c>
      <c r="H3" s="657">
        <f>'比较法-商业'!H103</f>
        <v>300</v>
      </c>
      <c r="I3" s="657"/>
      <c r="J3" s="657"/>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988">
        <f>'比较法-商业'!G104</f>
        <v>96</v>
      </c>
      <c r="H4" s="988">
        <f>'比较法-商业'!H104</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2092</v>
      </c>
      <c r="B17" s="2148" t="s">
        <v>2093</v>
      </c>
      <c r="C17" s="1009" t="s">
        <v>3435</v>
      </c>
      <c r="D17" s="1010" t="s">
        <v>3436</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80</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2094</v>
      </c>
      <c r="E19" s="1339"/>
      <c r="F19" s="1339"/>
      <c r="G19" s="1339"/>
      <c r="H19" s="1058"/>
      <c r="I19" s="159"/>
      <c r="J19" s="159"/>
      <c r="K19" s="159"/>
      <c r="L19" s="159"/>
      <c r="M19" s="159"/>
      <c r="N19" s="159"/>
      <c r="O19" s="159"/>
      <c r="P19" s="159"/>
      <c r="Q19" s="159"/>
      <c r="R19" s="717"/>
      <c r="S19" s="129"/>
    </row>
    <row r="20" spans="1:45" ht="16.5" thickBot="1">
      <c r="A20" s="661" t="s">
        <v>2095</v>
      </c>
      <c r="B20" s="294" t="e">
        <f ca="1">IF(D20="——",S22,S22-F20)</f>
        <v>#REF!</v>
      </c>
      <c r="C20" s="159"/>
      <c r="D20" s="2150"/>
      <c r="E20" s="1340"/>
      <c r="F20" s="982" t="e">
        <f ca="1">SUMIF(INDIRECT("'"&amp;H20&amp;"'"&amp;"!A:A"),"承租人权益价值",INDIRECT("'"&amp;H20&amp;"'"&amp;"!c:c"))</f>
        <v>#REF!</v>
      </c>
      <c r="G20" s="982" t="s">
        <v>2096</v>
      </c>
      <c r="H20" s="2151"/>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349.71</v>
      </c>
      <c r="C22" s="3731" t="s">
        <v>27</v>
      </c>
      <c r="D22" s="3732"/>
      <c r="E22" s="3732"/>
      <c r="F22" s="3732"/>
      <c r="G22" s="3732"/>
      <c r="H22" s="3732"/>
      <c r="I22" s="3732"/>
      <c r="J22" s="3732"/>
      <c r="K22" s="3732"/>
      <c r="L22" s="3732"/>
      <c r="M22" s="3732"/>
      <c r="N22" s="3732"/>
      <c r="O22" s="3732"/>
      <c r="P22" s="3732"/>
      <c r="Q22" s="3733"/>
      <c r="R22" s="662">
        <f ca="1">ROUND(S22*10000/B22,0)</f>
        <v>15413</v>
      </c>
      <c r="S22" s="21">
        <f ca="1">SUM(S24:S10000)</f>
        <v>539</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3797" t="s">
        <v>3439</v>
      </c>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796" t="str">
        <f>'数据-基础表'!C13</f>
        <v>33-7-1号</v>
      </c>
      <c r="B24" s="664">
        <f>'数据-基础表'!I13</f>
        <v>117.86</v>
      </c>
      <c r="C24" s="2809">
        <v>1</v>
      </c>
      <c r="D24" s="2810"/>
      <c r="E24" s="2809">
        <v>1</v>
      </c>
      <c r="F24" s="2810"/>
      <c r="G24" s="2809">
        <v>1</v>
      </c>
      <c r="H24" s="2810"/>
      <c r="I24" s="2809">
        <v>1</v>
      </c>
      <c r="J24" s="2810"/>
      <c r="K24" s="2809">
        <v>1</v>
      </c>
      <c r="L24" s="2810"/>
      <c r="M24" s="2809">
        <v>1</v>
      </c>
      <c r="N24" s="2810"/>
      <c r="O24" s="2809">
        <v>1</v>
      </c>
      <c r="P24" s="2810" t="s">
        <v>3437</v>
      </c>
      <c r="Q24" s="2809">
        <v>1</v>
      </c>
      <c r="R24" s="667">
        <f ca="1">结果表!G20</f>
        <v>17994</v>
      </c>
      <c r="S24" s="665">
        <f t="shared" ref="S24:S54" ca="1" si="11">ROUND(R24*B24/10000,0)</f>
        <v>212</v>
      </c>
      <c r="T24" s="729">
        <v>216</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3796" t="str">
        <f>'数据-基础表'!C14</f>
        <v>33-7-2号</v>
      </c>
      <c r="B25" s="664">
        <f>'数据-基础表'!I14</f>
        <v>231.85</v>
      </c>
      <c r="C25" s="21">
        <f>IF(B25="",1,(LOOKUP(B25,$3:$3,$4:$4)-LOOKUP($B$24,$3:$3,$4:$4)+100)/100)</f>
        <v>0.98</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3438</v>
      </c>
      <c r="Q25" s="21">
        <f>(SUMIF($17:$17,P25,$18:$18)-SUMIF($17:$17,$P$24,$18:$18)+100)/100</f>
        <v>0.8</v>
      </c>
      <c r="R25" s="662">
        <f ca="1">IF(B25="",0,ROUND($R$24*C25*E25*G25*I25*K25*M25*O25*Q25,0))</f>
        <v>14107</v>
      </c>
      <c r="S25" s="316">
        <f t="shared" ca="1" si="11"/>
        <v>327</v>
      </c>
      <c r="T25" s="724">
        <v>344</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0</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t="e">
        <f ca="1">SUMIF(B6:B13,"&lt;&gt;#ref!",B6:B13)</f>
        <v>#DIV/0!</v>
      </c>
      <c r="C2" s="2144" t="s">
        <v>2073</v>
      </c>
      <c r="D2" s="2144" t="s">
        <v>2074</v>
      </c>
      <c r="E2" s="2611">
        <f ca="1">SUMIF(E6:E13,"&lt;&gt;#ref!",E6:E13)</f>
        <v>0</v>
      </c>
      <c r="F2" s="2792"/>
      <c r="G2" s="2792"/>
      <c r="H2" s="2792"/>
      <c r="I2" s="2792"/>
      <c r="J2" s="2792"/>
      <c r="K2" s="2792"/>
      <c r="L2" s="2792"/>
      <c r="M2" s="2792"/>
      <c r="N2" s="2792"/>
      <c r="O2" s="2792"/>
      <c r="P2" s="2792"/>
    </row>
    <row r="3" spans="1:16" ht="15.75">
      <c r="A3" s="2144" t="s">
        <v>2075</v>
      </c>
      <c r="B3" s="2601" t="e">
        <f ca="1">ROUND(B2*10000/E2,0)</f>
        <v>#DIV/0!</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t="e">
        <f ca="1">SUMIF(INDIRECT("'"&amp;A6&amp;"'"&amp;"!A:A"),"总价",INDIRECT("'"&amp;A6&amp;"'"&amp;"!B:B"))</f>
        <v>#DIV/0!</v>
      </c>
      <c r="C6" s="2144" t="s">
        <v>2073</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1925</v>
      </c>
      <c r="B1" s="197"/>
      <c r="C1" s="201" t="s">
        <v>1926</v>
      </c>
      <c r="D1" s="342">
        <f>SUM(D33:D34,D37:D42)</f>
        <v>0</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8" t="s">
        <v>1934</v>
      </c>
      <c r="D2" s="1999" t="s">
        <v>1935</v>
      </c>
      <c r="E2" s="3421"/>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8" t="s">
        <v>1940</v>
      </c>
      <c r="D3" s="1999" t="s">
        <v>1941</v>
      </c>
      <c r="E3" s="3419"/>
      <c r="F3" s="2003"/>
      <c r="G3" s="751">
        <f>IF(F3="宗地容积率",'数据-汇总表'!I4,IF(F3="估价对象容积率",'数据-汇总表'!I6,'数据-汇总表'!I7))</f>
        <v>0</v>
      </c>
      <c r="H3" s="170"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44"/>
      <c r="B4" s="3745"/>
      <c r="C4" s="3745"/>
      <c r="D4" s="3746"/>
      <c r="E4" s="3746"/>
      <c r="F4" s="3746"/>
      <c r="G4" s="3746"/>
      <c r="H4" s="3746"/>
      <c r="I4" s="3746"/>
      <c r="J4" s="3747"/>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t="e">
        <f>ROUND(IF(E2="商业",C6*C7*C17+C20,(IF(E2="住宅",C6*C13*C17+C20,IF(E2="办公",C6*C12*C17+C20,C6+C20)))),0)</f>
        <v>#DIV/0!</v>
      </c>
      <c r="D5" s="1338" t="e">
        <f>ROUND(C6*C17+C20,0)</f>
        <v>#DIV/0!</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3241</v>
      </c>
      <c r="B7" s="2020" t="s">
        <v>1951</v>
      </c>
      <c r="C7" s="754" t="e">
        <f>IF(C8="不临65条商业街",1,ROUND(1+(1.6*E8+1.2*E9+0.8*E10+0.4*E11)*C9,4))</f>
        <v>#DIV/0!</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1954</v>
      </c>
      <c r="X7" s="1213">
        <f>G2</f>
        <v>0</v>
      </c>
      <c r="Y7" s="1213" t="s">
        <v>1955</v>
      </c>
      <c r="Z7" s="1214">
        <f>G3</f>
        <v>0</v>
      </c>
      <c r="AA7" s="1215"/>
      <c r="AB7" s="1215"/>
      <c r="AC7" s="1216"/>
      <c r="AD7" s="1217"/>
      <c r="AE7" s="1217"/>
      <c r="AF7" s="1217"/>
      <c r="AG7" s="1217"/>
      <c r="AH7" s="1217"/>
      <c r="AI7" s="1217"/>
      <c r="AJ7" s="1218"/>
    </row>
    <row r="8" spans="1:36" ht="15">
      <c r="A8" s="3298"/>
      <c r="B8" s="170" t="s">
        <v>1956</v>
      </c>
      <c r="C8" s="2025"/>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41" t="s">
        <v>1959</v>
      </c>
      <c r="X8" s="3742"/>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7">
        <f>SUMIF(修正!C71:C138,C8,修正!E71:E138)</f>
        <v>0</v>
      </c>
      <c r="D9" s="171" t="s">
        <v>113</v>
      </c>
      <c r="E9" s="171"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43"/>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1981</v>
      </c>
      <c r="C13" s="754">
        <f>ROUND(C16*D16*E16*F16*G16*H16*I16*J16,4)</f>
        <v>0</v>
      </c>
      <c r="D13" s="2034" t="s">
        <v>1982</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3247</v>
      </c>
      <c r="G14" s="3311" t="s">
        <v>3247</v>
      </c>
      <c r="H14" s="3311" t="s">
        <v>3247</v>
      </c>
      <c r="I14" s="3311" t="s">
        <v>3247</v>
      </c>
      <c r="J14" s="3311" t="s">
        <v>3247</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t="e">
        <f>ROUND(G18/I18,2)</f>
        <v>#DIV/0!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48" t="s">
        <v>3258</v>
      </c>
      <c r="B20" s="167" t="s">
        <v>1993</v>
      </c>
      <c r="C20" s="3324" t="e">
        <f>ROUND(IF(F21="与级别开发程度一致",0,(G21-E21)/C21),0)</f>
        <v>#DIV/0!</v>
      </c>
      <c r="D20" s="3340" t="s">
        <v>1997</v>
      </c>
      <c r="E20" s="3341"/>
      <c r="F20" s="3754" t="s">
        <v>1994</v>
      </c>
      <c r="G20" s="3755"/>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49"/>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1999</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2001</v>
      </c>
      <c r="E23" s="760">
        <v>44197</v>
      </c>
      <c r="F23" s="2053" t="s">
        <v>2002</v>
      </c>
      <c r="G23" s="761">
        <f>'数据-取费表'!B2</f>
        <v>45171</v>
      </c>
      <c r="H23" s="3342" t="s">
        <v>3260</v>
      </c>
      <c r="I23" s="3343" t="str">
        <f>IF(H23="季度增幅（自定义）",SUMIF(N25:N28,E2,O25:O28),"")</f>
        <v/>
      </c>
      <c r="J23" s="3445" t="s">
        <v>3259</v>
      </c>
      <c r="K23" s="1124"/>
      <c r="L23" s="2054" t="s">
        <v>2003</v>
      </c>
      <c r="M23" s="1327">
        <f>ROUND(SUMIF(地价!B2:G2,E2,地价!B16:G16),0)</f>
        <v>0</v>
      </c>
      <c r="N23" s="2055" t="s">
        <v>2004</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t="e">
        <f>ROUND(POWER(1+G24,J24-I24)*(POWER(1+G24,I24)-1)/(POWER(1+G24,J24)-1),4)</f>
        <v>#DIV/0!</v>
      </c>
      <c r="D24" s="2059" t="s">
        <v>2006</v>
      </c>
      <c r="E24" s="1334">
        <f>存贷款利率!E24/100</f>
        <v>4.3499999999999997E-2</v>
      </c>
      <c r="F24" s="2059" t="s">
        <v>1998</v>
      </c>
      <c r="G24" s="767">
        <f>SUMIF(M30:Q30,E2,M33:Q33)</f>
        <v>0</v>
      </c>
      <c r="H24" s="2059" t="s">
        <v>2007</v>
      </c>
      <c r="I24" s="768" t="e">
        <f>SUMIF('数据-取费表'!C6:C15,E2,'数据-取费表'!F6:F15)/COUNTIF('数据-取费表'!C6:C15,E2)</f>
        <v>#DIV/0!</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3339</v>
      </c>
      <c r="C25" s="770">
        <f>IF(B25="容积率修正",IF(G3&lt;10,D26,J26),C27)</f>
        <v>0</v>
      </c>
      <c r="D25" s="2066"/>
      <c r="E25" s="2066"/>
      <c r="F25" s="2066"/>
      <c r="G25" s="2066"/>
      <c r="H25" s="2066"/>
      <c r="I25" s="2066"/>
      <c r="J25" s="2067"/>
      <c r="K25" s="1124"/>
      <c r="L25" s="2787"/>
      <c r="M25" s="2787"/>
      <c r="N25" s="2068" t="s">
        <v>2012</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4" t="s">
        <v>3261</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1" t="str">
        <f>IF(G3&gt;=10,D115,"——")</f>
        <v>——</v>
      </c>
      <c r="K26" s="1124"/>
      <c r="L26" s="2787"/>
      <c r="M26" s="2787"/>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0</v>
      </c>
      <c r="D28" s="2051"/>
      <c r="E28" s="2076"/>
      <c r="F28" s="2076"/>
      <c r="G28" s="2076"/>
      <c r="H28" s="2076"/>
      <c r="I28" s="2076"/>
      <c r="J28" s="2077"/>
      <c r="K28" s="1124"/>
      <c r="L28" s="2787"/>
      <c r="M28" s="2787"/>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4" t="s">
        <v>2022</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t="e">
        <f>IF(B25="容积率修正",E33+SUM(E37:E42),SUM(V2:V16)+SUM(E37:E42))</f>
        <v>#DIV/0!</v>
      </c>
      <c r="D30" s="2082"/>
      <c r="E30" s="2045"/>
      <c r="F30" s="2083"/>
      <c r="G30" s="2045"/>
      <c r="H30" s="2045"/>
      <c r="I30" s="2045"/>
      <c r="J30" s="2084"/>
      <c r="K30" s="1118"/>
      <c r="L30" s="3350" t="s">
        <v>1935</v>
      </c>
      <c r="M30" s="3351" t="s">
        <v>1989</v>
      </c>
      <c r="N30" s="3351" t="s">
        <v>1990</v>
      </c>
      <c r="O30" s="3351" t="s">
        <v>1991</v>
      </c>
      <c r="P30" s="3351" t="s">
        <v>1992</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t="e">
        <f>E34+SUM(I37:I42)</f>
        <v>#DIV/0!</v>
      </c>
      <c r="D31" s="2086"/>
      <c r="E31" s="2087"/>
      <c r="F31" s="2088"/>
      <c r="G31" s="2087"/>
      <c r="H31" s="2087"/>
      <c r="I31" s="2087"/>
      <c r="J31" s="2089"/>
      <c r="K31" s="1118"/>
      <c r="L31" s="3352" t="s">
        <v>1995</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3" t="s">
        <v>1998</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5" t="e">
        <f>ROUND(C5*C22*C23*C24*C25*C28,0)</f>
        <v>#DIV/0!</v>
      </c>
      <c r="D33" s="2097"/>
      <c r="E33" s="772" t="e">
        <f>ROUND(C33*D33/10000,0)</f>
        <v>#DIV/0!</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7" t="e">
        <f>ROUND(IF(E2="工业",C33*M42,IF(B25="楼层修正",SUM(V2:V16)*M41*10000/D34,C33*M41)),0)</f>
        <v>#DIV/0!</v>
      </c>
      <c r="D34" s="2102"/>
      <c r="E34" s="772" t="e">
        <f>ROUND(IF(B25="楼层修正",SUM(V2:V16)*M40,C34*D34/10000),0)</f>
        <v>#DIV/0!</v>
      </c>
      <c r="F34" s="2103" t="s">
        <v>2031</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6" t="s">
        <v>3265</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2"/>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3"/>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3"/>
      <c r="B39" s="2040" t="s">
        <v>3263</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2120</v>
      </c>
      <c r="C44" s="342" t="e">
        <f>ROUND(POWER(1+E44,H44-G44)*(POWER(1+E44,G44)-1)/(POWER(1+E44,H44)-1),4)</f>
        <v>#DIV/0!</v>
      </c>
      <c r="D44" s="171" t="s">
        <v>1998</v>
      </c>
      <c r="E44" s="2152">
        <f>G24</f>
        <v>0</v>
      </c>
      <c r="F44" s="171" t="s">
        <v>2007</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2043</v>
      </c>
      <c r="B49" s="1350" t="s">
        <v>2044</v>
      </c>
      <c r="C49" s="1350" t="s">
        <v>2045</v>
      </c>
      <c r="D49" s="1350" t="s">
        <v>2046</v>
      </c>
      <c r="E49" s="742" t="s">
        <v>2047</v>
      </c>
      <c r="F49" s="2130" t="s">
        <v>2048</v>
      </c>
      <c r="G49" s="1350" t="s">
        <v>310</v>
      </c>
      <c r="H49" s="2131" t="s">
        <v>2049</v>
      </c>
      <c r="I49" s="1350"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38.25">
      <c r="A50" s="2129" t="s">
        <v>2051</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2052</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2053</v>
      </c>
      <c r="B53" s="2134" t="s">
        <v>2054</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2056</v>
      </c>
      <c r="B55" s="2135" t="s">
        <v>2057</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2058</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2059</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2060</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2043</v>
      </c>
      <c r="B60" s="1350"/>
      <c r="C60" s="1350" t="s">
        <v>2045</v>
      </c>
      <c r="D60" s="1350" t="s">
        <v>2046</v>
      </c>
      <c r="E60" s="742" t="s">
        <v>2047</v>
      </c>
      <c r="F60" s="2130" t="s">
        <v>2062</v>
      </c>
      <c r="G60" s="1350" t="s">
        <v>310</v>
      </c>
      <c r="H60" s="2131" t="s">
        <v>2049</v>
      </c>
      <c r="I60" s="1350"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38.25">
      <c r="A61" s="2129" t="s">
        <v>2063</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2052</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2053</v>
      </c>
      <c r="B64" s="2134" t="s">
        <v>2054</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2056</v>
      </c>
      <c r="B66" s="2135" t="s">
        <v>2057</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2058</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2059</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2060</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2043</v>
      </c>
      <c r="B71" s="1350"/>
      <c r="C71" s="1350" t="s">
        <v>2045</v>
      </c>
      <c r="D71" s="1350" t="s">
        <v>2046</v>
      </c>
      <c r="E71" s="742" t="s">
        <v>2047</v>
      </c>
      <c r="F71" s="2130" t="s">
        <v>2062</v>
      </c>
      <c r="G71" s="1350" t="s">
        <v>310</v>
      </c>
      <c r="H71" s="2131" t="s">
        <v>2049</v>
      </c>
      <c r="I71" s="1350"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51">
      <c r="A72" s="2129" t="s">
        <v>2065</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2052</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2066</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2058</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2059</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2056</v>
      </c>
      <c r="B78" s="2135" t="s">
        <v>2057</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2060</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2067</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2068</v>
      </c>
      <c r="B81" s="2126">
        <f>1+E83</f>
        <v>1</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2" t="s">
        <v>1720</v>
      </c>
      <c r="K82" s="552" t="s">
        <v>1721</v>
      </c>
      <c r="L82" s="552" t="s">
        <v>1722</v>
      </c>
      <c r="M82" s="552" t="s">
        <v>1723</v>
      </c>
      <c r="N82" s="552" t="s">
        <v>1724</v>
      </c>
      <c r="Z82" s="1997"/>
      <c r="AA82" s="2052"/>
      <c r="AG82" s="1120"/>
      <c r="AK82" s="2052"/>
    </row>
    <row r="83" spans="1:37" ht="38.25">
      <c r="A83" s="2129" t="s">
        <v>2069</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3274</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2066</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2058</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2059</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2056</v>
      </c>
      <c r="B89" s="2135" t="s">
        <v>2070</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2071</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0" t="s">
        <v>3298</v>
      </c>
      <c r="B103" s="3750"/>
      <c r="C103" s="3750"/>
      <c r="D103" s="3750"/>
      <c r="E103" s="3750"/>
      <c r="F103" s="3750"/>
      <c r="G103" s="3750"/>
      <c r="H103" s="3750"/>
      <c r="I103" s="3750"/>
      <c r="J103" s="3750"/>
      <c r="K103" s="3389"/>
      <c r="L103" s="3389"/>
      <c r="M103" s="3389"/>
      <c r="N103" s="3389"/>
    </row>
    <row r="104" spans="1:14">
      <c r="A104" s="3751" t="s">
        <v>3299</v>
      </c>
      <c r="B104" s="3751" t="s">
        <v>3300</v>
      </c>
      <c r="C104" s="3390" t="s">
        <v>3301</v>
      </c>
      <c r="D104" s="3391"/>
      <c r="E104" s="3391"/>
      <c r="F104" s="3391"/>
      <c r="G104" s="3391"/>
      <c r="H104" s="3391"/>
      <c r="I104" s="3391"/>
      <c r="J104" s="3392"/>
      <c r="K104" s="3393"/>
      <c r="L104" s="3393"/>
      <c r="M104" s="3393"/>
      <c r="N104" s="3393"/>
    </row>
    <row r="105" spans="1:14">
      <c r="A105" s="3751"/>
      <c r="B105" s="3751"/>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37"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8"/>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3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40" t="s">
        <v>3315</v>
      </c>
      <c r="B113" s="3740"/>
      <c r="C113" s="3740"/>
      <c r="D113" s="3740"/>
      <c r="E113" s="3740"/>
      <c r="F113" s="3740"/>
      <c r="G113" s="3740"/>
      <c r="H113" s="3740"/>
      <c r="I113" s="3740"/>
      <c r="J113" s="37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0</v>
      </c>
      <c r="C116" s="3399" t="s">
        <v>3317</v>
      </c>
      <c r="D116" s="3400">
        <f>SUMPRODUCT((A118:A122=F116)*(B117:M117=H116)*B118:M122)</f>
        <v>0</v>
      </c>
      <c r="E116" s="1999" t="s">
        <v>3318</v>
      </c>
      <c r="F116" s="3401">
        <f>E2</f>
        <v>0</v>
      </c>
      <c r="G116" s="1999" t="s">
        <v>3319</v>
      </c>
      <c r="H116" s="3401">
        <f>G2</f>
        <v>0</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63" t="s">
        <v>2609</v>
      </c>
      <c r="B20" s="3756" t="s">
        <v>2630</v>
      </c>
      <c r="C20" s="3102" t="s">
        <v>2441</v>
      </c>
      <c r="D20" s="3103"/>
      <c r="E20" s="3104">
        <v>1</v>
      </c>
      <c r="F20" s="3105" t="s">
        <v>2442</v>
      </c>
      <c r="G20" s="3105"/>
    </row>
    <row r="21" spans="1:13" ht="19.5" customHeight="1">
      <c r="A21" s="3764"/>
      <c r="B21" s="3757"/>
      <c r="C21" s="3106" t="s">
        <v>2443</v>
      </c>
      <c r="D21" s="3107"/>
      <c r="E21" s="3108">
        <v>1</v>
      </c>
      <c r="F21" s="3105" t="s">
        <v>2444</v>
      </c>
      <c r="G21" s="3105"/>
    </row>
    <row r="22" spans="1:13" ht="19.5" customHeight="1">
      <c r="A22" s="3764"/>
      <c r="B22" s="3757"/>
      <c r="C22" s="3106" t="s">
        <v>2445</v>
      </c>
      <c r="D22" s="3107"/>
      <c r="E22" s="3108">
        <v>0.9</v>
      </c>
      <c r="F22" s="3105" t="s">
        <v>2446</v>
      </c>
      <c r="G22" s="3105"/>
    </row>
    <row r="23" spans="1:13" ht="19.5" customHeight="1">
      <c r="A23" s="3764"/>
      <c r="B23" s="3757"/>
      <c r="C23" s="3106" t="s">
        <v>2447</v>
      </c>
      <c r="D23" s="3107"/>
      <c r="E23" s="3108">
        <v>0.9</v>
      </c>
      <c r="F23" s="3105" t="s">
        <v>2448</v>
      </c>
      <c r="G23" s="3105"/>
    </row>
    <row r="24" spans="1:13" ht="19.5" customHeight="1">
      <c r="A24" s="3764"/>
      <c r="B24" s="3757"/>
      <c r="C24" s="3106" t="s">
        <v>2449</v>
      </c>
      <c r="D24" s="3107"/>
      <c r="E24" s="3108">
        <v>0.8</v>
      </c>
      <c r="F24" s="3105" t="s">
        <v>2450</v>
      </c>
      <c r="G24" s="3105"/>
    </row>
    <row r="25" spans="1:13" ht="19.5" customHeight="1" thickBot="1">
      <c r="A25" s="3765"/>
      <c r="B25" s="3758"/>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59" t="s">
        <v>2633</v>
      </c>
      <c r="B27" s="3756" t="s">
        <v>2614</v>
      </c>
      <c r="C27" s="3102" t="s">
        <v>2454</v>
      </c>
      <c r="D27" s="3103"/>
      <c r="E27" s="3104">
        <v>1</v>
      </c>
      <c r="F27" s="3105" t="s">
        <v>2455</v>
      </c>
      <c r="G27" s="3105"/>
    </row>
    <row r="28" spans="1:13" ht="19.5" customHeight="1">
      <c r="A28" s="3760"/>
      <c r="B28" s="3757"/>
      <c r="C28" s="3106" t="s">
        <v>2456</v>
      </c>
      <c r="D28" s="3107"/>
      <c r="E28" s="3108">
        <v>1</v>
      </c>
      <c r="F28" s="3105" t="s">
        <v>2457</v>
      </c>
      <c r="G28" s="3105"/>
    </row>
    <row r="29" spans="1:13" ht="19.5" customHeight="1">
      <c r="A29" s="3760"/>
      <c r="B29" s="3757"/>
      <c r="C29" s="3106" t="s">
        <v>2458</v>
      </c>
      <c r="D29" s="3107"/>
      <c r="E29" s="3108">
        <v>0.8</v>
      </c>
      <c r="F29" s="3105" t="s">
        <v>2459</v>
      </c>
      <c r="G29" s="3105"/>
    </row>
    <row r="30" spans="1:13" ht="19.5" customHeight="1">
      <c r="A30" s="3760"/>
      <c r="B30" s="3757"/>
      <c r="C30" s="3106" t="s">
        <v>2460</v>
      </c>
      <c r="D30" s="3107"/>
      <c r="E30" s="3108">
        <v>0.8</v>
      </c>
      <c r="F30" s="3105" t="s">
        <v>2461</v>
      </c>
      <c r="G30" s="3105"/>
    </row>
    <row r="31" spans="1:13" ht="19.5" customHeight="1">
      <c r="A31" s="3760"/>
      <c r="B31" s="3757"/>
      <c r="C31" s="3106" t="s">
        <v>2462</v>
      </c>
      <c r="D31" s="3107"/>
      <c r="E31" s="3108">
        <v>0.8</v>
      </c>
      <c r="F31" s="3105" t="s">
        <v>2463</v>
      </c>
      <c r="G31" s="3105"/>
    </row>
    <row r="32" spans="1:13" ht="19.5" customHeight="1">
      <c r="A32" s="3760"/>
      <c r="B32" s="3757"/>
      <c r="C32" s="3106" t="s">
        <v>2464</v>
      </c>
      <c r="D32" s="3107"/>
      <c r="E32" s="3108">
        <v>0.7</v>
      </c>
      <c r="F32" s="3105" t="s">
        <v>2465</v>
      </c>
      <c r="G32" s="3105"/>
    </row>
    <row r="33" spans="1:7" ht="19.5" customHeight="1">
      <c r="A33" s="3760"/>
      <c r="B33" s="3757"/>
      <c r="C33" s="3106" t="s">
        <v>2466</v>
      </c>
      <c r="D33" s="3107"/>
      <c r="E33" s="3108">
        <v>0.8</v>
      </c>
      <c r="F33" s="3105" t="s">
        <v>2467</v>
      </c>
      <c r="G33" s="3105"/>
    </row>
    <row r="34" spans="1:7" ht="19.5" customHeight="1">
      <c r="A34" s="3760"/>
      <c r="B34" s="3757"/>
      <c r="C34" s="3106" t="s">
        <v>2468</v>
      </c>
      <c r="D34" s="3107"/>
      <c r="E34" s="3108">
        <v>0.6</v>
      </c>
      <c r="F34" s="3105" t="s">
        <v>2469</v>
      </c>
      <c r="G34" s="3105"/>
    </row>
    <row r="35" spans="1:7" ht="19.5" customHeight="1">
      <c r="A35" s="3760"/>
      <c r="B35" s="3757"/>
      <c r="C35" s="3106" t="s">
        <v>2470</v>
      </c>
      <c r="D35" s="3107"/>
      <c r="E35" s="3108">
        <v>0.2</v>
      </c>
      <c r="F35" s="3105" t="s">
        <v>2471</v>
      </c>
      <c r="G35" s="3105"/>
    </row>
    <row r="36" spans="1:7" ht="19.5" customHeight="1">
      <c r="A36" s="3760"/>
      <c r="B36" s="3757"/>
      <c r="C36" s="3106" t="s">
        <v>2472</v>
      </c>
      <c r="D36" s="3107"/>
      <c r="E36" s="3108">
        <v>0.2</v>
      </c>
      <c r="F36" s="3105" t="s">
        <v>2473</v>
      </c>
      <c r="G36" s="3105"/>
    </row>
    <row r="37" spans="1:7" ht="19.5" customHeight="1">
      <c r="A37" s="3760"/>
      <c r="B37" s="3762" t="s">
        <v>2634</v>
      </c>
      <c r="C37" s="3106" t="s">
        <v>2474</v>
      </c>
      <c r="D37" s="3107"/>
      <c r="E37" s="3108">
        <v>0.6</v>
      </c>
      <c r="F37" s="3105" t="s">
        <v>2475</v>
      </c>
      <c r="G37" s="3105"/>
    </row>
    <row r="38" spans="1:7" ht="19.5" customHeight="1">
      <c r="A38" s="3760"/>
      <c r="B38" s="3757"/>
      <c r="C38" s="3106" t="s">
        <v>2476</v>
      </c>
      <c r="D38" s="3107"/>
      <c r="E38" s="3108">
        <v>0.6</v>
      </c>
      <c r="F38" s="3105" t="s">
        <v>2477</v>
      </c>
      <c r="G38" s="3105"/>
    </row>
    <row r="39" spans="1:7" ht="19.5" customHeight="1" thickBot="1">
      <c r="A39" s="3761"/>
      <c r="B39" s="3758"/>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63" t="s">
        <v>2612</v>
      </c>
      <c r="B41" s="3756" t="s">
        <v>2636</v>
      </c>
      <c r="C41" s="3102" t="s">
        <v>2481</v>
      </c>
      <c r="D41" s="3103"/>
      <c r="E41" s="3104">
        <v>1</v>
      </c>
      <c r="F41" s="3105" t="s">
        <v>2482</v>
      </c>
      <c r="G41" s="3105"/>
    </row>
    <row r="42" spans="1:7" ht="19.5" customHeight="1">
      <c r="A42" s="3764"/>
      <c r="B42" s="3757"/>
      <c r="C42" s="3106" t="s">
        <v>2483</v>
      </c>
      <c r="D42" s="3107"/>
      <c r="E42" s="3108">
        <v>1</v>
      </c>
      <c r="F42" s="3105" t="s">
        <v>2484</v>
      </c>
      <c r="G42" s="3105"/>
    </row>
    <row r="43" spans="1:7" ht="19.5" customHeight="1">
      <c r="A43" s="3764"/>
      <c r="B43" s="3766"/>
      <c r="C43" s="3106" t="s">
        <v>2485</v>
      </c>
      <c r="D43" s="3107"/>
      <c r="E43" s="3108">
        <v>1.5</v>
      </c>
      <c r="F43" s="3105" t="s">
        <v>2486</v>
      </c>
      <c r="G43" s="3105"/>
    </row>
    <row r="44" spans="1:7" ht="19.5" customHeight="1">
      <c r="A44" s="3764"/>
      <c r="B44" s="3117" t="s">
        <v>2637</v>
      </c>
      <c r="C44" s="3106" t="s">
        <v>2638</v>
      </c>
      <c r="D44" s="3107"/>
      <c r="E44" s="3108">
        <v>2</v>
      </c>
      <c r="F44" s="3105" t="s">
        <v>2487</v>
      </c>
      <c r="G44" s="3105"/>
    </row>
    <row r="45" spans="1:7" ht="19.5" customHeight="1">
      <c r="A45" s="3764"/>
      <c r="B45" s="3762" t="s">
        <v>2639</v>
      </c>
      <c r="C45" s="3106" t="s">
        <v>2488</v>
      </c>
      <c r="D45" s="3107"/>
      <c r="E45" s="3108">
        <v>1</v>
      </c>
      <c r="F45" s="3105" t="s">
        <v>2489</v>
      </c>
      <c r="G45" s="3105"/>
    </row>
    <row r="46" spans="1:7" ht="19.5" customHeight="1">
      <c r="A46" s="3764"/>
      <c r="B46" s="3757"/>
      <c r="C46" s="3106" t="s">
        <v>2490</v>
      </c>
      <c r="D46" s="3107"/>
      <c r="E46" s="3108">
        <v>1</v>
      </c>
      <c r="F46" s="3105" t="s">
        <v>2491</v>
      </c>
      <c r="G46" s="3105"/>
    </row>
    <row r="47" spans="1:7" ht="19.5" customHeight="1">
      <c r="A47" s="3764"/>
      <c r="B47" s="3757"/>
      <c r="C47" s="3106" t="s">
        <v>2492</v>
      </c>
      <c r="D47" s="3107"/>
      <c r="E47" s="3108">
        <v>1</v>
      </c>
      <c r="F47" s="3105" t="s">
        <v>2493</v>
      </c>
      <c r="G47" s="3105"/>
    </row>
    <row r="48" spans="1:7" ht="19.5" customHeight="1">
      <c r="A48" s="3764"/>
      <c r="B48" s="3757"/>
      <c r="C48" s="3106" t="s">
        <v>2494</v>
      </c>
      <c r="D48" s="3107"/>
      <c r="E48" s="3108">
        <v>1</v>
      </c>
      <c r="F48" s="3105" t="s">
        <v>2495</v>
      </c>
      <c r="G48" s="3105"/>
    </row>
    <row r="49" spans="1:7" ht="19.5" customHeight="1">
      <c r="A49" s="3764"/>
      <c r="B49" s="3757"/>
      <c r="C49" s="3106" t="s">
        <v>2496</v>
      </c>
      <c r="D49" s="3107"/>
      <c r="E49" s="3108">
        <v>1</v>
      </c>
      <c r="F49" s="3105" t="s">
        <v>2497</v>
      </c>
      <c r="G49" s="3105"/>
    </row>
    <row r="50" spans="1:7" ht="19.5" customHeight="1">
      <c r="A50" s="3764"/>
      <c r="B50" s="3757"/>
      <c r="C50" s="3106" t="s">
        <v>2498</v>
      </c>
      <c r="D50" s="3107"/>
      <c r="E50" s="3108">
        <v>1</v>
      </c>
      <c r="F50" s="3105" t="s">
        <v>2499</v>
      </c>
      <c r="G50" s="3105"/>
    </row>
    <row r="51" spans="1:7" ht="19.5" customHeight="1" thickBot="1">
      <c r="A51" s="3765"/>
      <c r="B51" s="3758"/>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62" t="s">
        <v>2653</v>
      </c>
      <c r="C73" s="3091" t="s">
        <v>2654</v>
      </c>
      <c r="D73" s="3091" t="s">
        <v>2655</v>
      </c>
      <c r="E73" s="3117">
        <v>0.2</v>
      </c>
      <c r="F73" s="3117">
        <v>25</v>
      </c>
    </row>
    <row r="74" spans="1:7" ht="24">
      <c r="A74" s="3117">
        <v>2</v>
      </c>
      <c r="B74" s="3757"/>
      <c r="C74" s="3091" t="s">
        <v>2656</v>
      </c>
      <c r="D74" s="3091" t="s">
        <v>2657</v>
      </c>
      <c r="E74" s="3117">
        <v>0.2</v>
      </c>
      <c r="F74" s="3117">
        <v>25</v>
      </c>
    </row>
    <row r="75" spans="1:7" ht="24">
      <c r="A75" s="3117">
        <v>3</v>
      </c>
      <c r="B75" s="3757"/>
      <c r="C75" s="3091" t="s">
        <v>2658</v>
      </c>
      <c r="D75" s="3091" t="s">
        <v>2659</v>
      </c>
      <c r="E75" s="3117">
        <v>0.2</v>
      </c>
      <c r="F75" s="3117">
        <v>25</v>
      </c>
    </row>
    <row r="76" spans="1:7" ht="13.5">
      <c r="A76" s="3117">
        <v>4</v>
      </c>
      <c r="B76" s="3757"/>
      <c r="C76" s="3091" t="s">
        <v>2660</v>
      </c>
      <c r="D76" s="3091" t="s">
        <v>2661</v>
      </c>
      <c r="E76" s="3117">
        <v>0.15</v>
      </c>
      <c r="F76" s="3117">
        <v>20</v>
      </c>
    </row>
    <row r="77" spans="1:7" ht="24">
      <c r="A77" s="3117">
        <v>5</v>
      </c>
      <c r="B77" s="3757"/>
      <c r="C77" s="3091" t="s">
        <v>2662</v>
      </c>
      <c r="D77" s="3091" t="s">
        <v>2663</v>
      </c>
      <c r="E77" s="3117">
        <v>0.15</v>
      </c>
      <c r="F77" s="3117">
        <v>20</v>
      </c>
    </row>
    <row r="78" spans="1:7" ht="24">
      <c r="A78" s="3117">
        <v>6</v>
      </c>
      <c r="B78" s="3757"/>
      <c r="C78" s="3091" t="s">
        <v>2664</v>
      </c>
      <c r="D78" s="3091" t="s">
        <v>2665</v>
      </c>
      <c r="E78" s="3117">
        <v>0.15</v>
      </c>
      <c r="F78" s="3117">
        <v>20</v>
      </c>
    </row>
    <row r="79" spans="1:7" ht="24">
      <c r="A79" s="3117">
        <v>7</v>
      </c>
      <c r="B79" s="3757"/>
      <c r="C79" s="3091" t="s">
        <v>2666</v>
      </c>
      <c r="D79" s="3091" t="s">
        <v>2667</v>
      </c>
      <c r="E79" s="3117">
        <v>0.15</v>
      </c>
      <c r="F79" s="3117">
        <v>20</v>
      </c>
    </row>
    <row r="80" spans="1:7" ht="24">
      <c r="A80" s="3117">
        <v>8</v>
      </c>
      <c r="B80" s="3757"/>
      <c r="C80" s="3091" t="s">
        <v>2668</v>
      </c>
      <c r="D80" s="3091" t="s">
        <v>2669</v>
      </c>
      <c r="E80" s="3117">
        <v>0.1</v>
      </c>
      <c r="F80" s="3117">
        <v>15</v>
      </c>
    </row>
    <row r="81" spans="1:6" ht="24">
      <c r="A81" s="3117">
        <v>9</v>
      </c>
      <c r="B81" s="3757"/>
      <c r="C81" s="3091" t="s">
        <v>2670</v>
      </c>
      <c r="D81" s="3091" t="s">
        <v>2671</v>
      </c>
      <c r="E81" s="3117">
        <v>0.1</v>
      </c>
      <c r="F81" s="3117">
        <v>15</v>
      </c>
    </row>
    <row r="82" spans="1:6" ht="24">
      <c r="A82" s="3117">
        <v>10</v>
      </c>
      <c r="B82" s="3757"/>
      <c r="C82" s="3091" t="s">
        <v>2672</v>
      </c>
      <c r="D82" s="3091" t="s">
        <v>2673</v>
      </c>
      <c r="E82" s="3117">
        <v>0.1</v>
      </c>
      <c r="F82" s="3117">
        <v>15</v>
      </c>
    </row>
    <row r="83" spans="1:6" ht="24">
      <c r="A83" s="3117">
        <v>11</v>
      </c>
      <c r="B83" s="3757"/>
      <c r="C83" s="3091" t="s">
        <v>2674</v>
      </c>
      <c r="D83" s="3091" t="s">
        <v>2675</v>
      </c>
      <c r="E83" s="3117">
        <v>0.1</v>
      </c>
      <c r="F83" s="3117">
        <v>15</v>
      </c>
    </row>
    <row r="84" spans="1:6" ht="24">
      <c r="A84" s="3117">
        <v>12</v>
      </c>
      <c r="B84" s="3757"/>
      <c r="C84" s="3091" t="s">
        <v>2676</v>
      </c>
      <c r="D84" s="3091" t="s">
        <v>2677</v>
      </c>
      <c r="E84" s="3117">
        <v>0.1</v>
      </c>
      <c r="F84" s="3117">
        <v>15</v>
      </c>
    </row>
    <row r="85" spans="1:6" ht="13.5">
      <c r="A85" s="3117">
        <v>13</v>
      </c>
      <c r="B85" s="3757"/>
      <c r="C85" s="3091" t="s">
        <v>2678</v>
      </c>
      <c r="D85" s="3091" t="s">
        <v>2679</v>
      </c>
      <c r="E85" s="3117">
        <v>0.1</v>
      </c>
      <c r="F85" s="3117">
        <v>15</v>
      </c>
    </row>
    <row r="86" spans="1:6" ht="13.5">
      <c r="A86" s="3117">
        <v>14</v>
      </c>
      <c r="B86" s="3757"/>
      <c r="C86" s="3091" t="s">
        <v>2680</v>
      </c>
      <c r="D86" s="3091" t="s">
        <v>2681</v>
      </c>
      <c r="E86" s="3117">
        <v>0.1</v>
      </c>
      <c r="F86" s="3117">
        <v>15</v>
      </c>
    </row>
    <row r="87" spans="1:6" ht="13.5">
      <c r="A87" s="3117">
        <v>15</v>
      </c>
      <c r="B87" s="3757"/>
      <c r="C87" s="3091" t="s">
        <v>2682</v>
      </c>
      <c r="D87" s="3091" t="s">
        <v>2683</v>
      </c>
      <c r="E87" s="3117">
        <v>0.1</v>
      </c>
      <c r="F87" s="3117">
        <v>15</v>
      </c>
    </row>
    <row r="88" spans="1:6" ht="24">
      <c r="A88" s="3117">
        <v>16</v>
      </c>
      <c r="B88" s="3757"/>
      <c r="C88" s="3091" t="s">
        <v>2684</v>
      </c>
      <c r="D88" s="3091" t="s">
        <v>2685</v>
      </c>
      <c r="E88" s="3117">
        <v>0.1</v>
      </c>
      <c r="F88" s="3117">
        <v>15</v>
      </c>
    </row>
    <row r="89" spans="1:6" ht="24">
      <c r="A89" s="3117">
        <v>17</v>
      </c>
      <c r="B89" s="3766"/>
      <c r="C89" s="3091" t="s">
        <v>2686</v>
      </c>
      <c r="D89" s="3091" t="s">
        <v>2687</v>
      </c>
      <c r="E89" s="3117">
        <v>0.1</v>
      </c>
      <c r="F89" s="3117">
        <v>15</v>
      </c>
    </row>
    <row r="90" spans="1:6" ht="13.5">
      <c r="A90" s="3117">
        <v>18</v>
      </c>
      <c r="B90" s="3762" t="s">
        <v>2688</v>
      </c>
      <c r="C90" s="3091" t="s">
        <v>2689</v>
      </c>
      <c r="D90" s="3091" t="s">
        <v>2690</v>
      </c>
      <c r="E90" s="3117">
        <v>0.2</v>
      </c>
      <c r="F90" s="3117">
        <v>25</v>
      </c>
    </row>
    <row r="91" spans="1:6" ht="24">
      <c r="A91" s="3117">
        <v>19</v>
      </c>
      <c r="B91" s="3757"/>
      <c r="C91" s="3091" t="s">
        <v>2691</v>
      </c>
      <c r="D91" s="3091" t="s">
        <v>2692</v>
      </c>
      <c r="E91" s="3117">
        <v>0.2</v>
      </c>
      <c r="F91" s="3117">
        <v>25</v>
      </c>
    </row>
    <row r="92" spans="1:6" ht="13.5">
      <c r="A92" s="3117">
        <v>20</v>
      </c>
      <c r="B92" s="3757"/>
      <c r="C92" s="3091" t="s">
        <v>2693</v>
      </c>
      <c r="D92" s="3091" t="s">
        <v>2694</v>
      </c>
      <c r="E92" s="3117">
        <v>0.15</v>
      </c>
      <c r="F92" s="3117">
        <v>20</v>
      </c>
    </row>
    <row r="93" spans="1:6" ht="13.5">
      <c r="A93" s="3117">
        <v>21</v>
      </c>
      <c r="B93" s="3757"/>
      <c r="C93" s="3091" t="s">
        <v>2695</v>
      </c>
      <c r="D93" s="3091" t="s">
        <v>2696</v>
      </c>
      <c r="E93" s="3117">
        <v>0.15</v>
      </c>
      <c r="F93" s="3117">
        <v>20</v>
      </c>
    </row>
    <row r="94" spans="1:6" ht="13.5">
      <c r="A94" s="3117">
        <v>22</v>
      </c>
      <c r="B94" s="3757"/>
      <c r="C94" s="3091" t="s">
        <v>2697</v>
      </c>
      <c r="D94" s="3091" t="s">
        <v>2698</v>
      </c>
      <c r="E94" s="3117">
        <v>0.15</v>
      </c>
      <c r="F94" s="3117">
        <v>20</v>
      </c>
    </row>
    <row r="95" spans="1:6" ht="36">
      <c r="A95" s="3117">
        <v>23</v>
      </c>
      <c r="B95" s="3757"/>
      <c r="C95" s="3091" t="s">
        <v>2699</v>
      </c>
      <c r="D95" s="3091" t="s">
        <v>2700</v>
      </c>
      <c r="E95" s="3117">
        <v>0.15</v>
      </c>
      <c r="F95" s="3117">
        <v>20</v>
      </c>
    </row>
    <row r="96" spans="1:6" ht="13.5">
      <c r="A96" s="3117">
        <v>24</v>
      </c>
      <c r="B96" s="3757"/>
      <c r="C96" s="3091" t="s">
        <v>2701</v>
      </c>
      <c r="D96" s="3091" t="s">
        <v>2702</v>
      </c>
      <c r="E96" s="3117">
        <v>0.1</v>
      </c>
      <c r="F96" s="3117">
        <v>15</v>
      </c>
    </row>
    <row r="97" spans="1:6" ht="13.5">
      <c r="A97" s="3117">
        <v>25</v>
      </c>
      <c r="B97" s="3757"/>
      <c r="C97" s="3091" t="s">
        <v>2703</v>
      </c>
      <c r="D97" s="3091" t="s">
        <v>2704</v>
      </c>
      <c r="E97" s="3117">
        <v>0.1</v>
      </c>
      <c r="F97" s="3117">
        <v>15</v>
      </c>
    </row>
    <row r="98" spans="1:6" ht="24">
      <c r="A98" s="3117">
        <v>26</v>
      </c>
      <c r="B98" s="3757"/>
      <c r="C98" s="3091" t="s">
        <v>2705</v>
      </c>
      <c r="D98" s="3091" t="s">
        <v>2706</v>
      </c>
      <c r="E98" s="3117">
        <v>0.1</v>
      </c>
      <c r="F98" s="3117">
        <v>15</v>
      </c>
    </row>
    <row r="99" spans="1:6" ht="24">
      <c r="A99" s="3117">
        <v>27</v>
      </c>
      <c r="B99" s="3757"/>
      <c r="C99" s="3091" t="s">
        <v>2707</v>
      </c>
      <c r="D99" s="3091" t="s">
        <v>2708</v>
      </c>
      <c r="E99" s="3117">
        <v>0.1</v>
      </c>
      <c r="F99" s="3117">
        <v>15</v>
      </c>
    </row>
    <row r="100" spans="1:6" ht="13.5">
      <c r="A100" s="3117">
        <v>28</v>
      </c>
      <c r="B100" s="3757"/>
      <c r="C100" s="3091" t="s">
        <v>2709</v>
      </c>
      <c r="D100" s="3091" t="s">
        <v>2710</v>
      </c>
      <c r="E100" s="3117">
        <v>0.1</v>
      </c>
      <c r="F100" s="3117">
        <v>15</v>
      </c>
    </row>
    <row r="101" spans="1:6" ht="13.5">
      <c r="A101" s="3117">
        <v>29</v>
      </c>
      <c r="B101" s="3757"/>
      <c r="C101" s="3091" t="s">
        <v>2711</v>
      </c>
      <c r="D101" s="3091" t="s">
        <v>2712</v>
      </c>
      <c r="E101" s="3117">
        <v>0.1</v>
      </c>
      <c r="F101" s="3117">
        <v>15</v>
      </c>
    </row>
    <row r="102" spans="1:6" ht="13.5">
      <c r="A102" s="3117">
        <v>30</v>
      </c>
      <c r="B102" s="3757"/>
      <c r="C102" s="3091" t="s">
        <v>2713</v>
      </c>
      <c r="D102" s="3091" t="s">
        <v>2714</v>
      </c>
      <c r="E102" s="3117">
        <v>0.1</v>
      </c>
      <c r="F102" s="3117">
        <v>15</v>
      </c>
    </row>
    <row r="103" spans="1:6" ht="24">
      <c r="A103" s="3117">
        <v>31</v>
      </c>
      <c r="B103" s="3757"/>
      <c r="C103" s="3091" t="s">
        <v>2715</v>
      </c>
      <c r="D103" s="3091" t="s">
        <v>2716</v>
      </c>
      <c r="E103" s="3117">
        <v>0.1</v>
      </c>
      <c r="F103" s="3117">
        <v>15</v>
      </c>
    </row>
    <row r="104" spans="1:6" ht="24">
      <c r="A104" s="3117">
        <v>32</v>
      </c>
      <c r="B104" s="3757"/>
      <c r="C104" s="3091" t="s">
        <v>2717</v>
      </c>
      <c r="D104" s="3091" t="s">
        <v>2718</v>
      </c>
      <c r="E104" s="3117">
        <v>0.1</v>
      </c>
      <c r="F104" s="3117">
        <v>15</v>
      </c>
    </row>
    <row r="105" spans="1:6" ht="24">
      <c r="A105" s="3117">
        <v>33</v>
      </c>
      <c r="B105" s="3757"/>
      <c r="C105" s="3091" t="s">
        <v>2719</v>
      </c>
      <c r="D105" s="3091" t="s">
        <v>2720</v>
      </c>
      <c r="E105" s="3117">
        <v>0.1</v>
      </c>
      <c r="F105" s="3117">
        <v>15</v>
      </c>
    </row>
    <row r="106" spans="1:6" ht="24">
      <c r="A106" s="3117">
        <v>34</v>
      </c>
      <c r="B106" s="3766"/>
      <c r="C106" s="3091" t="s">
        <v>2721</v>
      </c>
      <c r="D106" s="3091" t="s">
        <v>2722</v>
      </c>
      <c r="E106" s="3117">
        <v>0.1</v>
      </c>
      <c r="F106" s="3117">
        <v>15</v>
      </c>
    </row>
    <row r="107" spans="1:6" ht="24">
      <c r="A107" s="3117">
        <v>35</v>
      </c>
      <c r="B107" s="3762" t="s">
        <v>2723</v>
      </c>
      <c r="C107" s="3117" t="s">
        <v>2724</v>
      </c>
      <c r="D107" s="3091" t="s">
        <v>2725</v>
      </c>
      <c r="E107" s="3117">
        <v>0.15</v>
      </c>
      <c r="F107" s="3117">
        <v>20</v>
      </c>
    </row>
    <row r="108" spans="1:6" ht="13.5">
      <c r="A108" s="3117">
        <v>36</v>
      </c>
      <c r="B108" s="3757"/>
      <c r="C108" s="3117" t="s">
        <v>2726</v>
      </c>
      <c r="D108" s="3091" t="s">
        <v>2727</v>
      </c>
      <c r="E108" s="3117">
        <v>0.15</v>
      </c>
      <c r="F108" s="3117">
        <v>20</v>
      </c>
    </row>
    <row r="109" spans="1:6" ht="13.5">
      <c r="A109" s="3117">
        <v>37</v>
      </c>
      <c r="B109" s="3757"/>
      <c r="C109" s="3117" t="s">
        <v>2728</v>
      </c>
      <c r="D109" s="3091" t="s">
        <v>2729</v>
      </c>
      <c r="E109" s="3117">
        <v>0.15</v>
      </c>
      <c r="F109" s="3117">
        <v>20</v>
      </c>
    </row>
    <row r="110" spans="1:6" ht="13.5">
      <c r="A110" s="3117">
        <v>38</v>
      </c>
      <c r="B110" s="3757"/>
      <c r="C110" s="3117" t="s">
        <v>2730</v>
      </c>
      <c r="D110" s="3091" t="s">
        <v>2731</v>
      </c>
      <c r="E110" s="3117">
        <v>0.1</v>
      </c>
      <c r="F110" s="3117">
        <v>15</v>
      </c>
    </row>
    <row r="111" spans="1:6" ht="24">
      <c r="A111" s="3117">
        <v>39</v>
      </c>
      <c r="B111" s="3757"/>
      <c r="C111" s="3117" t="s">
        <v>2732</v>
      </c>
      <c r="D111" s="3091" t="s">
        <v>2733</v>
      </c>
      <c r="E111" s="3117">
        <v>0.1</v>
      </c>
      <c r="F111" s="3117">
        <v>15</v>
      </c>
    </row>
    <row r="112" spans="1:6" ht="24">
      <c r="A112" s="3117">
        <v>40</v>
      </c>
      <c r="B112" s="3766"/>
      <c r="C112" s="3117" t="s">
        <v>2734</v>
      </c>
      <c r="D112" s="3091" t="s">
        <v>2735</v>
      </c>
      <c r="E112" s="3117">
        <v>0.1</v>
      </c>
      <c r="F112" s="3117">
        <v>15</v>
      </c>
    </row>
    <row r="113" spans="1:6" ht="13.5">
      <c r="A113" s="3117">
        <v>41</v>
      </c>
      <c r="B113" s="3767" t="s">
        <v>2736</v>
      </c>
      <c r="C113" s="3117" t="s">
        <v>2737</v>
      </c>
      <c r="D113" s="3091" t="s">
        <v>2738</v>
      </c>
      <c r="E113" s="3117">
        <v>0.1</v>
      </c>
      <c r="F113" s="3117">
        <v>15</v>
      </c>
    </row>
    <row r="114" spans="1:6" ht="13.5">
      <c r="A114" s="3117">
        <v>42</v>
      </c>
      <c r="B114" s="3767"/>
      <c r="C114" s="3117" t="s">
        <v>2739</v>
      </c>
      <c r="D114" s="3091" t="s">
        <v>2740</v>
      </c>
      <c r="E114" s="3117">
        <v>0.1</v>
      </c>
      <c r="F114" s="3117">
        <v>15</v>
      </c>
    </row>
    <row r="115" spans="1:6" ht="24">
      <c r="A115" s="3117">
        <v>43</v>
      </c>
      <c r="B115" s="3767"/>
      <c r="C115" s="3117" t="s">
        <v>2741</v>
      </c>
      <c r="D115" s="3091" t="s">
        <v>2742</v>
      </c>
      <c r="E115" s="3117">
        <v>0.1</v>
      </c>
      <c r="F115" s="3117">
        <v>15</v>
      </c>
    </row>
    <row r="116" spans="1:6" ht="13.5">
      <c r="A116" s="3117">
        <v>44</v>
      </c>
      <c r="B116" s="3762" t="s">
        <v>2743</v>
      </c>
      <c r="C116" s="3117" t="s">
        <v>2744</v>
      </c>
      <c r="D116" s="3091" t="s">
        <v>2745</v>
      </c>
      <c r="E116" s="3117">
        <v>0.1</v>
      </c>
      <c r="F116" s="3117">
        <v>15</v>
      </c>
    </row>
    <row r="117" spans="1:6" ht="24">
      <c r="A117" s="3117">
        <v>45</v>
      </c>
      <c r="B117" s="3766"/>
      <c r="C117" s="3091" t="s">
        <v>2746</v>
      </c>
      <c r="D117" s="3091" t="s">
        <v>2747</v>
      </c>
      <c r="E117" s="3117">
        <v>0.1</v>
      </c>
      <c r="F117" s="3117">
        <v>15</v>
      </c>
    </row>
    <row r="118" spans="1:6" ht="24">
      <c r="A118" s="3117">
        <v>46</v>
      </c>
      <c r="B118" s="3762" t="s">
        <v>2748</v>
      </c>
      <c r="C118" s="3117" t="s">
        <v>2749</v>
      </c>
      <c r="D118" s="3091" t="s">
        <v>2750</v>
      </c>
      <c r="E118" s="3117">
        <v>0.1</v>
      </c>
      <c r="F118" s="3117">
        <v>15</v>
      </c>
    </row>
    <row r="119" spans="1:6" ht="24">
      <c r="A119" s="3117">
        <v>47</v>
      </c>
      <c r="B119" s="3766"/>
      <c r="C119" s="3117" t="s">
        <v>2751</v>
      </c>
      <c r="D119" s="3091" t="s">
        <v>2752</v>
      </c>
      <c r="E119" s="3117">
        <v>0.1</v>
      </c>
      <c r="F119" s="3117">
        <v>15</v>
      </c>
    </row>
    <row r="120" spans="1:6" ht="13.5">
      <c r="A120" s="3117">
        <v>48</v>
      </c>
      <c r="B120" s="3762" t="s">
        <v>2753</v>
      </c>
      <c r="C120" s="3117" t="s">
        <v>2754</v>
      </c>
      <c r="D120" s="3091" t="s">
        <v>2755</v>
      </c>
      <c r="E120" s="3117">
        <v>0.1</v>
      </c>
      <c r="F120" s="3117">
        <v>15</v>
      </c>
    </row>
    <row r="121" spans="1:6" ht="13.5">
      <c r="A121" s="3117">
        <v>49</v>
      </c>
      <c r="B121" s="3766"/>
      <c r="C121" s="3117" t="s">
        <v>2756</v>
      </c>
      <c r="D121" s="3091" t="s">
        <v>2757</v>
      </c>
      <c r="E121" s="3117">
        <v>0.1</v>
      </c>
      <c r="F121" s="3117">
        <v>15</v>
      </c>
    </row>
    <row r="122" spans="1:6" ht="24">
      <c r="A122" s="3117">
        <v>50</v>
      </c>
      <c r="B122" s="3767" t="s">
        <v>2758</v>
      </c>
      <c r="C122" s="3117" t="s">
        <v>2759</v>
      </c>
      <c r="D122" s="3091" t="s">
        <v>2760</v>
      </c>
      <c r="E122" s="3117">
        <v>0.1</v>
      </c>
      <c r="F122" s="3117">
        <v>15</v>
      </c>
    </row>
    <row r="123" spans="1:6" ht="24">
      <c r="A123" s="3117">
        <v>51</v>
      </c>
      <c r="B123" s="3767"/>
      <c r="C123" s="3117" t="s">
        <v>2761</v>
      </c>
      <c r="D123" s="3091" t="s">
        <v>2762</v>
      </c>
      <c r="E123" s="3117">
        <v>0.1</v>
      </c>
      <c r="F123" s="3117">
        <v>15</v>
      </c>
    </row>
    <row r="124" spans="1:6" ht="24">
      <c r="A124" s="3117">
        <v>52</v>
      </c>
      <c r="B124" s="3767" t="s">
        <v>2763</v>
      </c>
      <c r="C124" s="3117" t="s">
        <v>2764</v>
      </c>
      <c r="D124" s="3091" t="s">
        <v>2765</v>
      </c>
      <c r="E124" s="3117">
        <v>0.1</v>
      </c>
      <c r="F124" s="3117">
        <v>15</v>
      </c>
    </row>
    <row r="125" spans="1:6" ht="24">
      <c r="A125" s="3117">
        <v>53</v>
      </c>
      <c r="B125" s="3767"/>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67" t="s">
        <v>2771</v>
      </c>
      <c r="C127" s="3117" t="s">
        <v>2772</v>
      </c>
      <c r="D127" s="3091" t="s">
        <v>2773</v>
      </c>
      <c r="E127" s="3117">
        <v>0.1</v>
      </c>
      <c r="F127" s="3117">
        <v>15</v>
      </c>
    </row>
    <row r="128" spans="1:6" ht="13.5">
      <c r="A128" s="3117">
        <v>56</v>
      </c>
      <c r="B128" s="3767"/>
      <c r="C128" s="3117" t="s">
        <v>2774</v>
      </c>
      <c r="D128" s="3091" t="s">
        <v>2775</v>
      </c>
      <c r="E128" s="3117">
        <v>0.1</v>
      </c>
      <c r="F128" s="3117">
        <v>15</v>
      </c>
    </row>
    <row r="129" spans="1:6" ht="24">
      <c r="A129" s="3117">
        <v>57</v>
      </c>
      <c r="B129" s="3767"/>
      <c r="C129" s="3117" t="s">
        <v>2776</v>
      </c>
      <c r="D129" s="3091" t="s">
        <v>2777</v>
      </c>
      <c r="E129" s="3117">
        <v>0.1</v>
      </c>
      <c r="F129" s="3117">
        <v>15</v>
      </c>
    </row>
    <row r="130" spans="1:6" ht="24">
      <c r="A130" s="3117">
        <v>58</v>
      </c>
      <c r="B130" s="3767" t="s">
        <v>2778</v>
      </c>
      <c r="C130" s="3117" t="s">
        <v>2779</v>
      </c>
      <c r="D130" s="3091" t="s">
        <v>2780</v>
      </c>
      <c r="E130" s="3117">
        <v>0.1</v>
      </c>
      <c r="F130" s="3117">
        <v>15</v>
      </c>
    </row>
    <row r="131" spans="1:6" ht="13.5">
      <c r="A131" s="3117">
        <v>59</v>
      </c>
      <c r="B131" s="3767"/>
      <c r="C131" s="3117" t="s">
        <v>2781</v>
      </c>
      <c r="D131" s="3091" t="s">
        <v>2782</v>
      </c>
      <c r="E131" s="3117">
        <v>0.1</v>
      </c>
      <c r="F131" s="3117">
        <v>15</v>
      </c>
    </row>
    <row r="132" spans="1:6" ht="13.5">
      <c r="A132" s="3117">
        <v>60</v>
      </c>
      <c r="B132" s="3762" t="s">
        <v>2783</v>
      </c>
      <c r="C132" s="3117" t="s">
        <v>2784</v>
      </c>
      <c r="D132" s="3091" t="s">
        <v>2785</v>
      </c>
      <c r="E132" s="3117">
        <v>0.1</v>
      </c>
      <c r="F132" s="3117">
        <v>15</v>
      </c>
    </row>
    <row r="133" spans="1:6" ht="13.5">
      <c r="A133" s="3117">
        <v>61</v>
      </c>
      <c r="B133" s="3766"/>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67" t="s">
        <v>2791</v>
      </c>
      <c r="C135" s="3117" t="s">
        <v>2792</v>
      </c>
      <c r="D135" s="3091" t="s">
        <v>2793</v>
      </c>
      <c r="E135" s="3117">
        <v>0.1</v>
      </c>
      <c r="F135" s="3117">
        <v>15</v>
      </c>
    </row>
    <row r="136" spans="1:6" ht="13.5">
      <c r="A136" s="3117">
        <v>64</v>
      </c>
      <c r="B136" s="3767"/>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28354</v>
      </c>
      <c r="C2" s="2" t="s">
        <v>106</v>
      </c>
      <c r="D2" s="199"/>
      <c r="E2" s="199"/>
      <c r="F2" s="199"/>
      <c r="G2" s="199"/>
    </row>
    <row r="3" spans="1:7" s="200" customFormat="1" ht="18" customHeight="1" thickBot="1">
      <c r="A3" s="203" t="s">
        <v>58</v>
      </c>
      <c r="B3" s="204">
        <f ca="1">ROUND(B2*10000/'数据-汇总表'!E3,0)</f>
        <v>810786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7</v>
      </c>
      <c r="D10" s="844">
        <f>'数据-汇总表'!E6</f>
        <v>349.71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7</v>
      </c>
      <c r="D19" s="848">
        <f>'数据-汇总表'!E3</f>
        <v>349.71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3575</v>
      </c>
      <c r="D27" s="235">
        <f>C29</f>
        <v>3.3999999999999998E-3</v>
      </c>
      <c r="E27" s="236" t="s">
        <v>99</v>
      </c>
      <c r="F27" s="246">
        <f>'数据-取费表'!Q16</f>
        <v>0.17</v>
      </c>
      <c r="G27" s="247" t="s">
        <v>431</v>
      </c>
    </row>
    <row r="28" spans="1:7" s="214" customFormat="1" ht="13.5" customHeight="1">
      <c r="A28" s="779" t="s">
        <v>349</v>
      </c>
      <c r="B28" s="248" t="s">
        <v>424</v>
      </c>
      <c r="C28" s="249">
        <f>ROUND((C5+C19+C20)*F27*'数据-取费表'!B21/'数据-取费表'!B20,0)</f>
        <v>3575</v>
      </c>
      <c r="D28" s="235"/>
      <c r="E28" s="236"/>
      <c r="F28" s="246"/>
      <c r="G28" s="247"/>
    </row>
    <row r="29" spans="1:7" s="214" customFormat="1" ht="13.5" customHeight="1">
      <c r="A29" s="779" t="s">
        <v>347</v>
      </c>
      <c r="B29" s="248" t="s">
        <v>425</v>
      </c>
      <c r="C29" s="238">
        <f>ROUND(C21*F27*'数据-取费表'!B21/'数据-取费表'!B20,4)</f>
        <v>3.3999999999999998E-3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28224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112</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7</v>
      </c>
      <c r="D37" s="217">
        <f>'数据-汇总表'!E3</f>
        <v>349.71</v>
      </c>
      <c r="E37" s="249">
        <f>'数据-取费表'!B35</f>
        <v>200</v>
      </c>
      <c r="F37" s="259"/>
      <c r="G37" s="261" t="s">
        <v>92</v>
      </c>
    </row>
    <row r="38" spans="1:7" ht="13.5" customHeight="1">
      <c r="A38" s="779" t="s">
        <v>354</v>
      </c>
      <c r="B38" s="215" t="s">
        <v>36</v>
      </c>
      <c r="C38" s="220">
        <f>ROUND(C34*F38,0)</f>
        <v>2</v>
      </c>
      <c r="D38" s="220"/>
      <c r="E38" s="220"/>
      <c r="F38" s="259">
        <f>'数据-取费表'!B36</f>
        <v>1.4999999999999999E-2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32" t="s">
        <v>94</v>
      </c>
    </row>
    <row r="43" spans="1:7" ht="13.5" customHeight="1">
      <c r="A43" s="779" t="s">
        <v>347</v>
      </c>
      <c r="B43" s="215" t="s">
        <v>426</v>
      </c>
      <c r="C43" s="238">
        <f ca="1">ROUND(IF('数据-取费表'!B22&lt;=1,C39*F22*'数据-取费表'!B21/2,C39*(POWER((1+F22),'数据-取费表'!B21/2)-1)),0)</f>
        <v>0</v>
      </c>
      <c r="D43" s="238"/>
      <c r="E43" s="238"/>
      <c r="F43" s="239"/>
      <c r="G43" s="3633"/>
    </row>
    <row r="44" spans="1:7" ht="13.5" customHeight="1">
      <c r="A44" s="779"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6" t="s">
        <v>341</v>
      </c>
      <c r="B45" s="244" t="s">
        <v>85</v>
      </c>
      <c r="C45" s="245">
        <f>C46</f>
        <v>21</v>
      </c>
      <c r="D45" s="235">
        <f>C47</f>
        <v>3.3999999999999998E-3</v>
      </c>
      <c r="E45" s="236" t="s">
        <v>102</v>
      </c>
      <c r="F45" s="246"/>
      <c r="G45" s="247" t="s">
        <v>434</v>
      </c>
    </row>
    <row r="46" spans="1:7" s="214" customFormat="1" ht="13.5" customHeight="1">
      <c r="A46" s="779" t="s">
        <v>349</v>
      </c>
      <c r="B46" s="248" t="s">
        <v>427</v>
      </c>
      <c r="C46" s="249">
        <f>ROUND((C33+C39)*F27,0)</f>
        <v>21</v>
      </c>
      <c r="D46" s="263"/>
      <c r="E46" s="236"/>
      <c r="F46" s="246"/>
      <c r="G46" s="247"/>
    </row>
    <row r="47" spans="1:7" s="214" customFormat="1" ht="13.5" customHeight="1">
      <c r="A47" s="779" t="s">
        <v>347</v>
      </c>
      <c r="B47" s="248" t="s">
        <v>429</v>
      </c>
      <c r="C47" s="238">
        <f>ROUND(C40*F27,4)</f>
        <v>3.3999999999999998E-3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164</v>
      </c>
      <c r="D49" s="232"/>
      <c r="E49" s="232"/>
      <c r="F49" s="264"/>
      <c r="G49" s="234" t="s">
        <v>435</v>
      </c>
    </row>
    <row r="50" spans="1:7" s="258" customFormat="1" ht="24">
      <c r="A50" s="776" t="s">
        <v>344</v>
      </c>
      <c r="B50" s="210" t="s">
        <v>97</v>
      </c>
      <c r="C50" s="232"/>
      <c r="D50" s="232"/>
      <c r="E50" s="232"/>
      <c r="F50" s="264">
        <f>IF('数据-取费表'!B24=0,'数据-取费表'!N16,1)</f>
        <v>0.79</v>
      </c>
      <c r="G50" s="247" t="s">
        <v>98</v>
      </c>
    </row>
    <row r="51" spans="1:7" ht="16.5" customHeight="1">
      <c r="A51" s="776" t="s">
        <v>345</v>
      </c>
      <c r="B51" s="210" t="s">
        <v>105</v>
      </c>
      <c r="C51" s="232">
        <f ca="1">ROUND(C49*F50,0)</f>
        <v>130</v>
      </c>
      <c r="D51" s="232"/>
      <c r="E51" s="232"/>
      <c r="F51" s="264"/>
      <c r="G51" s="234" t="s">
        <v>37</v>
      </c>
    </row>
    <row r="52" spans="1:7" s="208" customFormat="1" ht="16.5" thickBot="1">
      <c r="A52" s="265" t="s">
        <v>38</v>
      </c>
      <c r="B52" s="266"/>
      <c r="C52" s="267">
        <f ca="1">C31+C51</f>
        <v>28354</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907</v>
      </c>
      <c r="B1" s="1490"/>
      <c r="C1" s="1490"/>
      <c r="D1" s="1490"/>
      <c r="E1" s="1490"/>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2"/>
      <c r="B4" s="3453" t="s">
        <v>916</v>
      </c>
      <c r="C4" s="3453"/>
      <c r="D4" s="3453"/>
      <c r="E4" s="1492"/>
    </row>
    <row r="5" spans="1:5" ht="16.5" thickTop="1">
      <c r="A5" s="1490"/>
      <c r="B5" s="3451" t="s">
        <v>908</v>
      </c>
      <c r="C5" s="1493" t="s">
        <v>909</v>
      </c>
      <c r="D5" s="849">
        <f ca="1">结果表!H101</f>
        <v>629</v>
      </c>
      <c r="E5" s="1490"/>
    </row>
    <row r="6" spans="1:5" ht="15.75">
      <c r="A6" s="1490"/>
      <c r="B6" s="3451"/>
      <c r="C6" s="1493" t="s">
        <v>910</v>
      </c>
      <c r="D6" s="849" t="str">
        <f ca="1">NUMBERSTRING(INT(D5*10000),2)&amp;"元整"</f>
        <v>陆佰贰拾玖万元整</v>
      </c>
      <c r="E6" s="1490"/>
    </row>
    <row r="7" spans="1:5" ht="15.75">
      <c r="A7" s="1490"/>
      <c r="B7" s="3456"/>
      <c r="C7" s="1494" t="s">
        <v>911</v>
      </c>
      <c r="D7" s="850">
        <f ca="1">结果表!H102</f>
        <v>17994</v>
      </c>
      <c r="E7" s="1490"/>
    </row>
    <row r="8" spans="1:5" ht="15.75">
      <c r="A8" s="1490"/>
      <c r="B8" s="3457" t="str">
        <f>结果表!E103</f>
        <v>2.估价师知悉的法定优先受偿款</v>
      </c>
      <c r="C8" s="1495" t="s">
        <v>912</v>
      </c>
      <c r="D8" s="850">
        <f>结果表!H103</f>
        <v>0</v>
      </c>
      <c r="E8" s="1490"/>
    </row>
    <row r="9" spans="1:5" ht="15.75">
      <c r="A9" s="1490"/>
      <c r="B9" s="3459"/>
      <c r="C9" s="1493" t="s">
        <v>910</v>
      </c>
      <c r="D9" s="849" t="str">
        <f>NUMBERSTRING(INT(D8*10000),2)&amp;"元整"</f>
        <v>零元整</v>
      </c>
      <c r="E9" s="1490"/>
    </row>
    <row r="10" spans="1:5" ht="15">
      <c r="A10" s="1490"/>
      <c r="B10" s="1496" t="s">
        <v>915</v>
      </c>
      <c r="C10" s="1497" t="s">
        <v>913</v>
      </c>
      <c r="D10" s="851">
        <f>结果表!H104</f>
        <v>0</v>
      </c>
      <c r="E10" s="1490"/>
    </row>
    <row r="11" spans="1:5" ht="15">
      <c r="A11" s="1490"/>
      <c r="B11" s="1496" t="s">
        <v>917</v>
      </c>
      <c r="C11" s="1497" t="s">
        <v>918</v>
      </c>
      <c r="D11" s="851">
        <f>结果表!H105</f>
        <v>0</v>
      </c>
      <c r="E11" s="1490"/>
    </row>
    <row r="12" spans="1:5" ht="15">
      <c r="A12" s="1490"/>
      <c r="B12" s="1496" t="s">
        <v>919</v>
      </c>
      <c r="C12" s="1497" t="s">
        <v>918</v>
      </c>
      <c r="D12" s="851">
        <f>结果表!H106</f>
        <v>0</v>
      </c>
      <c r="E12" s="1490"/>
    </row>
    <row r="13" spans="1:5" ht="15.75">
      <c r="A13" s="1490"/>
      <c r="B13" s="3450" t="str">
        <f>结果表!E107</f>
        <v>3.房地产抵押价值</v>
      </c>
      <c r="C13" s="1498" t="s">
        <v>909</v>
      </c>
      <c r="D13" s="852">
        <f ca="1">结果表!H107</f>
        <v>629</v>
      </c>
      <c r="E13" s="1490"/>
    </row>
    <row r="14" spans="1:5" ht="15.75">
      <c r="A14" s="1490"/>
      <c r="B14" s="3451"/>
      <c r="C14" s="1493" t="s">
        <v>910</v>
      </c>
      <c r="D14" s="849" t="str">
        <f ca="1">NUMBERSTRING(INT(D13*10000),2)&amp;"元整"</f>
        <v>陆佰贰拾玖万元整</v>
      </c>
      <c r="E14" s="1490"/>
    </row>
    <row r="15" spans="1:5" ht="15">
      <c r="A15" s="1490"/>
      <c r="B15" s="3456"/>
      <c r="C15" s="1494" t="s">
        <v>920</v>
      </c>
      <c r="D15" s="858">
        <f ca="1">结果表!H108</f>
        <v>17994</v>
      </c>
      <c r="E15" s="1490"/>
    </row>
    <row r="16" spans="1:5" ht="15">
      <c r="A16" s="1490"/>
      <c r="B16" s="3457" t="str">
        <f>结果表!E109</f>
        <v>——</v>
      </c>
      <c r="C16" s="1498" t="s">
        <v>921</v>
      </c>
      <c r="D16" s="1499" t="str">
        <f>结果表!H109</f>
        <v>——</v>
      </c>
      <c r="E16" s="1490"/>
    </row>
    <row r="17" spans="1:5" ht="15.75">
      <c r="A17" s="1490"/>
      <c r="B17" s="3458"/>
      <c r="C17" s="1493" t="s">
        <v>922</v>
      </c>
      <c r="D17" s="849" t="e">
        <f>NUMBERSTRING(INT(D16*10000),2)&amp;"元整"</f>
        <v>#VALUE!</v>
      </c>
      <c r="E17" s="1490"/>
    </row>
    <row r="18" spans="1:5" ht="15">
      <c r="A18" s="1490"/>
      <c r="B18" s="3459"/>
      <c r="C18" s="1494" t="s">
        <v>911</v>
      </c>
      <c r="D18" s="858" t="str">
        <f>结果表!H110</f>
        <v>——</v>
      </c>
      <c r="E18" s="1490"/>
    </row>
    <row r="19" spans="1:5" ht="15.75">
      <c r="A19" s="1490"/>
      <c r="B19" s="3450" t="str">
        <f>结果表!E111</f>
        <v>——</v>
      </c>
      <c r="C19" s="1498" t="s">
        <v>909</v>
      </c>
      <c r="D19" s="850" t="str">
        <f>结果表!H111</f>
        <v>——</v>
      </c>
      <c r="E19" s="1490"/>
    </row>
    <row r="20" spans="1:5" ht="15.75">
      <c r="A20" s="1490"/>
      <c r="B20" s="3451"/>
      <c r="C20" s="1493" t="s">
        <v>922</v>
      </c>
      <c r="D20" s="849" t="e">
        <f>NUMBERSTRING(INT(D19*10000),2)&amp;"元整"</f>
        <v>#VALUE!</v>
      </c>
      <c r="E20" s="1490"/>
    </row>
    <row r="21" spans="1:5" ht="15.75" thickBot="1">
      <c r="A21" s="1490"/>
      <c r="B21" s="3452"/>
      <c r="C21" s="1500" t="s">
        <v>920</v>
      </c>
      <c r="D21" s="859" t="str">
        <f>结果表!H112</f>
        <v>——</v>
      </c>
      <c r="E21" s="1490"/>
    </row>
    <row r="22" spans="1:5" ht="15" thickTop="1">
      <c r="A22" s="1490"/>
      <c r="B22" s="1501" t="s">
        <v>923</v>
      </c>
      <c r="C22" s="1490"/>
      <c r="D22" s="1490"/>
      <c r="E22" s="1490"/>
    </row>
    <row r="23" spans="1:5">
      <c r="A23" s="1490"/>
      <c r="B23" s="1490"/>
      <c r="C23" s="1490"/>
      <c r="D23" s="1490"/>
      <c r="E23" s="1490"/>
    </row>
    <row r="24" spans="1:5" ht="18.75">
      <c r="A24" s="1502"/>
      <c r="B24" s="1503" t="s">
        <v>914</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0" t="s">
        <v>2843</v>
      </c>
      <c r="B1" s="3770"/>
      <c r="C1" s="3770"/>
      <c r="D1" s="3770"/>
      <c r="E1" s="3770"/>
      <c r="F1" s="3770"/>
      <c r="G1" s="3771"/>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68" t="s">
        <v>2870</v>
      </c>
      <c r="B3" s="3229"/>
      <c r="C3" s="3230" t="s">
        <v>2813</v>
      </c>
      <c r="D3" s="3230" t="s">
        <v>2871</v>
      </c>
      <c r="E3" s="3230" t="s">
        <v>2815</v>
      </c>
      <c r="F3" s="3230" t="s">
        <v>2872</v>
      </c>
      <c r="G3" s="3230" t="s">
        <v>2633</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69"/>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2" t="s">
        <v>3185</v>
      </c>
      <c r="B1" s="3772"/>
    </row>
    <row r="2" spans="1:7" ht="14.25" thickBot="1">
      <c r="A2" s="3254"/>
      <c r="B2" s="3254"/>
    </row>
    <row r="3" spans="1:7" ht="14.25" thickBot="1">
      <c r="A3" s="3254"/>
      <c r="B3" s="3254"/>
      <c r="C3" s="3255" t="s">
        <v>2813</v>
      </c>
      <c r="D3" s="3255" t="s">
        <v>2871</v>
      </c>
      <c r="E3" s="3255" t="s">
        <v>2815</v>
      </c>
      <c r="F3" s="3255" t="s">
        <v>2872</v>
      </c>
      <c r="G3" s="3255" t="s">
        <v>2633</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3" t="s">
        <v>3236</v>
      </c>
      <c r="B1" s="3773"/>
      <c r="C1" s="3773"/>
      <c r="D1" s="3773"/>
      <c r="E1" s="3773"/>
      <c r="F1" s="3774"/>
    </row>
    <row r="2" spans="1:6">
      <c r="A2" s="3290" t="s">
        <v>3237</v>
      </c>
      <c r="B2" s="3291"/>
      <c r="C2" s="3291"/>
      <c r="D2" s="3291"/>
      <c r="E2" s="3291"/>
      <c r="F2" s="3291"/>
    </row>
    <row r="3" spans="1:6">
      <c r="A3" s="3290" t="s">
        <v>3238</v>
      </c>
      <c r="B3" s="3291"/>
      <c r="C3" s="3291"/>
      <c r="D3" s="3291"/>
      <c r="E3" s="3291"/>
      <c r="F3" s="3292" t="s">
        <v>3239</v>
      </c>
    </row>
    <row r="4" spans="1:6">
      <c r="A4" s="3293" t="s">
        <v>671</v>
      </c>
      <c r="B4" s="3293" t="s">
        <v>672</v>
      </c>
      <c r="C4" s="3293" t="s">
        <v>21</v>
      </c>
      <c r="D4" s="3293" t="s">
        <v>673</v>
      </c>
      <c r="E4" s="3293" t="s">
        <v>3</v>
      </c>
      <c r="F4" s="3293" t="s">
        <v>3240</v>
      </c>
    </row>
    <row r="5" spans="1:6">
      <c r="A5" s="3294" t="s">
        <v>674</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20">
        <f>基准地价修正!G23</f>
        <v>45171</v>
      </c>
      <c r="B1" s="3209" t="s">
        <v>2842</v>
      </c>
      <c r="C1" s="3210"/>
      <c r="D1" s="3210"/>
      <c r="E1" s="3210"/>
      <c r="F1" s="3210"/>
      <c r="G1" s="3210"/>
      <c r="H1" s="3210"/>
      <c r="I1" s="3210"/>
      <c r="J1" s="3164"/>
      <c r="K1" s="3210" t="s">
        <v>454</v>
      </c>
      <c r="L1" s="3210"/>
      <c r="M1" s="3210"/>
      <c r="N1" s="3210"/>
      <c r="O1" s="3210"/>
      <c r="P1" s="3210"/>
      <c r="Q1" s="3164"/>
      <c r="R1" s="3775" t="s">
        <v>456</v>
      </c>
      <c r="S1" s="3776"/>
      <c r="T1" s="3776"/>
      <c r="U1" s="3776"/>
      <c r="V1" s="3776"/>
      <c r="W1" s="3776"/>
      <c r="X1" s="3164"/>
      <c r="Y1" s="3775" t="s">
        <v>457</v>
      </c>
      <c r="Z1" s="3776"/>
      <c r="AA1" s="3776"/>
      <c r="AB1" s="3776"/>
      <c r="AC1" s="3776"/>
      <c r="AD1" s="3776"/>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2822</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2823</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2824</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2825</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2826</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2827</v>
      </c>
    </row>
    <row r="20" spans="1:30" s="3008" customFormat="1"/>
    <row r="21" spans="1:30" s="3208" customFormat="1" ht="12.75">
      <c r="B21" s="3209" t="s">
        <v>2828</v>
      </c>
      <c r="C21" s="3210"/>
      <c r="D21" s="3210"/>
      <c r="E21" s="3210"/>
      <c r="F21" s="3210"/>
      <c r="G21" s="3210"/>
      <c r="H21" s="3210"/>
      <c r="I21" s="3210"/>
      <c r="J21" s="3164"/>
      <c r="K21" s="3210" t="s">
        <v>2829</v>
      </c>
      <c r="L21" s="3210"/>
      <c r="M21" s="3210"/>
      <c r="N21" s="3210"/>
      <c r="O21" s="3210"/>
      <c r="P21" s="3210"/>
      <c r="Q21" s="3164"/>
      <c r="R21" s="3775" t="s">
        <v>2830</v>
      </c>
      <c r="S21" s="3776"/>
      <c r="T21" s="3776"/>
      <c r="U21" s="3776"/>
      <c r="V21" s="3776"/>
      <c r="W21" s="3776"/>
      <c r="X21" s="3164"/>
      <c r="Y21" s="3775" t="s">
        <v>2831</v>
      </c>
      <c r="Z21" s="3776"/>
      <c r="AA21" s="3776"/>
      <c r="AB21" s="3776"/>
      <c r="AC21" s="3776"/>
      <c r="AD21" s="3776"/>
    </row>
    <row r="22" spans="1:30" s="3142" customFormat="1" ht="14.25" thickBot="1">
      <c r="B22" s="3143"/>
      <c r="C22" s="3144"/>
      <c r="D22" s="3145" t="s">
        <v>2832</v>
      </c>
      <c r="E22" s="3146" t="s">
        <v>2833</v>
      </c>
      <c r="F22" s="3146" t="s">
        <v>2834</v>
      </c>
      <c r="G22" s="3146" t="s">
        <v>2835</v>
      </c>
      <c r="H22" s="3146"/>
      <c r="I22" s="3146" t="s">
        <v>2836</v>
      </c>
      <c r="J22" s="3147"/>
      <c r="K22" s="3145" t="s">
        <v>2832</v>
      </c>
      <c r="L22" s="3146" t="s">
        <v>2833</v>
      </c>
      <c r="M22" s="3146" t="s">
        <v>2834</v>
      </c>
      <c r="N22" s="3146" t="s">
        <v>2835</v>
      </c>
      <c r="O22" s="3146"/>
      <c r="P22" s="3146" t="s">
        <v>2836</v>
      </c>
      <c r="Q22" s="3147"/>
      <c r="R22" s="3145" t="s">
        <v>2832</v>
      </c>
      <c r="S22" s="3146" t="s">
        <v>2833</v>
      </c>
      <c r="T22" s="3146" t="s">
        <v>2834</v>
      </c>
      <c r="U22" s="3146" t="s">
        <v>2835</v>
      </c>
      <c r="V22" s="3146"/>
      <c r="W22" s="3146" t="s">
        <v>2836</v>
      </c>
      <c r="X22" s="3147"/>
      <c r="Y22" s="3145" t="s">
        <v>2832</v>
      </c>
      <c r="Z22" s="3146" t="s">
        <v>2833</v>
      </c>
      <c r="AA22" s="3146" t="s">
        <v>2834</v>
      </c>
      <c r="AB22" s="3146" t="s">
        <v>2835</v>
      </c>
      <c r="AC22" s="3146"/>
      <c r="AD22" s="3146" t="s">
        <v>2836</v>
      </c>
    </row>
    <row r="23" spans="1:30" s="3160" customFormat="1" ht="12.75">
      <c r="A23" s="3148" t="s">
        <v>2837</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2838</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2839</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2840</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2841</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2826</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1" customFormat="1" ht="14.25" thickBot="1">
      <c r="B2" s="2172" t="s">
        <v>458</v>
      </c>
      <c r="C2" s="2172" t="s">
        <v>459</v>
      </c>
      <c r="D2" s="2173" t="s">
        <v>460</v>
      </c>
      <c r="E2" s="2173" t="s">
        <v>461</v>
      </c>
      <c r="F2" s="2172" t="s">
        <v>462</v>
      </c>
      <c r="G2" s="2174"/>
      <c r="I2" s="2172" t="s">
        <v>458</v>
      </c>
      <c r="J2" s="2173" t="s">
        <v>675</v>
      </c>
      <c r="K2" s="2173" t="s">
        <v>308</v>
      </c>
      <c r="L2" s="2172" t="s">
        <v>462</v>
      </c>
      <c r="N2" s="2172" t="s">
        <v>458</v>
      </c>
      <c r="O2" s="2173" t="s">
        <v>675</v>
      </c>
      <c r="P2" s="2173" t="s">
        <v>308</v>
      </c>
      <c r="Q2" s="2172" t="s">
        <v>462</v>
      </c>
      <c r="S2" s="2172" t="s">
        <v>458</v>
      </c>
      <c r="T2" s="2173" t="s">
        <v>675</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78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676</v>
      </c>
      <c r="B27" s="2205">
        <f t="shared" si="232"/>
        <v>419.31181600000002</v>
      </c>
      <c r="C27" s="2205">
        <f t="shared" si="233"/>
        <v>313.95436800000004</v>
      </c>
      <c r="D27" s="2205">
        <f t="shared" si="234"/>
        <v>313.95436800000004</v>
      </c>
      <c r="E27" s="2205">
        <f t="shared" si="235"/>
        <v>596.63028431999999</v>
      </c>
      <c r="F27" s="2205">
        <f t="shared" si="236"/>
        <v>274.74220703999998</v>
      </c>
      <c r="G27" s="378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45171</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2311</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8" sqref="G18"/>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927</v>
      </c>
      <c r="B2" s="3461" t="s">
        <v>928</v>
      </c>
      <c r="C2" s="3461" t="s">
        <v>929</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3" t="s">
        <v>924</v>
      </c>
      <c r="E3" s="853" t="s">
        <v>930</v>
      </c>
      <c r="F3" s="853" t="s">
        <v>924</v>
      </c>
      <c r="G3" s="853" t="s">
        <v>925</v>
      </c>
      <c r="H3" s="853" t="s">
        <v>924</v>
      </c>
      <c r="I3" s="853" t="s">
        <v>925</v>
      </c>
    </row>
    <row r="4" spans="1:9" ht="15">
      <c r="A4" s="1504" t="str">
        <f>项目基本情况!S2</f>
        <v>北京市平谷区平谷镇新开街33号房地产</v>
      </c>
      <c r="B4" s="853">
        <f>项目基本情况!C17</f>
        <v>349.71</v>
      </c>
      <c r="C4" s="853">
        <f>项目基本情况!C18</f>
        <v>0</v>
      </c>
      <c r="D4" s="853">
        <f>结果表!D118</f>
        <v>0</v>
      </c>
      <c r="E4" s="853">
        <f>结果表!E118</f>
        <v>0</v>
      </c>
      <c r="F4" s="853">
        <f>结果表!F118</f>
        <v>0</v>
      </c>
      <c r="G4" s="853">
        <f>结果表!G118</f>
        <v>0</v>
      </c>
      <c r="H4" s="853">
        <f ca="1">结果表!H118</f>
        <v>629</v>
      </c>
      <c r="I4" s="853">
        <f ca="1">结果表!I118</f>
        <v>17994</v>
      </c>
    </row>
    <row r="5" spans="1:9" ht="30" customHeight="1">
      <c r="A5" s="3462" t="s">
        <v>926</v>
      </c>
      <c r="B5" s="3462"/>
      <c r="C5" s="3462"/>
      <c r="D5" s="3462" t="str">
        <f>结果表!D119</f>
        <v>零元整</v>
      </c>
      <c r="E5" s="3462"/>
      <c r="F5" s="3462" t="str">
        <f>结果表!F119</f>
        <v>零元整</v>
      </c>
      <c r="G5" s="3462"/>
      <c r="H5" s="3462" t="str">
        <f ca="1">结果表!H119</f>
        <v>陆佰贰拾玖万元整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926</v>
      </c>
      <c r="B7" s="3462"/>
      <c r="C7" s="3462"/>
      <c r="D7" s="3464" t="str">
        <f>结果表!D121</f>
        <v>零元整</v>
      </c>
      <c r="E7" s="3465"/>
      <c r="F7" s="3465"/>
      <c r="G7" s="3465"/>
      <c r="H7" s="3465"/>
      <c r="I7" s="3466"/>
    </row>
    <row r="8" spans="1:9" ht="15.75">
      <c r="A8" s="3463" t="str">
        <f>结果表!A122</f>
        <v>房地产抵押价值</v>
      </c>
      <c r="B8" s="3463"/>
      <c r="C8" s="3463"/>
      <c r="D8" s="3463">
        <f ca="1">结果表!D122</f>
        <v>629</v>
      </c>
      <c r="E8" s="3463"/>
      <c r="F8" s="3463"/>
      <c r="G8" s="3463"/>
      <c r="H8" s="3463"/>
      <c r="I8" s="3463"/>
    </row>
    <row r="9" spans="1:9" ht="15">
      <c r="A9" s="3462" t="s">
        <v>926</v>
      </c>
      <c r="B9" s="3462"/>
      <c r="C9" s="3462"/>
      <c r="D9" s="3462" t="str">
        <f ca="1">结果表!D123</f>
        <v>陆佰贰拾玖万元整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926</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926</v>
      </c>
      <c r="B13" s="3467"/>
      <c r="C13" s="3467"/>
      <c r="D13" s="3467" t="e">
        <f>结果表!D127</f>
        <v>#VALUE!</v>
      </c>
      <c r="E13" s="3467"/>
      <c r="F13" s="3467"/>
      <c r="G13" s="3467"/>
      <c r="H13" s="3467"/>
      <c r="I13" s="3467"/>
    </row>
    <row r="14" spans="1:9" ht="15" thickTop="1">
      <c r="A14" s="3468" t="s">
        <v>931</v>
      </c>
      <c r="B14" s="3468"/>
      <c r="C14" s="3468"/>
      <c r="D14" s="3468"/>
      <c r="E14" s="3468"/>
      <c r="F14" s="3468"/>
      <c r="G14" s="3468"/>
      <c r="H14" s="3468"/>
      <c r="I14" s="3468"/>
    </row>
    <row r="16" spans="1:9" ht="18.75">
      <c r="A16" s="1505" t="s">
        <v>914</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69" t="s">
        <v>948</v>
      </c>
      <c r="B1" s="3469"/>
      <c r="C1" s="3469"/>
      <c r="D1" s="3469"/>
    </row>
    <row r="2" spans="1:4" ht="18">
      <c r="A2" s="3470" t="s">
        <v>932</v>
      </c>
      <c r="B2" s="3470"/>
      <c r="C2" s="3470"/>
      <c r="D2" s="3470"/>
    </row>
    <row r="3" spans="1:4" ht="18.75">
      <c r="A3" s="1508" t="s">
        <v>933</v>
      </c>
      <c r="B3" s="1508" t="s">
        <v>934</v>
      </c>
      <c r="C3" s="1508" t="s">
        <v>935</v>
      </c>
      <c r="D3" s="1508" t="s">
        <v>936</v>
      </c>
    </row>
    <row r="4" spans="1:4" ht="56.25" customHeight="1">
      <c r="A4" s="1509">
        <f>项目基本情况!B4</f>
        <v>0</v>
      </c>
      <c r="B4" s="1510">
        <f>项目基本情况!C4</f>
        <v>0</v>
      </c>
      <c r="C4" s="1511"/>
      <c r="D4" s="1512" t="s">
        <v>937</v>
      </c>
    </row>
    <row r="5" spans="1:4" ht="56.25" customHeight="1">
      <c r="A5" s="1509">
        <f>项目基本情况!D4</f>
        <v>0</v>
      </c>
      <c r="B5" s="1510">
        <f>项目基本情况!E4</f>
        <v>0</v>
      </c>
      <c r="C5" s="1513"/>
      <c r="D5" s="1512" t="s">
        <v>937</v>
      </c>
    </row>
    <row r="6" spans="1:4" ht="18">
      <c r="A6" s="3470" t="s">
        <v>938</v>
      </c>
      <c r="B6" s="3470"/>
      <c r="C6" s="3470"/>
      <c r="D6" s="3470"/>
    </row>
    <row r="7" spans="1:4" ht="18.75">
      <c r="A7" s="1508" t="s">
        <v>933</v>
      </c>
      <c r="B7" s="1510" t="s">
        <v>939</v>
      </c>
      <c r="C7" s="1508" t="s">
        <v>935</v>
      </c>
      <c r="D7" s="1508" t="s">
        <v>936</v>
      </c>
    </row>
    <row r="8" spans="1:4" ht="56.25" customHeight="1">
      <c r="A8" s="1514" t="s">
        <v>390</v>
      </c>
      <c r="B8" s="1514" t="s">
        <v>0</v>
      </c>
      <c r="C8" s="1511"/>
      <c r="D8" s="1512" t="s">
        <v>937</v>
      </c>
    </row>
    <row r="9" spans="1:4">
      <c r="A9" s="674"/>
      <c r="B9" s="674"/>
      <c r="C9" s="674"/>
      <c r="D9" s="674"/>
    </row>
    <row r="10" spans="1:4" ht="18.75">
      <c r="A10" s="1515" t="s">
        <v>940</v>
      </c>
      <c r="B10" s="674"/>
      <c r="C10" s="674"/>
      <c r="D10" s="674"/>
    </row>
    <row r="11" spans="1:4" ht="30" customHeight="1">
      <c r="A11" s="3471" t="s">
        <v>941</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942</v>
      </c>
      <c r="B16" s="3475"/>
      <c r="C16" s="3475"/>
      <c r="D16" s="3475"/>
    </row>
    <row r="17" spans="1:4" ht="144" customHeight="1">
      <c r="A17" s="3475" t="s">
        <v>943</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944</v>
      </c>
      <c r="B22" s="3477"/>
      <c r="C22" s="3477"/>
      <c r="D22" s="3477"/>
    </row>
    <row r="23" spans="1:4">
      <c r="A23" s="1516"/>
      <c r="B23" s="1488"/>
      <c r="C23" s="1488"/>
      <c r="D23" s="1488"/>
    </row>
    <row r="24" spans="1:4">
      <c r="A24" s="1516"/>
      <c r="B24" s="1488"/>
      <c r="C24" s="1488"/>
      <c r="D24" s="1488"/>
    </row>
    <row r="25" spans="1:4" ht="18.75">
      <c r="A25" s="1517" t="s">
        <v>945</v>
      </c>
    </row>
    <row r="26" spans="1:4" ht="18">
      <c r="A26" s="1486"/>
    </row>
    <row r="27" spans="1:4" ht="18.75">
      <c r="A27" s="1486" t="s">
        <v>946</v>
      </c>
    </row>
    <row r="30" spans="1:4" ht="18.75">
      <c r="D30" s="1517" t="s">
        <v>947</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949</v>
      </c>
    </row>
    <row r="3" spans="1:7">
      <c r="A3" s="1522" t="s">
        <v>55</v>
      </c>
      <c r="B3" s="1506" t="s">
        <v>950</v>
      </c>
      <c r="G3" s="1523"/>
    </row>
    <row r="4" spans="1:7">
      <c r="G4" s="1523"/>
    </row>
    <row r="5" spans="1:7">
      <c r="A5" s="1525" t="s">
        <v>46</v>
      </c>
      <c r="B5" s="1506" t="s">
        <v>951</v>
      </c>
      <c r="G5" s="1523"/>
    </row>
    <row r="6" spans="1:7">
      <c r="G6" s="1523"/>
    </row>
    <row r="7" spans="1:7">
      <c r="A7" s="1526" t="s">
        <v>108</v>
      </c>
      <c r="B7" s="1506" t="s">
        <v>952</v>
      </c>
      <c r="G7" s="1523"/>
    </row>
    <row r="8" spans="1:7">
      <c r="G8" s="1523"/>
    </row>
    <row r="9" spans="1:7">
      <c r="A9" s="1527" t="s">
        <v>47</v>
      </c>
      <c r="B9" s="1506" t="s">
        <v>953</v>
      </c>
    </row>
    <row r="11" spans="1:7">
      <c r="A11" s="1528" t="s">
        <v>48</v>
      </c>
      <c r="B11" s="1529" t="s">
        <v>45</v>
      </c>
    </row>
    <row r="13" spans="1:7">
      <c r="A13" s="1530" t="s">
        <v>954</v>
      </c>
    </row>
    <row r="15" spans="1:7" ht="13.5">
      <c r="A15" s="3483" t="s">
        <v>955</v>
      </c>
      <c r="B15" s="3478" t="s">
        <v>109</v>
      </c>
      <c r="C15" s="3479"/>
    </row>
    <row r="16" spans="1:7" ht="13.5">
      <c r="A16" s="3484"/>
      <c r="B16" s="3478" t="s">
        <v>42</v>
      </c>
      <c r="C16" s="3479"/>
    </row>
    <row r="17" spans="1:3" ht="13.5">
      <c r="A17" s="3484"/>
      <c r="B17" s="3481" t="s">
        <v>956</v>
      </c>
      <c r="C17" s="1531" t="s">
        <v>955</v>
      </c>
    </row>
    <row r="18" spans="1:3" ht="13.5">
      <c r="A18" s="3484"/>
      <c r="B18" s="3481"/>
      <c r="C18" s="1531" t="s">
        <v>957</v>
      </c>
    </row>
    <row r="19" spans="1:3" ht="13.5">
      <c r="A19" s="3484"/>
      <c r="B19" s="3481"/>
      <c r="C19" s="1531" t="s">
        <v>958</v>
      </c>
    </row>
    <row r="20" spans="1:3" ht="13.5">
      <c r="A20" s="3485"/>
      <c r="B20" s="3480" t="s">
        <v>959</v>
      </c>
      <c r="C20" s="3479"/>
    </row>
    <row r="21" spans="1:3" ht="13.5">
      <c r="A21" s="1532" t="s">
        <v>960</v>
      </c>
      <c r="B21" s="1533"/>
      <c r="C21" s="1534"/>
    </row>
    <row r="22" spans="1:3" ht="13.5">
      <c r="A22" s="3482" t="s">
        <v>961</v>
      </c>
      <c r="B22" s="3480" t="s">
        <v>962</v>
      </c>
      <c r="C22" s="3479"/>
    </row>
    <row r="23" spans="1:3" ht="13.5">
      <c r="A23" s="3482"/>
      <c r="B23" s="3480" t="s">
        <v>963</v>
      </c>
      <c r="C23" s="3479"/>
    </row>
    <row r="24" spans="1:3" ht="13.5">
      <c r="A24" s="3482"/>
      <c r="B24" s="3480" t="s">
        <v>964</v>
      </c>
      <c r="C24" s="3479"/>
    </row>
    <row r="25" spans="1:3" ht="13.5">
      <c r="A25" s="3482"/>
      <c r="B25" s="3481" t="s">
        <v>965</v>
      </c>
      <c r="C25" s="1531" t="s">
        <v>966</v>
      </c>
    </row>
    <row r="26" spans="1:3" ht="13.5">
      <c r="A26" s="3482"/>
      <c r="B26" s="3481"/>
      <c r="C26" s="1531" t="s">
        <v>967</v>
      </c>
    </row>
    <row r="27" spans="1:3" ht="13.5">
      <c r="A27" s="3482"/>
      <c r="B27" s="3481"/>
      <c r="C27" s="1531" t="s">
        <v>968</v>
      </c>
    </row>
    <row r="28" spans="1:3" ht="13.5">
      <c r="A28" s="3482"/>
      <c r="B28" s="3481"/>
      <c r="C28" s="1531" t="s">
        <v>969</v>
      </c>
    </row>
    <row r="29" spans="1:3" ht="13.5">
      <c r="A29" s="3482"/>
      <c r="B29" s="3481"/>
      <c r="C29" s="1531" t="s">
        <v>970</v>
      </c>
    </row>
    <row r="30" spans="1:3" ht="13.5">
      <c r="A30" s="3482"/>
      <c r="B30" s="3481"/>
      <c r="C30" s="1531" t="s">
        <v>971</v>
      </c>
    </row>
    <row r="31" spans="1:3" ht="13.5">
      <c r="A31" s="3482"/>
      <c r="B31" s="3481"/>
      <c r="C31" s="1531" t="s">
        <v>972</v>
      </c>
    </row>
    <row r="32" spans="1:3" ht="13.5">
      <c r="A32" s="3482"/>
      <c r="B32" s="3481"/>
      <c r="C32" s="1531" t="s">
        <v>973</v>
      </c>
    </row>
    <row r="33" spans="1:3" ht="13.5">
      <c r="A33" s="3482"/>
      <c r="B33" s="3481"/>
      <c r="C33" s="1531" t="s">
        <v>974</v>
      </c>
    </row>
    <row r="34" spans="1:3">
      <c r="A34" s="1535" t="s">
        <v>49</v>
      </c>
    </row>
    <row r="37" spans="1:3">
      <c r="A37" s="1535" t="s">
        <v>975</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45174</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f ca="1">IF(C6&lt;B2,"已过期",1120050019)</f>
        <v>1120050019</v>
      </c>
      <c r="C6" s="2344">
        <v>45410</v>
      </c>
      <c r="D6" s="2345" t="str">
        <f t="shared" ca="1" si="0"/>
        <v>王鹏（注册号：1120050019）</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f ca="1">IF(C13&lt;B2,"已过期",1120020033)</f>
        <v>1120020033</v>
      </c>
      <c r="C13" s="2344">
        <v>45375</v>
      </c>
      <c r="D13" s="2345" t="str">
        <f t="shared" ca="1" si="0"/>
        <v>刘敬东（注册号：1120020033）</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6" t="s">
        <v>2158</v>
      </c>
      <c r="B17" s="3486"/>
      <c r="C17" s="3486"/>
      <c r="D17" s="3486"/>
      <c r="E17" s="3486"/>
      <c r="F17" s="3486"/>
      <c r="G17" s="3486"/>
      <c r="H17" s="3486"/>
    </row>
    <row r="18" spans="1:8" ht="24" customHeight="1">
      <c r="A18" s="3487" t="s">
        <v>2159</v>
      </c>
      <c r="B18" s="3487"/>
      <c r="C18" s="3487"/>
      <c r="D18" s="2342"/>
      <c r="E18" s="3488" t="s">
        <v>2160</v>
      </c>
      <c r="F18" s="3487"/>
      <c r="G18" s="3487"/>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2023-09-05T05:16:55Z</dcterms:modified>
</cp:coreProperties>
</file>