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xing&amp;han\Desktop\询价\安徽淮北相山区\"/>
    </mc:Choice>
  </mc:AlternateContent>
  <xr:revisionPtr revIDLastSave="0" documentId="13_ncr:1_{20F41F4B-DD92-4D42-A5A8-ABFB90733332}" xr6:coauthVersionLast="45" xr6:coauthVersionMax="45" xr10:uidLastSave="{00000000-0000-0000-0000-000000000000}"/>
  <bookViews>
    <workbookView xWindow="-110" yWindow="-110" windowWidth="19420" windowHeight="10420"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Sheet2" sheetId="69" r:id="rId34"/>
    <sheet name="不动产比较法-住宅" sheetId="21" r:id="rId35"/>
    <sheet name="Sheet3"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R47" i="21"/>
  <c r="B70" i="21"/>
  <c r="F12" i="21"/>
  <c r="AA12" i="21"/>
  <c r="B72" i="21"/>
  <c r="F13" i="21"/>
  <c r="AA13" i="21"/>
  <c r="B74" i="21"/>
  <c r="F14" i="21"/>
  <c r="AA14" i="21"/>
  <c r="R48" i="21"/>
  <c r="T47" i="21"/>
  <c r="H12" i="21"/>
  <c r="AB12" i="21"/>
  <c r="H13" i="21"/>
  <c r="AB13" i="21"/>
  <c r="H14" i="21"/>
  <c r="AB14" i="21"/>
  <c r="T48" i="21"/>
  <c r="V47" i="21"/>
  <c r="J12" i="21"/>
  <c r="AC12" i="21"/>
  <c r="J13" i="21"/>
  <c r="AC13" i="21"/>
  <c r="J14" i="21"/>
  <c r="AC14" i="21"/>
  <c r="V48" i="21"/>
  <c r="R49" i="21"/>
  <c r="C49" i="21"/>
  <c r="B3" i="21"/>
  <c r="B2" i="21"/>
  <c r="C10" i="12"/>
  <c r="C8" i="12"/>
  <c r="I37" i="21"/>
  <c r="G37" i="21"/>
  <c r="E37" i="21"/>
  <c r="C33" i="21"/>
  <c r="C11" i="21"/>
  <c r="I7" i="21"/>
  <c r="G7" i="21"/>
  <c r="E7" i="21"/>
  <c r="C11" i="4"/>
  <c r="B7" i="4"/>
  <c r="G35" i="9"/>
  <c r="G48" i="39"/>
  <c r="G9" i="39"/>
  <c r="F6" i="15"/>
  <c r="F8" i="15"/>
  <c r="F7" i="15"/>
  <c r="F9" i="15"/>
  <c r="C6" i="15"/>
  <c r="N4" i="65"/>
  <c r="C4" i="65"/>
  <c r="B39" i="1"/>
  <c r="F11" i="15"/>
  <c r="C10" i="15"/>
  <c r="C5" i="15"/>
  <c r="C32" i="15"/>
  <c r="C33" i="15"/>
  <c r="F35" i="15"/>
  <c r="C34" i="15"/>
  <c r="C31" i="15"/>
  <c r="L7" i="1"/>
  <c r="M7" i="1"/>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B2" i="15"/>
  <c r="D10" i="12"/>
  <c r="B3" i="15"/>
  <c r="D8" i="12"/>
  <c r="I48" i="39"/>
  <c r="E48" i="39"/>
  <c r="I40" i="39"/>
  <c r="G40" i="39"/>
  <c r="E40" i="39"/>
  <c r="C40" i="39"/>
  <c r="C13" i="39"/>
  <c r="I9" i="39"/>
  <c r="E9" i="39"/>
  <c r="I7" i="39"/>
  <c r="G7" i="39"/>
  <c r="E7" i="39"/>
  <c r="N7" i="1"/>
  <c r="F20" i="6"/>
  <c r="F19" i="6"/>
  <c r="I13" i="3"/>
  <c r="K13" i="3"/>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W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K20" i="6"/>
  <c r="S7" i="1"/>
  <c r="K19" i="6"/>
  <c r="S6" i="1"/>
  <c r="S8" i="1"/>
  <c r="S9" i="1"/>
  <c r="D16" i="12"/>
  <c r="D19" i="12"/>
  <c r="C19" i="12"/>
  <c r="E6" i="6"/>
  <c r="D22" i="12"/>
  <c r="C22" i="12"/>
  <c r="L38" i="9"/>
  <c r="B14" i="66"/>
  <c r="B1" i="66"/>
  <c r="C45" i="9"/>
  <c r="H14" i="66"/>
  <c r="B7" i="66"/>
  <c r="C7" i="66"/>
  <c r="R9" i="1"/>
  <c r="M20" i="6"/>
  <c r="I20" i="6"/>
  <c r="H20" i="6"/>
  <c r="D20" i="6"/>
  <c r="R20" i="6"/>
  <c r="R7" i="1"/>
  <c r="R8" i="1"/>
  <c r="M19" i="6"/>
  <c r="I19" i="6"/>
  <c r="H19" i="6"/>
  <c r="D19" i="6"/>
  <c r="R19" i="6"/>
  <c r="R6" i="1"/>
  <c r="F9" i="39"/>
  <c r="AA9" i="39"/>
  <c r="G6" i="1"/>
  <c r="G13" i="1"/>
  <c r="G16" i="1"/>
  <c r="F12" i="39"/>
  <c r="AA12" i="39"/>
  <c r="R49" i="39"/>
  <c r="H9" i="39"/>
  <c r="AB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M16" i="1"/>
  <c r="C13" i="43"/>
  <c r="C14" i="43"/>
  <c r="C15" i="43"/>
  <c r="C17" i="43"/>
  <c r="C18" i="43"/>
  <c r="C19" i="43"/>
  <c r="F21" i="43"/>
  <c r="C22" i="43"/>
  <c r="C21" i="43"/>
  <c r="Q16" i="1"/>
  <c r="F24" i="43"/>
  <c r="C25" i="43"/>
  <c r="C24" i="43"/>
  <c r="C23" i="43"/>
  <c r="D21" i="43"/>
  <c r="C26" i="43"/>
  <c r="D24" i="43"/>
  <c r="C28" i="43"/>
  <c r="N16" i="1"/>
  <c r="C29" i="43"/>
  <c r="C30" i="43"/>
  <c r="C32" i="43"/>
  <c r="B2" i="43"/>
  <c r="O7" i="1"/>
  <c r="P7" i="1"/>
  <c r="P16" i="1"/>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G48" i="21"/>
  <c r="U7" i="21"/>
  <c r="V9" i="59"/>
  <c r="D9" i="59"/>
  <c r="D107" i="46"/>
  <c r="M106" i="46"/>
  <c r="M104" i="46"/>
  <c r="M102" i="46"/>
  <c r="H107" i="46"/>
  <c r="M105" i="46"/>
  <c r="C5" i="46"/>
  <c r="H105" i="46"/>
  <c r="H109" i="46"/>
  <c r="D103" i="46"/>
  <c r="D102" i="46"/>
  <c r="H104" i="46"/>
  <c r="H106" i="46"/>
  <c r="F18" i="11"/>
  <c r="C18" i="1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2" i="39"/>
  <c r="G70" i="39"/>
  <c r="F7" i="36"/>
  <c r="S7" i="36"/>
  <c r="C20" i="46"/>
  <c r="M20" i="46"/>
  <c r="C19" i="46"/>
  <c r="R24" i="6"/>
  <c r="D16" i="6"/>
  <c r="D30" i="6"/>
  <c r="R22" i="6"/>
  <c r="R23" i="6"/>
  <c r="R25" i="6"/>
  <c r="D27" i="6"/>
  <c r="M27" i="6"/>
  <c r="D7" i="66"/>
  <c r="D6" i="66"/>
  <c r="D8" i="66"/>
  <c r="R21" i="6"/>
  <c r="A6" i="51"/>
  <c r="B7" i="63"/>
  <c r="A6" i="64"/>
  <c r="A20" i="64"/>
  <c r="A20" i="51"/>
  <c r="B15" i="63"/>
  <c r="N5" i="54"/>
  <c r="B43" i="63"/>
  <c r="T13"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J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43"/>
  <c r="B3" i="12"/>
  <c r="D20" i="9"/>
  <c r="F38" i="44"/>
  <c r="E11" i="67"/>
  <c r="N7" i="65"/>
  <c r="E10" i="67"/>
  <c r="E9" i="67"/>
  <c r="N6" i="65"/>
  <c r="B4" i="43"/>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6" i="44"/>
  <c r="C26" i="44"/>
  <c r="L52" i="44"/>
  <c r="C25" i="44"/>
  <c r="Q69" i="44"/>
  <c r="L58" i="44"/>
  <c r="L61" i="44"/>
  <c r="C59" i="15"/>
  <c r="C65" i="15"/>
  <c r="B3" i="11"/>
  <c r="B5" i="11"/>
  <c r="B4" i="11"/>
  <c r="M38" i="9"/>
  <c r="K27" i="9"/>
  <c r="E42" i="9"/>
  <c r="P5" i="54"/>
  <c r="B46" i="63"/>
  <c r="N68" i="9"/>
  <c r="R5" i="54"/>
  <c r="B48" i="63"/>
  <c r="D14" i="66"/>
  <c r="D63" i="9"/>
  <c r="K26" i="9"/>
  <c r="K25" i="9"/>
  <c r="C28" i="44"/>
  <c r="N38" i="9"/>
  <c r="K28" i="9"/>
  <c r="D42" i="9"/>
  <c r="Q5" i="54"/>
  <c r="B47" i="63"/>
  <c r="J28" i="44"/>
  <c r="J31" i="44"/>
  <c r="J26" i="44"/>
  <c r="J14" i="15"/>
  <c r="C31" i="44"/>
  <c r="J16" i="44"/>
  <c r="Q50" i="15"/>
  <c r="C35" i="44"/>
  <c r="C33" i="44"/>
  <c r="Q51" i="44"/>
  <c r="C15" i="44"/>
  <c r="C38" i="44"/>
  <c r="B5" i="12"/>
  <c r="Q49" i="44"/>
  <c r="Q55" i="44"/>
  <c r="Q67" i="44"/>
  <c r="Q58" i="44"/>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<sst xmlns="http://schemas.openxmlformats.org/spreadsheetml/2006/main" count="7055" uniqueCount="3118">
  <si>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</si>
  <si>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</si>
  <si>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</si>
  <si>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</si>
  <si>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</si>
  <si>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</si>
  <si>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</si>
  <si>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</si>
  <si>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</si>
  <si>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</si>
  <si>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</si>
  <si>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</si>
  <si>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</si>
  <si>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</si>
  <si>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</si>
  <si>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</si>
  <si>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</si>
  <si>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</si>
  <si>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</si>
  <si>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</si>
  <si>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</si>
  <si>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</si>
  <si>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</si>
  <si>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</si>
  <si>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</si>
  <si>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</si>
  <si>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</si>
  <si>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</si>
  <si>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</si>
  <si>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</si>
  <si>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</si>
  <si>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</si>
  <si>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</si>
  <si>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</si>
  <si>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</si>
  <si>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</si>
  <si>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</si>
  <si>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</si>
  <si>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</si>
  <si>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</si>
  <si>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</si>
  <si>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</si>
  <si>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</si>
  <si>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</si>
  <si>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</si>
  <si>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</si>
  <si>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</si>
  <si>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</si>
  <si>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</si>
  <si>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</si>
  <si>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</si>
  <si>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</si>
  <si>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</si>
  <si>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</si>
  <si>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</si>
  <si>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</si>
  <si>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</si>
  <si>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</si>
  <si>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</si>
  <si>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</si>
  <si>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</si>
  <si>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</si>
  <si>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</si>
  <si>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</si>
  <si>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</si>
  <si>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</si>
  <si>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</si>
  <si>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</si>
  <si>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</si>
  <si>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</si>
  <si>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</si>
  <si>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</si>
  <si>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</si>
  <si>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</si>
  <si>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</si>
  <si>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</si>
  <si>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</si>
  <si>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</si>
  <si>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</si>
  <si>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</si>
  <si>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</si>
  <si>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</si>
  <si>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</si>
  <si>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</si>
  <si>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</si>
  <si>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</si>
  <si>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</si>
  <si>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</si>
  <si>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</si>
  <si>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</si>
  <si>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</si>
  <si>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</si>
  <si>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</si>
  <si>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</si>
  <si>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</si>
  <si>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</si>
  <si>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</si>
  <si>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</si>
  <si>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</si>
  <si>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</si>
  <si>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</si>
  <si>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</si>
  <si>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</si>
  <si>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</si>
  <si>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</si>
  <si>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</si>
  <si>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</si>
  <si>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</si>
  <si>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</si>
  <si>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</si>
  <si>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</si>
  <si>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</si>
  <si>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</si>
  <si>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</si>
  <si>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</si>
  <si>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</si>
  <si>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</si>
  <si>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</si>
  <si>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</si>
  <si>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</si>
  <si>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</si>
  <si>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</si>
  <si>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</si>
  <si>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</si>
  <si>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</si>
  <si>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</si>
  <si>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</si>
  <si>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</si>
  <si>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</si>
  <si>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</si>
  <si>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</si>
  <si>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</si>
  <si>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</si>
  <si>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</si>
  <si>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</si>
  <si>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</si>
  <si>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</si>
  <si>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</si>
  <si>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</si>
  <si>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</si>
  <si>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</si>
  <si>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</si>
  <si>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</si>
  <si>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</si>
  <si>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</si>
  <si>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</si>
  <si>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</si>
  <si>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</si>
  <si>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</si>
  <si>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</si>
  <si>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</si>
  <si>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</si>
  <si>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</si>
  <si>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</si>
  <si>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</si>
  <si>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</si>
  <si>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</si>
  <si>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</si>
  <si>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</si>
  <si>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</si>
  <si>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</si>
  <si>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</si>
  <si>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</si>
  <si>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</si>
  <si>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</si>
  <si>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</si>
  <si>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</si>
  <si>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</si>
  <si>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</si>
  <si>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</si>
  <si>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</si>
  <si>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</si>
  <si>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</si>
  <si>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</si>
  <si>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</si>
  <si>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</si>
  <si>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</si>
  <si>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</si>
  <si>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</si>
  <si>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</si>
  <si>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</si>
  <si>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</si>
  <si>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</si>
  <si>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</si>
  <si>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</si>
  <si>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</si>
  <si>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</si>
  <si>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</si>
  <si>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</si>
  <si>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</si>
  <si>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</si>
  <si>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</si>
  <si>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</si>
  <si>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</si>
  <si>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</si>
  <si>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</si>
  <si>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</si>
  <si>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</si>
  <si>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</si>
  <si>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</si>
  <si>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</si>
  <si>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</si>
  <si>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</si>
  <si>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</si>
  <si>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</si>
  <si>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</si>
  <si>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</si>
  <si>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</si>
  <si>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</si>
  <si>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</si>
  <si>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</si>
  <si>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</si>
  <si>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</si>
  <si>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</si>
  <si>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</si>
  <si>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</si>
  <si>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</si>
  <si>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</si>
  <si>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</si>
  <si>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</si>
  <si>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</si>
  <si>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</si>
  <si>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</si>
  <si>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</si>
  <si>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</si>
  <si>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</si>
  <si>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</si>
  <si>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</si>
  <si>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</si>
  <si>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</si>
  <si>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</si>
  <si>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</si>
  <si>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</si>
  <si>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</si>
  <si>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</si>
  <si>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</si>
  <si>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</si>
  <si>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</si>
  <si>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</si>
  <si>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</si>
  <si>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</si>
  <si>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</si>
  <si>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</si>
  <si>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</si>
  <si>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</si>
  <si>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</si>
  <si>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</si>
  <si>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</si>
  <si>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</si>
  <si>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</si>
  <si>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</si>
  <si>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</si>
  <si>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</si>
  <si>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</si>
  <si>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</si>
  <si>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</si>
  <si>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</si>
  <si>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</si>
  <si>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</si>
  <si>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</si>
  <si>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</si>
  <si>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</si>
  <si>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</si>
  <si>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</si>
  <si>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</si>
  <si>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</si>
  <si>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</si>
  <si>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</si>
  <si>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</si>
  <si>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</si>
  <si>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</si>
  <si>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</si>
  <si>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</si>
  <si>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</si>
  <si>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</si>
  <si>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</si>
  <si>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</si>
  <si>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</si>
  <si>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</si>
  <si>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</si>
  <si>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</si>
  <si>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</si>
  <si>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</si>
  <si>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</si>
  <si>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</si>
  <si>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</si>
  <si>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</si>
  <si>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</si>
  <si>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</si>
  <si>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</si>
  <si>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</si>
  <si>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</si>
  <si>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</si>
  <si>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</si>
  <si>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</si>
  <si>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</si>
  <si>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</si>
  <si>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</si>
  <si>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</si>
  <si>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</si>
  <si>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</si>
  <si>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</si>
  <si>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</si>
  <si>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</si>
  <si>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</si>
  <si>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</si>
  <si>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</si>
  <si>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</si>
  <si>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</si>
  <si>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</si>
  <si>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</si>
  <si>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</si>
  <si>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</si>
  <si>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</si>
  <si>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</si>
  <si>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</si>
  <si>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</si>
  <si>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</si>
  <si>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</si>
  <si>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</si>
  <si>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</si>
  <si>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</si>
  <si>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</si>
  <si>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</si>
  <si>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</si>
  <si>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</si>
  <si>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</si>
  <si>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</si>
  <si>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</si>
  <si>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</si>
  <si>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</si>
  <si>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</si>
  <si>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</si>
  <si>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</si>
  <si>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</si>
  <si>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</si>
  <si>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</si>
  <si>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</si>
  <si>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</si>
  <si>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</si>
  <si>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</si>
  <si>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</si>
  <si>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</si>
  <si>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</si>
  <si>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</si>
  <si>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</si>
  <si>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</si>
  <si>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</si>
  <si>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</si>
  <si>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</si>
  <si>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</si>
  <si>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</si>
  <si>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</si>
  <si>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</si>
  <si>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</si>
  <si>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</si>
  <si>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</si>
  <si>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</si>
  <si>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</si>
  <si>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</si>
  <si>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</si>
  <si>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</si>
  <si>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</si>
  <si>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</si>
  <si>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</si>
  <si>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</si>
  <si>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</si>
  <si>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</si>
  <si>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</si>
  <si>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</si>
  <si>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</si>
  <si>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</si>
  <si>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</si>
  <si>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</si>
  <si>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</si>
  <si>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</si>
  <si>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</si>
  <si>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</si>
  <si>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</si>
  <si>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</si>
  <si>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</si>
  <si>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</si>
  <si>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</si>
  <si>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</si>
  <si>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</si>
  <si>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</si>
  <si>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</si>
  <si>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</si>
  <si>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</si>
  <si>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</si>
  <si>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</si>
  <si>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</si>
  <si>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</si>
  <si>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</si>
  <si>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</si>
  <si>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</si>
  <si>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</si>
  <si>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</si>
  <si>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</si>
  <si>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</si>
  <si>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</si>
  <si>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</si>
  <si>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</si>
  <si>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</si>
  <si>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</si>
  <si>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</si>
  <si>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</si>
  <si>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</si>
  <si>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</si>
  <si>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</si>
  <si>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</si>
  <si>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</si>
  <si>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</si>
  <si>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</si>
  <si>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</si>
  <si>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</si>
  <si>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</si>
  <si>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</si>
  <si>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</si>
  <si>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</si>
  <si>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</si>
  <si>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</si>
  <si>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</si>
  <si>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</si>
  <si>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</si>
  <si>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</si>
  <si>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</si>
  <si>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</si>
  <si>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</si>
  <si>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</si>
  <si>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</si>
  <si>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</si>
  <si>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</si>
  <si>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</si>
  <si>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</si>
  <si>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</si>
  <si>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</si>
  <si>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</si>
  <si>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</si>
  <si>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</si>
  <si>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</si>
  <si>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</si>
  <si>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</si>
  <si>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</si>
  <si>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</si>
  <si>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</si>
  <si>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</si>
  <si>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</si>
  <si>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</si>
  <si>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</si>
  <si>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</si>
  <si>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</si>
  <si>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</si>
  <si>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</si>
  <si>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</si>
  <si>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</si>
  <si>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</si>
  <si>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</si>
  <si>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</si>
  <si>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</si>
  <si>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</si>
  <si>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</si>
  <si>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</si>
  <si>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</si>
  <si>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</si>
  <si>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</si>
  <si>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</si>
  <si>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</si>
  <si>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</si>
  <si>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</si>
  <si>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</si>
  <si>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</si>
  <si>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</si>
  <si>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</si>
  <si>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</si>
  <si>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</si>
  <si>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</si>
  <si>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</si>
  <si>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</si>
  <si>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</si>
  <si>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</si>
  <si>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</si>
  <si>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</si>
  <si>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</si>
  <si>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</si>
  <si>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</si>
  <si>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</si>
  <si>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</si>
  <si>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</si>
  <si>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</si>
  <si>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</si>
  <si>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</si>
  <si>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</si>
  <si>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</si>
  <si>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</si>
  <si>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</si>
  <si>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</si>
  <si>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</si>
  <si>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</si>
  <si>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</si>
  <si>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</si>
  <si>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</si>
  <si>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</si>
  <si>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</si>
  <si>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</si>
  <si>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</si>
  <si>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</si>
  <si>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</si>
  <si>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</si>
  <si>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</si>
  <si>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</si>
  <si>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</si>
  <si>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</si>
  <si>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</si>
  <si>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</si>
  <si>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</si>
  <si>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</si>
  <si>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</si>
  <si>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</si>
  <si>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</si>
  <si>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</si>
  <si>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</si>
  <si>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</si>
  <si>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</si>
  <si>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</si>
  <si>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</si>
  <si>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</si>
  <si>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</si>
  <si>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</si>
  <si>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</si>
  <si>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</si>
  <si>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</si>
  <si>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</si>
  <si>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</si>
  <si>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</si>
  <si>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</si>
  <si>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</si>
  <si>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</si>
  <si>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</si>
  <si>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</si>
  <si>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</si>
  <si>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</si>
  <si>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</si>
  <si>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</si>
  <si>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</si>
  <si>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</si>
  <si>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</si>
  <si>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</si>
  <si>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</si>
  <si>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</si>
  <si>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</si>
  <si>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</si>
  <si>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</si>
  <si>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</si>
  <si>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</si>
  <si>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</si>
  <si>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</si>
  <si>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</si>
  <si>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</si>
  <si>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</si>
  <si>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</si>
  <si>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</si>
  <si>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</si>
  <si>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</si>
  <si>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</si>
  <si>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</si>
  <si>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</si>
  <si>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</si>
  <si>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</si>
  <si>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</si>
  <si>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</si>
  <si>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</si>
  <si>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</si>
  <si>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</si>
  <si>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</si>
  <si>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</si>
  <si>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</si>
  <si>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</si>
  <si>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</si>
  <si>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</si>
  <si>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</si>
  <si>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</si>
  <si>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</si>
  <si>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</si>
  <si>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</si>
  <si>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</si>
  <si>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</si>
  <si>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</si>
  <si>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</si>
  <si>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</si>
  <si>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</si>
  <si>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</si>
  <si>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</si>
  <si>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</si>
  <si>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</si>
  <si>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</si>
  <si>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</si>
  <si>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</si>
  <si>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</si>
  <si>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</si>
  <si>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</si>
  <si>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</si>
  <si>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</si>
  <si>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</si>
  <si>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</si>
  <si>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</si>
  <si>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</si>
  <si>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</si>
  <si>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</si>
  <si>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</si>
  <si>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</si>
  <si>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</si>
  <si>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</si>
  <si>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</si>
  <si>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</si>
  <si>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</si>
  <si>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</si>
  <si>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</si>
  <si>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</si>
  <si>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</si>
  <si>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</si>
  <si>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</si>
  <si>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</si>
  <si>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</si>
  <si>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</si>
  <si>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</si>
  <si>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</si>
  <si>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</si>
  <si>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</si>
  <si>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</si>
  <si>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</si>
  <si>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</si>
  <si>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</si>
  <si>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</si>
  <si>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</si>
  <si>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</si>
  <si>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</si>
  <si>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</si>
  <si>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</si>
  <si>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</si>
  <si>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</si>
  <si>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</si>
  <si>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</si>
  <si>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</si>
  <si>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</si>
  <si>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</si>
  <si>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</si>
  <si>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</si>
  <si>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</si>
  <si>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</si>
  <si>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</si>
  <si>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</si>
  <si>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</si>
  <si>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</si>
  <si>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</si>
  <si>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</si>
  <si>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</si>
  <si>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</si>
  <si>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</si>
  <si>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</si>
  <si>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</si>
  <si>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</si>
  <si>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</si>
  <si>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</si>
  <si>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</si>
  <si>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</si>
  <si>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</si>
  <si>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</si>
  <si>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</si>
  <si>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</si>
  <si>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</si>
  <si>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</si>
  <si>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</si>
  <si>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</si>
  <si>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</si>
  <si>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</si>
  <si>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</si>
  <si>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</si>
  <si>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</si>
  <si>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</si>
  <si>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</si>
  <si>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</si>
  <si>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</si>
  <si>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</si>
  <si>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</si>
  <si>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</si>
  <si>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</si>
  <si>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</si>
  <si>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</si>
  <si>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</si>
  <si>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</si>
  <si>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</si>
  <si>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</si>
  <si>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</si>
  <si>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</si>
  <si>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</si>
  <si>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</si>
  <si>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</si>
  <si>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</si>
  <si>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</si>
  <si>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</si>
  <si>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</si>
  <si>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</si>
  <si>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</si>
  <si>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</si>
  <si>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</si>
  <si>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</si>
  <si>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</si>
  <si>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</si>
  <si>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</si>
  <si>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</si>
  <si>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</si>
  <si>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</si>
  <si>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</si>
  <si>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</si>
  <si>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</si>
  <si>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</si>
  <si>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</si>
  <si>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</si>
  <si>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</si>
  <si>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</si>
  <si>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</si>
  <si>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</si>
  <si>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</si>
  <si>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</si>
  <si>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</si>
  <si>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</si>
  <si>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</si>
  <si>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</si>
  <si>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</si>
  <si>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</si>
  <si>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</si>
  <si>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</si>
  <si>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</si>
  <si>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</si>
  <si>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</si>
  <si>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</si>
  <si>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</si>
  <si>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</si>
  <si>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</si>
  <si>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</si>
  <si>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</si>
  <si>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</si>
  <si>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</si>
  <si>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</si>
  <si>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</si>
  <si>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</si>
  <si>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</si>
  <si>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</si>
  <si>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</si>
  <si>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</si>
  <si>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</si>
  <si>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</si>
  <si>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</si>
  <si>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</si>
  <si>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</si>
  <si>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</si>
  <si>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</si>
  <si>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</si>
  <si>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</si>
  <si>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</si>
  <si>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</si>
  <si>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</si>
  <si>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</si>
  <si>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</si>
  <si>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</si>
  <si>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</si>
  <si>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</si>
  <si>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</si>
  <si>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</si>
  <si>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</si>
  <si>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</si>
  <si>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</si>
  <si>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</si>
  <si>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</si>
  <si>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</si>
  <si>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</si>
  <si>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</si>
  <si>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</si>
  <si>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</si>
  <si>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</si>
  <si>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</si>
  <si>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</si>
  <si>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</si>
  <si>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</si>
  <si>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</si>
  <si>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</si>
  <si>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</si>
  <si>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</si>
  <si>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</si>
  <si>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</si>
  <si>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</si>
  <si>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</si>
  <si>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</si>
  <si>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</si>
  <si>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</si>
  <si>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</si>
  <si>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</si>
  <si>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</si>
  <si>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</si>
  <si>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</si>
  <si>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</si>
  <si>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</si>
  <si>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</si>
  <si>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</si>
  <si>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</si>
  <si>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</si>
  <si>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</si>
  <si>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</si>
  <si>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</si>
  <si>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</si>
  <si>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</si>
  <si>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</si>
  <si>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</si>
  <si>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</si>
  <si>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</si>
  <si>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</si>
  <si>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</si>
  <si>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</si>
  <si>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</si>
  <si>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</si>
  <si>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</si>
  <si>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</si>
  <si>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</si>
  <si>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</si>
  <si>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</si>
  <si>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</si>
  <si>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</si>
  <si>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</si>
  <si>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</si>
  <si>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</si>
  <si>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</si>
  <si>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</si>
  <si>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</si>
  <si>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</si>
  <si>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</si>
  <si>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</si>
  <si>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</si>
  <si>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</si>
  <si>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</si>
  <si>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</si>
  <si>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</si>
  <si>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</si>
  <si>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</si>
  <si>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</si>
  <si>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</si>
  <si>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</si>
  <si>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</si>
  <si>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</si>
  <si>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</si>
  <si>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</si>
  <si>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</si>
  <si>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</si>
  <si>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</si>
  <si>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</si>
  <si>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</si>
  <si>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</si>
  <si>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</si>
  <si>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</si>
  <si>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</si>
  <si>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</si>
  <si>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</si>
  <si>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</si>
  <si>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</si>
  <si>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</si>
  <si>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</si>
  <si>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</si>
  <si>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</si>
  <si>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</si>
  <si>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</si>
  <si>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</si>
  <si>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</si>
  <si>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</si>
  <si>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</si>
  <si>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</si>
  <si>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</si>
  <si>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</si>
  <si>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</si>
  <si>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</si>
  <si>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</si>
  <si>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</si>
  <si>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</si>
  <si>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</si>
  <si>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</si>
  <si>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</si>
  <si>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</si>
  <si>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</si>
  <si>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</si>
  <si>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</si>
  <si>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</si>
  <si>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</si>
  <si>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</si>
  <si>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</si>
  <si>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</si>
  <si>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</si>
  <si>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</si>
  <si>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</si>
  <si>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</si>
  <si>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</si>
  <si>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</si>
  <si>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</si>
  <si>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</si>
  <si>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</si>
  <si>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</si>
  <si>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</si>
  <si>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</si>
  <si>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</si>
  <si>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</si>
  <si>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</si>
  <si>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</si>
  <si>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</si>
  <si>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</si>
  <si>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</si>
  <si>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</si>
  <si>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</si>
  <si>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</si>
  <si>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</si>
  <si>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</si>
  <si>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</si>
  <si>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</si>
  <si>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</si>
  <si>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</si>
  <si>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</si>
  <si>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</si>
  <si>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</si>
  <si>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</si>
  <si>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</si>
  <si>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</si>
  <si>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</si>
  <si>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</si>
  <si>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</si>
  <si>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</si>
  <si>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</si>
  <si>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</si>
  <si>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</si>
  <si>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</si>
  <si>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</si>
  <si>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</si>
  <si>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</si>
  <si>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</si>
  <si>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</si>
  <si>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</si>
  <si>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</si>
  <si>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</si>
  <si>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</si>
  <si>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</si>
  <si>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</si>
  <si>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</si>
  <si>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</si>
  <si>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</si>
  <si>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</si>
  <si>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</si>
  <si>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</si>
  <si>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</si>
  <si>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</si>
  <si>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</si>
  <si>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</si>
  <si>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</si>
  <si>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</si>
  <si>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</si>
  <si>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</si>
  <si>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</si>
  <si>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</si>
  <si>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</si>
  <si>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</si>
  <si>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</si>
  <si>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</si>
  <si>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</si>
  <si>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</si>
  <si>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</si>
  <si>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</si>
  <si>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</si>
  <si>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</si>
  <si>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</si>
  <si>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</si>
  <si>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</si>
  <si>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</si>
  <si>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</si>
  <si>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</si>
  <si>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</si>
  <si>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</si>
  <si>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</si>
  <si>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</si>
  <si>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</si>
  <si>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</si>
  <si>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</si>
  <si>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</si>
  <si>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</si>
  <si>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</si>
  <si>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</si>
  <si>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</si>
  <si>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</si>
  <si>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</si>
  <si>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</si>
  <si>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</si>
  <si>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</si>
  <si>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</si>
  <si>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</si>
  <si>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</si>
  <si>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</si>
  <si>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</si>
  <si>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</si>
  <si>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</si>
  <si>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</si>
  <si>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</si>
  <si>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</si>
  <si>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</si>
  <si>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</si>
  <si>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</si>
  <si>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</si>
  <si>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</si>
  <si>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</si>
  <si>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</si>
  <si>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</si>
  <si>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</si>
  <si>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</si>
  <si>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</si>
  <si>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</si>
  <si>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</si>
  <si>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</si>
  <si>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</si>
  <si>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</si>
  <si>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</si>
  <si>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</si>
  <si>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</si>
  <si>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</si>
  <si>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</si>
  <si>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</si>
  <si>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</si>
  <si>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</si>
  <si>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</si>
  <si>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</si>
  <si>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</si>
  <si>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</si>
  <si>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</si>
  <si>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</si>
  <si>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</si>
  <si>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</si>
  <si>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</si>
  <si>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</si>
  <si>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</si>
  <si>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</si>
  <si>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</si>
  <si>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</si>
  <si>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</si>
  <si>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</si>
  <si>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</si>
  <si>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</si>
  <si>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</si>
  <si>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</si>
  <si>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</si>
  <si>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</si>
  <si>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</si>
  <si>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</si>
  <si>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</si>
  <si>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</si>
  <si>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</si>
  <si>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</si>
  <si>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</si>
  <si>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</si>
  <si>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</si>
  <si>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</si>
  <si>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</si>
  <si>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</si>
  <si>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</si>
  <si>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</si>
  <si>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</si>
  <si>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</si>
  <si>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</si>
  <si>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</si>
  <si>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</si>
  <si>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</si>
  <si>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</si>
  <si>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</si>
  <si>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</si>
  <si>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</si>
  <si>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</si>
  <si>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</si>
  <si>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</si>
  <si>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</si>
  <si>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</si>
  <si>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</si>
  <si>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</si>
  <si>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</si>
  <si>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</si>
  <si>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</si>
  <si>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</si>
  <si>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</si>
  <si>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</si>
  <si>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</si>
  <si>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</si>
  <si>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</si>
  <si>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</si>
  <si>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</si>
  <si>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</si>
  <si>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</si>
  <si>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</si>
  <si>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</si>
  <si>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</si>
  <si>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</si>
  <si>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</si>
  <si>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</si>
  <si>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</si>
  <si>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</si>
  <si>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</si>
  <si>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</si>
  <si>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</si>
  <si>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</si>
  <si>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</si>
  <si>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</si>
  <si>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</si>
  <si>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</si>
  <si>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</si>
  <si>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</si>
  <si>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</si>
  <si>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</si>
  <si>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</si>
  <si>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</si>
  <si>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</si>
  <si>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</si>
  <si>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</si>
  <si>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</si>
  <si>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</si>
  <si>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</si>
  <si>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</si>
  <si>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</si>
  <si>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</si>
  <si>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</si>
  <si>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</si>
  <si>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</si>
  <si>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</si>
  <si>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</si>
  <si>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</si>
  <si>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</si>
  <si>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</si>
  <si>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</si>
  <si>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</si>
  <si>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</si>
  <si>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</si>
  <si>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</si>
  <si>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</si>
  <si>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</si>
  <si>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</si>
  <si>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</si>
  <si>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</si>
  <si>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</si>
  <si>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</si>
  <si>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</si>
  <si>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</si>
  <si>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</si>
  <si>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</si>
  <si>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</si>
  <si>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</si>
  <si>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</si>
  <si>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</si>
  <si>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</si>
  <si>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</si>
  <si>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</si>
  <si>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</si>
  <si>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</si>
  <si>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</si>
  <si>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</si>
  <si>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</si>
  <si>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</si>
  <si>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</si>
  <si>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</si>
  <si>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</si>
  <si>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</si>
  <si>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</si>
  <si>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</si>
  <si>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</si>
  <si>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</si>
  <si>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</si>
  <si>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</si>
  <si>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</si>
  <si>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</si>
  <si>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</si>
  <si>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</si>
  <si>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</si>
  <si>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</si>
  <si>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</si>
  <si>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</si>
  <si>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</si>
  <si>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</si>
  <si>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</si>
  <si>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</si>
  <si>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</si>
  <si>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</si>
  <si>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</si>
  <si>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</si>
  <si>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</si>
  <si>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</si>
  <si>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</si>
  <si>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</si>
  <si>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</si>
  <si>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</si>
  <si>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</si>
  <si>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</si>
  <si>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</si>
  <si>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</si>
  <si>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</si>
  <si>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</si>
  <si>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</si>
  <si>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</si>
  <si>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</si>
  <si>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</si>
  <si>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</si>
  <si>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</si>
  <si>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</si>
  <si>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</si>
  <si>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</si>
  <si>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</si>
  <si>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</si>
  <si>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</si>
  <si>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</si>
  <si>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</si>
  <si>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</si>
  <si>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</si>
  <si>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</si>
  <si>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</si>
  <si>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</si>
  <si>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</si>
  <si>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</si>
  <si>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</si>
  <si>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</si>
  <si>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</si>
  <si>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</si>
  <si>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</si>
  <si>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</si>
  <si>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</si>
  <si>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</si>
  <si>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</si>
  <si>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</si>
  <si>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</si>
  <si>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</si>
  <si>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</si>
  <si>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</si>
  <si>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</si>
  <si>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</si>
  <si>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</si>
  <si>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</si>
  <si>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</si>
  <si>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</si>
  <si>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</si>
  <si>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</si>
  <si>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</si>
  <si>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</si>
  <si>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</si>
  <si>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</si>
  <si>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</si>
  <si>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</si>
  <si>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</si>
  <si>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</si>
  <si>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</si>
  <si>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</si>
  <si>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</si>
  <si>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</si>
  <si>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</si>
  <si>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</si>
  <si>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</si>
  <si>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</si>
  <si>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</si>
  <si>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</si>
  <si>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</si>
  <si>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</si>
  <si>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</si>
  <si>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</si>
  <si>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</si>
  <si>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</si>
  <si>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</si>
  <si>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</si>
  <si>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</si>
  <si>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</si>
  <si>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</si>
  <si>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</si>
  <si>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</si>
  <si>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</si>
  <si>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</si>
  <si>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</si>
  <si>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</si>
  <si>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</si>
  <si>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</si>
  <si>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</si>
  <si>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</si>
  <si>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</si>
  <si>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</si>
  <si>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</si>
  <si>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</si>
  <si>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</si>
  <si>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</si>
  <si>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</si>
  <si>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</si>
  <si>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</si>
  <si>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</si>
  <si>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</si>
  <si>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</si>
  <si>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</si>
  <si>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</si>
  <si>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</si>
  <si>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</si>
  <si>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</si>
  <si>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</si>
  <si>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</si>
  <si>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</si>
  <si>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</si>
  <si>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</si>
  <si>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</si>
  <si>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</si>
  <si>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</si>
  <si>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</si>
  <si>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</si>
  <si>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</si>
  <si>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</si>
  <si>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</si>
  <si>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</si>
  <si>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</si>
  <si>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</si>
  <si>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</si>
  <si>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</si>
  <si>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</si>
  <si>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</si>
  <si>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</si>
  <si>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</si>
  <si>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</si>
  <si>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</si>
  <si>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</si>
  <si>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</si>
  <si>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</si>
  <si>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</si>
  <si>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</si>
  <si>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</si>
  <si>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</si>
  <si>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</si>
  <si>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</si>
  <si>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</si>
  <si>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</si>
  <si>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</si>
  <si>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</si>
  <si>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</si>
  <si>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</si>
  <si>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</si>
  <si>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</si>
  <si>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</si>
  <si>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</si>
  <si>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</si>
  <si>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</si>
  <si>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</si>
  <si>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</si>
  <si>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</si>
  <si>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</si>
  <si>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</si>
  <si>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</si>
  <si>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</si>
  <si>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</si>
  <si>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</si>
  <si>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</si>
  <si>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</si>
  <si>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</si>
  <si>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</si>
  <si>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</si>
  <si>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</si>
  <si>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</si>
  <si>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</si>
  <si>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</si>
  <si>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</si>
  <si>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</si>
  <si>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</si>
  <si>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</si>
  <si>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</si>
  <si>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</si>
  <si>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</si>
  <si>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</si>
  <si>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</si>
  <si>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</si>
  <si>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</si>
  <si>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</si>
  <si>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</si>
  <si>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</si>
  <si>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</si>
  <si>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</si>
  <si>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</si>
  <si>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</si>
  <si>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</si>
  <si>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</si>
  <si>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</si>
  <si>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</si>
  <si>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</si>
  <si>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</si>
  <si>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</si>
  <si>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</si>
  <si>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</si>
  <si>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</si>
  <si>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</si>
  <si>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</si>
  <si>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</si>
  <si>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</si>
  <si>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</si>
  <si>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</si>
  <si>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</si>
  <si>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</si>
  <si>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</si>
  <si>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</si>
  <si>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</si>
  <si>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</si>
  <si>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</si>
  <si>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</si>
  <si>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</si>
  <si>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</si>
  <si>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</si>
  <si>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</si>
  <si>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</si>
  <si>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</si>
  <si>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</si>
  <si>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</si>
  <si>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</si>
  <si>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</si>
  <si>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</si>
  <si>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</si>
  <si>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</si>
  <si>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</si>
  <si>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</si>
  <si>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</si>
  <si>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</si>
  <si>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</si>
  <si>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</si>
  <si>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</si>
  <si>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</si>
  <si>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</si>
  <si>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</si>
  <si>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</si>
  <si>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</si>
  <si>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</si>
  <si>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</si>
  <si>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</si>
  <si>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</si>
  <si>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</si>
  <si>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</si>
  <si>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</si>
  <si>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</si>
  <si>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</si>
  <si>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</si>
  <si>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</si>
  <si>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</si>
  <si>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</si>
  <si>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</si>
  <si>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</si>
  <si>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</si>
  <si>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</si>
  <si>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</si>
  <si>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</si>
  <si>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</si>
  <si>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</si>
  <si>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</si>
  <si>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</si>
  <si>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</si>
  <si>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</si>
  <si>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</si>
  <si>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</si>
  <si>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</si>
  <si>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</si>
  <si>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</si>
  <si>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</si>
  <si>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</si>
  <si>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</si>
  <si>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</si>
  <si>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</si>
  <si>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</si>
  <si>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</si>
  <si>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</si>
  <si>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</si>
  <si>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</si>
  <si>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</si>
  <si>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</si>
  <si>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</si>
  <si>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</si>
  <si>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</si>
  <si>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</si>
  <si>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</si>
  <si>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</si>
  <si>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</si>
  <si>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</si>
  <si>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</si>
  <si>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</si>
  <si>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</si>
  <si>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</si>
  <si>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</si>
  <si>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</si>
  <si>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</si>
  <si>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</si>
  <si>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</si>
  <si>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</si>
  <si>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</si>
  <si>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</si>
  <si>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</si>
  <si>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</si>
  <si>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</si>
  <si>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</si>
  <si>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</si>
  <si>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</si>
  <si>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</si>
  <si>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</si>
  <si>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</si>
  <si>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</si>
  <si>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</si>
  <si>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</si>
  <si>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</si>
  <si>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</si>
  <si>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</si>
  <si>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</si>
  <si>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</si>
  <si>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</si>
  <si>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</si>
  <si>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</si>
  <si>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</si>
  <si>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</si>
  <si>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</si>
  <si>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</si>
  <si>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</si>
  <si>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</si>
  <si>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</si>
  <si>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</si>
  <si>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</si>
  <si>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</si>
  <si>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</si>
  <si>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</si>
  <si>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</si>
  <si>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</si>
  <si>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</si>
  <si>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</si>
  <si>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</si>
  <si>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</si>
  <si>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</si>
  <si>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</si>
  <si>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</si>
  <si>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</si>
  <si>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</si>
  <si>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</si>
  <si>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</si>
  <si>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</si>
  <si>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</si>
  <si>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</si>
  <si>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</si>
  <si>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</si>
  <si>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</si>
  <si>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</si>
  <si>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</si>
  <si>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</si>
  <si>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</si>
  <si>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</si>
  <si>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</si>
  <si>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</si>
  <si>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</si>
  <si>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</si>
  <si>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</si>
  <si>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</si>
  <si>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</si>
  <si>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</si>
  <si>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</si>
  <si>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</si>
  <si>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</si>
  <si>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</si>
  <si>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</si>
  <si>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</si>
  <si>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</si>
  <si>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</si>
  <si>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</si>
  <si>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</si>
  <si>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</si>
  <si>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</si>
  <si>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</si>
  <si>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</si>
  <si>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</si>
  <si>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</si>
  <si>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</si>
  <si>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</si>
  <si>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</si>
  <si>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</si>
  <si>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</si>
  <si>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</si>
  <si>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</si>
  <si>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</si>
  <si>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</si>
  <si>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</si>
  <si>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</si>
  <si>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</si>
  <si>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</si>
  <si>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</si>
  <si>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</si>
  <si>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</si>
  <si>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</si>
  <si>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</si>
  <si>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</si>
  <si>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</si>
  <si>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</si>
  <si>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</si>
  <si>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</si>
  <si>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</si>
  <si>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</si>
  <si>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</si>
  <si>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</si>
  <si>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</si>
  <si>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</si>
  <si>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</si>
  <si>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</si>
  <si>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</si>
  <si>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</si>
  <si>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</si>
  <si>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</si>
  <si>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</si>
  <si>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</si>
  <si>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</si>
  <si>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</si>
  <si>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</si>
  <si>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</si>
  <si>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</si>
  <si>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</si>
  <si>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</si>
  <si>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</si>
  <si>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</si>
  <si>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</si>
  <si>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</si>
  <si>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</si>
  <si>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</si>
  <si>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</si>
  <si>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</si>
  <si>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</si>
  <si>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</si>
  <si>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</si>
  <si>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</si>
  <si>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</si>
  <si>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</si>
  <si>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</si>
  <si>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</si>
  <si>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</si>
  <si>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</si>
  <si>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</si>
  <si>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</si>
  <si>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</si>
  <si>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</si>
  <si>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</si>
  <si>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</si>
  <si>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</si>
  <si>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</si>
  <si>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</si>
  <si>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</si>
  <si>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</si>
  <si>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</si>
  <si>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</si>
  <si>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</si>
  <si>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</si>
  <si>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</si>
  <si>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</si>
  <si>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</si>
  <si>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</si>
  <si>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</si>
  <si>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</si>
  <si>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</si>
  <si>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</si>
  <si>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</si>
  <si>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</si>
  <si>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</si>
  <si>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</si>
  <si>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</si>
  <si>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</si>
  <si>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</si>
  <si>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</si>
  <si>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</si>
  <si>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</si>
  <si>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</si>
  <si>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</si>
  <si>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</si>
  <si>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</si>
  <si>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</si>
  <si>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</si>
  <si>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</si>
  <si>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</si>
  <si>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</si>
  <si>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</si>
  <si>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</si>
  <si>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</si>
  <si>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</si>
  <si>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</si>
  <si>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</si>
  <si>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</si>
  <si>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</si>
  <si>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</si>
  <si>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</si>
  <si>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</si>
  <si>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</si>
  <si>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</si>
  <si>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</si>
  <si>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</si>
  <si>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</si>
  <si>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</si>
  <si>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</si>
  <si>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</si>
  <si>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</si>
  <si>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</si>
  <si>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</si>
  <si>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</si>
  <si>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</si>
  <si>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</si>
  <si>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</si>
  <si>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</si>
  <si>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</si>
  <si>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</si>
  <si>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</si>
  <si>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</si>
  <si>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</si>
  <si>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</si>
  <si>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</si>
  <si>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</si>
  <si>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</si>
  <si>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</si>
  <si>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</si>
  <si>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</si>
  <si>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</si>
  <si>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</si>
  <si>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</si>
  <si>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</si>
  <si>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</si>
  <si>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</si>
  <si>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</si>
  <si>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</si>
  <si>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</si>
  <si>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</si>
  <si>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</si>
  <si>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</si>
  <si>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</si>
  <si>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</si>
  <si>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</si>
  <si>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</si>
  <si>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</si>
  <si>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</si>
  <si>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</si>
  <si>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</si>
  <si>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</si>
  <si>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</si>
  <si>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</si>
  <si>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</si>
  <si>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</si>
  <si>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</si>
  <si>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</si>
  <si>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</si>
  <si>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</si>
  <si>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</si>
  <si>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</si>
  <si>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</si>
  <si>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</si>
  <si>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</si>
  <si>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</si>
  <si>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</si>
  <si>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</si>
  <si>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</si>
  <si>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</si>
  <si>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</si>
  <si>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</si>
  <si>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</si>
  <si>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</si>
  <si>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</si>
  <si>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</si>
  <si>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</si>
  <si>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</si>
  <si>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</si>
  <si>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</si>
  <si>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</si>
  <si>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</si>
  <si>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</si>
  <si>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</si>
  <si>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</si>
  <si>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</si>
  <si>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</si>
  <si>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</si>
  <si>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</si>
  <si>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</si>
  <si>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</si>
  <si>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</si>
  <si>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</si>
  <si>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</si>
  <si>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</si>
  <si>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</si>
  <si>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</si>
  <si>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</si>
  <si>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</si>
  <si>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</si>
  <si>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</si>
  <si>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</si>
  <si>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</si>
  <si>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</si>
  <si>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</si>
  <si>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</si>
  <si>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</si>
  <si>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</si>
  <si>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</si>
  <si>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</si>
  <si>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</si>
  <si>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</si>
  <si>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</si>
  <si>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</si>
  <si>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</si>
  <si>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</si>
  <si>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</si>
  <si>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</si>
  <si>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</si>
  <si>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</si>
  <si>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</si>
  <si>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</si>
  <si>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</si>
  <si>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</si>
  <si>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</si>
  <si>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</si>
  <si>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</si>
  <si>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</si>
  <si>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</si>
  <si>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</si>
  <si>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</si>
  <si>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</si>
  <si>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</si>
  <si>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</si>
  <si>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</si>
  <si>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</si>
  <si>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</si>
  <si>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</si>
  <si>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</si>
  <si>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</si>
  <si>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</si>
  <si>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</si>
  <si>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</si>
  <si>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</si>
  <si>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</si>
  <si>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</si>
  <si>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</si>
  <si>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</si>
  <si>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</si>
  <si>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</si>
  <si>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</si>
  <si>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</si>
  <si>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</si>
  <si>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</si>
  <si>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</si>
  <si>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</si>
  <si>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</si>
  <si>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</si>
  <si>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</si>
  <si>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</si>
  <si>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</si>
  <si>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</si>
  <si>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</si>
  <si>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</si>
  <si>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</si>
  <si>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</si>
  <si>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</si>
  <si>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</si>
  <si>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</si>
  <si>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</si>
  <si>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</si>
  <si>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</si>
  <si>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</si>
  <si>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</si>
  <si>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</si>
  <si>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</si>
  <si>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</si>
  <si>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</si>
  <si>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</si>
  <si>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</si>
  <si>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</si>
  <si>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</si>
  <si>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</si>
  <si>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</si>
  <si>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</si>
  <si>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</si>
  <si>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</si>
  <si>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</si>
  <si>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</si>
  <si>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</si>
  <si>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</si>
  <si>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</si>
  <si>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</si>
  <si>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</si>
  <si>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</si>
  <si>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</si>
  <si>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</si>
  <si>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</si>
  <si>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</si>
  <si>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</si>
  <si>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</si>
  <si>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</si>
  <si>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</si>
  <si>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</si>
  <si>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</si>
  <si>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</si>
  <si>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</si>
  <si>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</si>
  <si>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</si>
  <si>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</si>
  <si>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</si>
  <si>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</si>
  <si>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</si>
  <si>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</si>
  <si>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</si>
  <si>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</si>
  <si>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</si>
  <si>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</si>
  <si>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</si>
  <si>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</si>
  <si>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</si>
  <si>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</si>
  <si>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</si>
  <si>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</si>
  <si>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</si>
  <si>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</si>
  <si>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</si>
  <si>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</si>
  <si>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</si>
  <si>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</si>
  <si>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</si>
  <si>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</si>
  <si>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</si>
  <si>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</si>
  <si>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</si>
  <si>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</si>
  <si>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</si>
  <si>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</si>
  <si>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</si>
  <si>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</si>
  <si>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</si>
  <si>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</si>
  <si>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</si>
  <si>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</si>
  <si>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</si>
  <si>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</si>
  <si>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</si>
  <si>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</si>
  <si>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</si>
  <si>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</si>
  <si>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</si>
  <si>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</si>
  <si>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</si>
  <si>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</si>
  <si>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</si>
  <si>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</si>
  <si>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</si>
  <si>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</si>
  <si>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</si>
  <si>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</si>
  <si>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</si>
  <si>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</si>
  <si>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</si>
  <si>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</si>
  <si>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</si>
  <si>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</si>
  <si>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</si>
  <si>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</si>
  <si>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</si>
  <si>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</si>
  <si>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</si>
  <si>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</si>
  <si>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</si>
  <si>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</si>
  <si>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</si>
  <si>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</si>
  <si>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</si>
  <si>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</si>
  <si>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</si>
  <si>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</si>
  <si>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</si>
  <si>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</si>
  <si>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</si>
  <si>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</si>
  <si>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</si>
  <si>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</si>
  <si>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</si>
  <si>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</si>
  <si>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</si>
  <si>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</si>
  <si>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</si>
  <si>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</si>
  <si>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</si>
  <si>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</si>
  <si>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</si>
  <si>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</si>
  <si>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</si>
  <si>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</si>
  <si>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</si>
  <si>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</si>
  <si>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</si>
  <si>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</si>
  <si>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</si>
  <si>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</si>
  <si>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</si>
  <si>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</si>
  <si>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</si>
  <si>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</si>
  <si>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</si>
  <si>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</si>
  <si>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</si>
  <si>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</si>
  <si>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</si>
  <si>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</si>
  <si>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</si>
  <si>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</si>
  <si>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</si>
  <si>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</si>
  <si>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</si>
  <si>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</si>
  <si>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</si>
  <si>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</si>
  <si>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</si>
  <si>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</si>
  <si>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</si>
  <si>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</si>
  <si>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</si>
  <si>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</si>
  <si>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</si>
  <si>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</si>
  <si>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</si>
  <si>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</si>
  <si>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</si>
  <si>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</si>
  <si>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</si>
  <si>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</si>
  <si>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</si>
  <si>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</si>
  <si>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</si>
  <si>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</si>
  <si>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</si>
  <si>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</si>
  <si>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</si>
  <si>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</si>
  <si>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</si>
  <si>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</si>
  <si>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</si>
  <si>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</si>
  <si>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</si>
  <si>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</si>
  <si>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</si>
  <si>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</si>
  <si>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</si>
  <si>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</si>
  <si>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</si>
  <si>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</si>
  <si>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</si>
  <si>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</si>
  <si>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</si>
  <si>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</si>
  <si>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</si>
  <si>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</si>
  <si>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</si>
  <si>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</si>
  <si>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</si>
  <si>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</si>
  <si>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</si>
  <si>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</si>
  <si>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</si>
  <si>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</si>
  <si>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</si>
  <si>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</si>
  <si>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</si>
  <si>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</si>
  <si>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</si>
  <si>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</si>
  <si>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</si>
  <si>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</si>
  <si>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</si>
  <si>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</si>
  <si>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</si>
  <si>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</si>
  <si>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</si>
  <si>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</si>
  <si>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</si>
  <si>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</si>
  <si>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</si>
  <si>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</si>
  <si>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</si>
  <si>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</si>
  <si>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</si>
  <si>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</si>
  <si>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</si>
  <si>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</si>
  <si>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</si>
  <si>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</si>
  <si>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</si>
  <si>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</si>
  <si>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</si>
  <si>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</si>
  <si>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</si>
  <si>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</si>
  <si>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</si>
  <si>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</si>
  <si>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</si>
  <si>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</si>
  <si>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</si>
  <si>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</si>
  <si>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</si>
  <si>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</si>
  <si>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</si>
  <si>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</si>
  <si>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</si>
  <si>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</si>
  <si>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</si>
  <si>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</si>
  <si>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</si>
  <si>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</si>
  <si>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</si>
  <si>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</si>
  <si>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</si>
  <si>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</si>
  <si>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</si>
  <si>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</si>
  <si>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</si>
  <si>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</si>
  <si>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</si>
  <si>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</si>
  <si>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</si>
  <si>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</si>
  <si>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</si>
  <si>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</si>
  <si>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</si>
  <si>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</si>
  <si>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</si>
  <si>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</si>
  <si>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</si>
  <si>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</si>
  <si>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</si>
  <si>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</si>
  <si>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</si>
  <si>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</si>
  <si>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</si>
  <si>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</si>
  <si>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</si>
  <si>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</si>
  <si>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</si>
  <si>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</si>
  <si>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</si>
  <si>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</si>
  <si>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</si>
  <si>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</si>
  <si>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</si>
  <si>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</si>
  <si>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</si>
  <si>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</si>
  <si>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</si>
  <si>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</si>
  <si>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</si>
  <si>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</si>
  <si>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</si>
  <si>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</si>
  <si>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</si>
  <si>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</si>
  <si>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</si>
  <si>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</si>
  <si>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</si>
  <si>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</si>
  <si>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</si>
  <si>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</si>
  <si>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</si>
  <si>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</si>
  <si>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</si>
  <si>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</si>
  <si>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</si>
  <si>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</si>
  <si>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</si>
  <si>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</si>
  <si>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</si>
  <si>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</si>
  <si>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</si>
  <si>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</si>
  <si>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</si>
  <si>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</si>
  <si>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</si>
  <si>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</si>
  <si>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</si>
  <si>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</si>
  <si>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</si>
  <si>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</si>
  <si>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</si>
  <si>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</si>
  <si>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</si>
  <si>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</si>
  <si>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</si>
  <si>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</si>
  <si>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</si>
  <si>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</si>
  <si>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</si>
  <si>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</si>
  <si>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</si>
  <si>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</si>
  <si>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</si>
  <si>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</si>
  <si>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</si>
  <si>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</si>
  <si>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</si>
  <si>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</si>
  <si>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</si>
  <si>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</si>
  <si>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</si>
  <si>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</si>
  <si>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</si>
  <si>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</si>
  <si>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</si>
  <si>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</si>
  <si>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</si>
  <si>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</si>
  <si>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</si>
  <si>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</si>
  <si>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</si>
  <si>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</si>
  <si>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</si>
  <si>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</si>
  <si>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</si>
  <si>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</si>
  <si>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</si>
  <si>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</si>
  <si>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</si>
  <si>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</si>
  <si>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</si>
  <si>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</si>
  <si>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</si>
  <si>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</si>
  <si>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</si>
  <si>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</si>
  <si>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</si>
  <si>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</si>
  <si>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</si>
  <si>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</si>
  <si>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</si>
  <si>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</si>
  <si>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</si>
  <si>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</si>
  <si>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</si>
  <si>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</si>
  <si>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</si>
  <si>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</si>
  <si>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</si>
  <si>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</si>
  <si>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</si>
  <si>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</si>
  <si>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</si>
  <si>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</si>
  <si>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</si>
  <si>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</si>
  <si>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</si>
  <si>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</si>
  <si>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</si>
  <si>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</si>
  <si>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</si>
  <si>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</si>
  <si>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</si>
  <si>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</si>
  <si>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</si>
  <si>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</si>
  <si>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</si>
  <si>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</si>
  <si>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</si>
  <si>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</si>
  <si>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</si>
  <si>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</si>
  <si>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</si>
  <si>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</si>
  <si>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</si>
  <si>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</si>
  <si>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</si>
  <si>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</si>
  <si>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</si>
  <si>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</si>
  <si>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</si>
  <si>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</si>
  <si>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</si>
  <si>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</si>
  <si>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</si>
  <si>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</si>
  <si>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</si>
  <si>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</si>
  <si>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</si>
  <si>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</si>
  <si>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</si>
  <si>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</si>
  <si>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</si>
  <si>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</si>
  <si>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</si>
  <si>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</si>
  <si>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</si>
  <si>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</si>
  <si>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</si>
  <si>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</si>
  <si>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</si>
  <si>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</si>
  <si>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</si>
  <si>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</si>
  <si>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</si>
  <si>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</si>
  <si>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</si>
  <si>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</si>
  <si>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</si>
  <si>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</si>
  <si>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</si>
  <si>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</si>
  <si>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</si>
  <si>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</si>
  <si>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</si>
  <si>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</si>
  <si>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</si>
  <si>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</si>
  <si>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</si>
  <si>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</si>
  <si>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</si>
  <si>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</si>
  <si>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</si>
  <si>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</si>
  <si>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</si>
  <si>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</si>
  <si>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</si>
  <si>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</si>
  <si>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</si>
  <si>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</si>
  <si>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</si>
  <si>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</si>
  <si>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</si>
  <si>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</si>
  <si>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</si>
  <si>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</si>
  <si>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</si>
  <si>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</si>
  <si>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</si>
  <si>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</si>
  <si>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</si>
  <si>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</si>
  <si>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</si>
  <si>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</si>
  <si>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</si>
  <si>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</si>
  <si>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</si>
  <si>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</si>
  <si>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</si>
  <si>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</si>
  <si>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</si>
  <si>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</si>
  <si>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</si>
  <si>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</si>
  <si>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</si>
  <si>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</si>
  <si>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</si>
  <si>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</si>
  <si>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</si>
  <si>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</si>
  <si>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</si>
  <si>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</si>
  <si>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</si>
  <si>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</si>
  <si>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</si>
  <si>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</si>
  <si>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</si>
  <si>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</si>
  <si>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</si>
  <si>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</si>
  <si>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</si>
  <si>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</si>
  <si>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</si>
  <si>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</si>
  <si>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</si>
  <si>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</si>
  <si>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</si>
  <si>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</si>
  <si>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</si>
  <si>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</si>
  <si>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</si>
  <si>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</si>
  <si>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</si>
  <si>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</si>
  <si>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</si>
  <si>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</si>
  <si>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</si>
  <si>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</si>
  <si>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</si>
  <si>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</si>
  <si>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</si>
  <si>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</si>
  <si>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</si>
  <si>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</si>
  <si>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</si>
  <si>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</si>
  <si>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</si>
  <si>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</si>
  <si>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</si>
  <si>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</si>
  <si>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</si>
  <si>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</si>
  <si>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</si>
  <si>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</si>
  <si>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</si>
  <si>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</si>
  <si>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</si>
  <si>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</si>
  <si>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</si>
  <si>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</si>
  <si>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</si>
  <si>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</si>
  <si>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</si>
  <si>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</si>
  <si>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</si>
  <si>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</si>
  <si>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</si>
  <si>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</si>
  <si>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</si>
  <si>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</si>
  <si>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</si>
  <si>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</si>
  <si>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</si>
  <si>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</si>
  <si>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</si>
  <si>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</si>
  <si>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</si>
  <si>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</si>
  <si>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</si>
  <si>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</si>
  <si>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</si>
  <si>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</si>
  <si>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</si>
  <si>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</si>
  <si>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</si>
  <si>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</si>
  <si>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</si>
  <si>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</si>
  <si>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</si>
  <si>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</si>
  <si>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</si>
  <si>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</si>
  <si>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</si>
  <si>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</si>
  <si>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</si>
  <si>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</si>
  <si>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</si>
  <si>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</si>
  <si>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</si>
  <si>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</si>
  <si>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</si>
  <si>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</si>
  <si>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</si>
  <si>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</si>
  <si>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</si>
  <si>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</si>
  <si>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</si>
  <si>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</si>
  <si>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</si>
  <si>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</si>
  <si>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</si>
  <si>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</si>
  <si>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</si>
  <si>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</si>
  <si>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</si>
  <si>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</si>
  <si>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</si>
  <si>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</si>
  <si>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</si>
  <si>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</si>
  <si>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</si>
  <si>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</si>
  <si>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</si>
  <si>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</si>
  <si>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</si>
  <si>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</si>
  <si>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</si>
  <si>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</si>
  <si>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</si>
  <si>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</si>
  <si>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</si>
  <si>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</si>
  <si>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</si>
  <si>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</si>
  <si>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</si>
  <si>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</si>
  <si>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</si>
  <si>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</si>
  <si>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</si>
  <si>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</si>
  <si>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</si>
  <si>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</si>
  <si>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</si>
  <si>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</si>
  <si>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</si>
  <si>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</si>
  <si>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</si>
  <si>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</si>
  <si>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</si>
  <si>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</si>
  <si>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</si>
  <si>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</si>
  <si>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</si>
  <si>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</si>
  <si>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</si>
  <si>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</si>
  <si>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</si>
  <si>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</si>
  <si>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</si>
  <si>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</si>
  <si>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</si>
  <si>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</si>
  <si>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</si>
  <si>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</si>
  <si>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</si>
  <si>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</si>
  <si>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</si>
  <si>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</si>
  <si>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</si>
  <si>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</si>
  <si>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</si>
  <si>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</si>
  <si>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</si>
  <si>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</si>
  <si>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</si>
  <si>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</si>
  <si>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</si>
  <si>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</si>
  <si>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</si>
  <si>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</si>
  <si>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</si>
  <si>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</si>
  <si>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</si>
  <si>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</si>
  <si>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</si>
  <si>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</si>
  <si>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</si>
  <si>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</si>
  <si>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</si>
  <si>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</si>
  <si>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</si>
  <si>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</si>
  <si>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</si>
  <si>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</si>
  <si>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</si>
  <si>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</si>
  <si>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</si>
  <si>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</si>
  <si>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</si>
  <si>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</si>
  <si>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</si>
  <si>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</si>
  <si>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</si>
  <si>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</si>
  <si>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</si>
  <si>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</si>
  <si>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</si>
  <si>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</si>
  <si>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</si>
  <si>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</si>
  <si>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</si>
  <si>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</si>
  <si>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</si>
  <si>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</si>
  <si>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</si>
  <si>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</si>
  <si>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</si>
  <si>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</si>
  <si>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</si>
  <si>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</si>
  <si>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</si>
  <si>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</si>
  <si>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</si>
  <si>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</si>
  <si>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</si>
  <si>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</si>
  <si>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</si>
  <si>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</si>
  <si>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</si>
  <si>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</si>
  <si>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</si>
  <si>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</si>
  <si>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</si>
  <si>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</si>
  <si>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</si>
  <si>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</si>
  <si>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</si>
  <si>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</si>
  <si>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</si>
  <si>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</si>
  <si>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</si>
  <si>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</si>
  <si>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</si>
  <si>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</si>
  <si>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</si>
  <si>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</si>
  <si>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</si>
  <si>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</si>
  <si>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</si>
  <si>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</si>
  <si>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</si>
  <si>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</si>
  <si>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</si>
  <si>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</si>
  <si>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</si>
  <si>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</si>
  <si>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</si>
  <si>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</si>
  <si>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</si>
  <si>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</si>
  <si>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</si>
  <si>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</si>
  <si>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</si>
  <si>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</si>
  <si>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</si>
  <si>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</si>
  <si>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</si>
  <si>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</si>
  <si>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</si>
  <si>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</si>
  <si>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</si>
  <si>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</si>
  <si>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</si>
  <si>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</si>
  <si>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</si>
  <si>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</si>
  <si>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</si>
  <si>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</si>
  <si>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</si>
  <si>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</si>
  <si>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</si>
  <si>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</si>
  <si>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</si>
  <si>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</si>
  <si>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</si>
  <si>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</si>
  <si>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</si>
  <si>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</si>
  <si>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</si>
  <si>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</si>
  <si>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</si>
  <si>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</si>
  <si>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</si>
  <si>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</si>
  <si>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</si>
  <si>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</si>
  <si>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</si>
  <si>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</si>
  <si>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</si>
  <si>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</si>
  <si>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</si>
  <si>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</si>
  <si>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</si>
  <si>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</si>
  <si>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</si>
  <si>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</si>
  <si>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</si>
  <si>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</si>
  <si>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</si>
  <si>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</si>
  <si>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</si>
  <si>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</si>
  <si>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</si>
  <si>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</si>
  <si>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</si>
  <si>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</si>
  <si>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</si>
  <si>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</si>
  <si>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</si>
  <si>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</si>
  <si>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</si>
  <si>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</si>
  <si>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</si>
  <si>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</si>
  <si>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</si>
  <si>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</si>
  <si>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</si>
  <si>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</si>
  <si>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</si>
  <si>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</si>
  <si>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</si>
  <si>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</si>
  <si>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</si>
  <si>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</si>
  <si>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</si>
  <si>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</si>
  <si>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</si>
  <si>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</si>
  <si>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</si>
  <si>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</si>
  <si>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</si>
  <si>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</si>
  <si>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</si>
  <si>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</si>
  <si>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</si>
  <si>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</si>
  <si>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</si>
  <si>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</si>
  <si>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</si>
  <si>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</si>
  <si>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</si>
  <si>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</si>
  <si>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</si>
  <si>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</si>
  <si>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</si>
  <si>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</si>
  <si>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</si>
  <si>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</si>
  <si>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</si>
  <si>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</si>
  <si>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</si>
  <si>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</si>
  <si>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</si>
  <si>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</si>
  <si>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</si>
  <si>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</si>
  <si>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</si>
  <si>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</si>
  <si>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</si>
  <si>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</si>
  <si>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</si>
  <si>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</si>
  <si>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</si>
  <si>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</si>
  <si>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</si>
  <si>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</si>
  <si>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</si>
  <si>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</si>
  <si>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</si>
  <si>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</si>
  <si>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</si>
  <si>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</si>
  <si>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</si>
  <si>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</si>
  <si>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</si>
  <si>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</si>
  <si>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</si>
  <si>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</si>
  <si>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</si>
  <si>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</si>
  <si>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</si>
  <si>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</si>
  <si>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</si>
  <si>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</si>
  <si>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</si>
  <si>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</si>
  <si>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</si>
  <si>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</si>
  <si>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</si>
  <si>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</si>
  <si>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</si>
  <si>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</si>
  <si>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</si>
  <si>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</si>
  <si>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</si>
  <si>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</si>
  <si>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</si>
  <si>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</si>
  <si>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</si>
  <si>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</si>
  <si>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</si>
  <si>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</si>
  <si>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</si>
  <si>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</si>
  <si>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</si>
  <si>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</si>
  <si>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</si>
  <si>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</si>
  <si>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</si>
  <si>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</si>
  <si>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</si>
  <si>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</si>
  <si>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</si>
  <si>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</si>
  <si>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</si>
  <si>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</si>
  <si>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</si>
  <si>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</si>
  <si>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</si>
  <si>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</si>
  <si>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</si>
  <si>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</si>
  <si>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</si>
  <si>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</si>
  <si>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</si>
  <si>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</si>
  <si>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</si>
  <si>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</si>
  <si>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</si>
  <si>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</si>
  <si>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</si>
  <si>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</si>
  <si>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</si>
  <si>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</si>
  <si>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</si>
  <si>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</si>
  <si>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</si>
  <si>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</si>
  <si>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</si>
  <si>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</si>
  <si>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</si>
  <si>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</si>
  <si>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</si>
  <si>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</si>
  <si>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</si>
  <si>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</si>
  <si>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</si>
  <si>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</si>
  <si>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</si>
  <si>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</si>
  <si>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</si>
  <si>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</si>
  <si>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</si>
  <si>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</si>
  <si>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</si>
  <si>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</si>
  <si>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</si>
  <si>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</si>
  <si>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</si>
  <si>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</si>
  <si>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</si>
  <si>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</si>
  <si>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</si>
  <si>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</si>
  <si>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</si>
  <si>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</si>
  <si>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</si>
  <si>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</si>
  <si>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</si>
  <si>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</si>
  <si>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</si>
  <si>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</si>
  <si>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</si>
  <si>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</si>
  <si>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</si>
  <si>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</si>
  <si>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</si>
  <si>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</si>
  <si>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</si>
  <si>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</si>
  <si>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</si>
  <si>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</si>
  <si>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</si>
  <si>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</si>
  <si>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</si>
  <si>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</si>
  <si>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</si>
  <si>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</si>
  <si>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</si>
  <si>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</si>
  <si>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</si>
  <si>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</si>
  <si>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</si>
  <si>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</si>
  <si>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</si>
  <si>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</si>
  <si>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</si>
  <si>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</si>
  <si>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</si>
  <si>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</si>
  <si>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</si>
  <si>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</si>
  <si>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</si>
  <si>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</si>
  <si>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</si>
  <si>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</si>
  <si>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</si>
  <si>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</si>
  <si>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</si>
  <si>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</si>
  <si>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</si>
  <si>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</si>
  <si>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</si>
  <si>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</si>
  <si>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</si>
  <si>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</si>
  <si>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</si>
  <si>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</si>
  <si>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</si>
  <si>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</si>
  <si>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</si>
  <si>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</si>
  <si>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</si>
  <si>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</si>
  <si>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</si>
  <si>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</si>
  <si>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</si>
  <si>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</si>
  <si>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</si>
  <si>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</si>
  <si>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</si>
  <si>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</si>
  <si>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</si>
  <si>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</si>
  <si>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</si>
  <si>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</si>
  <si>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</si>
  <si>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</si>
  <si>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</si>
  <si>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</si>
  <si>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</si>
  <si>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</si>
  <si>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</si>
  <si>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</si>
  <si>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</si>
  <si>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</si>
  <si>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</si>
  <si>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</si>
  <si>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</si>
  <si>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</si>
  <si>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</si>
  <si>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</si>
  <si>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</si>
  <si>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</si>
  <si>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</si>
  <si>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</si>
  <si>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</si>
  <si>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</si>
  <si>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</si>
  <si>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</si>
  <si>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</si>
  <si>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</si>
  <si>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</si>
  <si>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</si>
  <si>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</si>
  <si>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</si>
  <si>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</si>
  <si>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</si>
  <si>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</si>
  <si>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</si>
  <si>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</si>
  <si>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</si>
  <si>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</si>
  <si>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</si>
  <si>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</si>
  <si>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</si>
  <si>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</si>
  <si>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</si>
  <si>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</si>
  <si>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</si>
  <si>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</si>
  <si>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</si>
  <si>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</si>
  <si>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</si>
  <si>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</si>
  <si>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</si>
  <si>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</si>
  <si>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</si>
  <si>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</si>
  <si>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</si>
  <si>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</si>
  <si>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</si>
  <si>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</si>
  <si>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</si>
  <si>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</si>
  <si>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</si>
  <si>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</si>
  <si>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</si>
  <si>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</si>
  <si>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</si>
  <si>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</si>
  <si>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</si>
  <si>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</si>
  <si>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</si>
  <si>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</si>
  <si>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</si>
  <si>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</si>
  <si>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</si>
  <si>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</si>
  <si>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</si>
  <si>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</si>
  <si>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</si>
  <si>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</si>
  <si>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</si>
  <si>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</si>
  <si>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</si>
  <si>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</si>
  <si>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</si>
  <si>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</si>
  <si>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</si>
  <si>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</si>
  <si>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</si>
  <si>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</si>
  <si>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</si>
  <si>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</si>
  <si>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</si>
  <si>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</si>
  <si>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</si>
  <si>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</si>
  <si>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</si>
  <si>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</si>
  <si>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</si>
  <si>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</si>
  <si>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</si>
  <si>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</si>
  <si>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</si>
  <si>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</si>
  <si>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</si>
  <si>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</si>
  <si>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</si>
  <si>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</si>
  <si>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</si>
  <si>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</si>
  <si>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</si>
  <si>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</si>
  <si>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</si>
  <si>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</si>
  <si>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</si>
  <si>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</si>
  <si>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</si>
  <si>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</si>
  <si>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</si>
  <si>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</si>
  <si>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居住项目</t>
  </si>
  <si>
    <t>通路</t>
  </si>
  <si>
    <t>通电</t>
  </si>
  <si>
    <t>通讯</t>
  </si>
  <si>
    <t>通上水</t>
  </si>
  <si>
    <t>通下水</t>
  </si>
  <si>
    <t>燃气</t>
  </si>
  <si>
    <t>地上</t>
  </si>
  <si>
    <t>商业</t>
  </si>
  <si>
    <t>住宅</t>
    <phoneticPr fontId="7" type="noConversion"/>
  </si>
  <si>
    <t>商业</t>
    <phoneticPr fontId="7" type="noConversion"/>
  </si>
  <si>
    <t>比较法-住宅、综合</t>
  </si>
  <si>
    <t>剩余法-待开发</t>
  </si>
  <si>
    <t>项目全部</t>
  </si>
  <si>
    <t>土地</t>
  </si>
  <si>
    <t>地块名称</t>
  </si>
  <si>
    <t>用地性质</t>
  </si>
  <si>
    <t>建设用地面积(㎡)</t>
  </si>
  <si>
    <t>规划建筑面积(㎡)</t>
  </si>
  <si>
    <t>出让方式</t>
  </si>
  <si>
    <t>截止日期</t>
  </si>
  <si>
    <t>起始价(万元)</t>
  </si>
  <si>
    <t>成交价(万元)</t>
  </si>
  <si>
    <t>成交楼面价(元/㎡)</t>
  </si>
  <si>
    <t>溢价率</t>
  </si>
  <si>
    <t>受让单位</t>
  </si>
  <si>
    <t>相山区规划古城东路南、泉山路东</t>
  </si>
  <si>
    <t>住宅用地</t>
  </si>
  <si>
    <t>＞1.0且＜2.3</t>
  </si>
  <si>
    <t>挂牌</t>
  </si>
  <si>
    <t>2019-12-18</t>
  </si>
  <si>
    <t>常州世茂房地产有限公司</t>
  </si>
  <si>
    <t>大于1并且小于2.3</t>
  </si>
  <si>
    <t>招标</t>
  </si>
  <si>
    <t>2019-09-19</t>
  </si>
  <si>
    <t>安徽融翔置地股份有限公司</t>
  </si>
  <si>
    <t>人民路北、符夹铁路线以东</t>
  </si>
  <si>
    <t>＞1且＜2.6</t>
  </si>
  <si>
    <t>拍卖</t>
  </si>
  <si>
    <t>2019-04-10</t>
  </si>
  <si>
    <t>芜湖晋智房地产开发有限公司</t>
  </si>
  <si>
    <t>符夹线铁路南、孟山路东</t>
  </si>
  <si>
    <t>＞1且＜2.9</t>
  </si>
  <si>
    <t>淮北市金泽基业置业集团有限公司</t>
  </si>
  <si>
    <t>鹰山路东、规划跃进路北</t>
  </si>
  <si>
    <t>＞1,＜2.5</t>
  </si>
  <si>
    <t>2019-01-26</t>
  </si>
  <si>
    <t>恒大地产集团合肥有限公司</t>
  </si>
  <si>
    <t>鹰山路西、规划跃进路南</t>
  </si>
  <si>
    <t>综合用地(含住宅)</t>
  </si>
  <si>
    <t>鹰山路东、规划勤学路北</t>
  </si>
  <si>
    <t>规划古城东路南、规划新兴路东</t>
  </si>
  <si>
    <t>＞1,＜2.2</t>
  </si>
  <si>
    <t>2018-12-19</t>
  </si>
  <si>
    <t>淮北市建投房地产开发有限公司</t>
  </si>
  <si>
    <t>南湖路西、跃进河南</t>
  </si>
  <si>
    <t>＞1,＜1.5</t>
  </si>
  <si>
    <t>长山路东、跃进河南</t>
  </si>
  <si>
    <t>安民路西、富兴路北</t>
  </si>
  <si>
    <t>淮北市东兴建设投资有限责任公司</t>
  </si>
  <si>
    <t>桂苑路南、南湖路西</t>
  </si>
  <si>
    <t>2018-11-30</t>
  </si>
  <si>
    <t>淮北市青山房地产开发有限公司</t>
  </si>
  <si>
    <t>杜集区石台镇孙梧路北、子张路西</t>
  </si>
  <si>
    <t>＞1,＜1.6</t>
  </si>
  <si>
    <t>2018-09-21</t>
  </si>
  <si>
    <t>淮北金铭房地产开发有限公司</t>
  </si>
  <si>
    <t>龙山路东、伯瑞特酒店南</t>
  </si>
  <si>
    <t>＞1,＜1.2</t>
  </si>
  <si>
    <t>淮北世茂文化旅游开发有限公司</t>
  </si>
  <si>
    <t>规划古城东路北、规划泉山路东</t>
  </si>
  <si>
    <t>2018-08-09</t>
  </si>
  <si>
    <t>淮北港利房地产开发有限公司</t>
  </si>
  <si>
    <t>住宅</t>
    <phoneticPr fontId="26" type="noConversion"/>
  </si>
  <si>
    <t>70</t>
    <phoneticPr fontId="26" type="noConversion"/>
  </si>
  <si>
    <t>较好</t>
  </si>
  <si>
    <t>一般</t>
  </si>
  <si>
    <t>六通</t>
  </si>
  <si>
    <t>楼面地价</t>
  </si>
  <si>
    <t>不动产收益法</t>
  </si>
  <si>
    <t>土地（套用方法）</t>
  </si>
  <si>
    <t>押一</t>
  </si>
  <si>
    <t>按租金收入计税</t>
  </si>
  <si>
    <t>钢混</t>
  </si>
  <si>
    <t>相山区规划新兴路东、泉山支路北</t>
    <phoneticPr fontId="228" type="noConversion"/>
  </si>
  <si>
    <t>淮北世茂房地产开发有限公司</t>
    <phoneticPr fontId="6" type="noConversion"/>
  </si>
  <si>
    <t>其他：</t>
  </si>
  <si>
    <t>安徽省</t>
    <phoneticPr fontId="6" type="noConversion"/>
  </si>
  <si>
    <t>企业</t>
  </si>
  <si>
    <t>淮北市相山区规划古城东路南、泉山路东</t>
    <phoneticPr fontId="6" type="noConversion"/>
  </si>
  <si>
    <t>住宅</t>
    <phoneticPr fontId="6" type="noConversion"/>
  </si>
  <si>
    <t>一致</t>
  </si>
  <si>
    <t>规则</t>
    <phoneticPr fontId="26" type="noConversion"/>
  </si>
  <si>
    <t>较规则</t>
  </si>
  <si>
    <t>较规则</t>
    <phoneticPr fontId="26" type="noConversion"/>
  </si>
  <si>
    <t>不规则</t>
    <phoneticPr fontId="26" type="noConversion"/>
  </si>
  <si>
    <t>较不规则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</si>
  <si>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</si>
  <si>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</si>
  <si>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</si>
  <si>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</si>
  <si>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</si>
  <si>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</si>
  <si>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</si>
  <si>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</si>
  <si>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</si>
  <si>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</si>
  <si>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国金华府</t>
    <phoneticPr fontId="3" type="noConversion"/>
  </si>
  <si>
    <t>辉业家园</t>
    <phoneticPr fontId="3" type="noConversion"/>
  </si>
  <si>
    <t>温哥华城香湖里</t>
    <phoneticPr fontId="3" type="noConversion"/>
  </si>
  <si>
    <t>住宅</t>
    <phoneticPr fontId="21" type="noConversion"/>
  </si>
  <si>
    <t>60-70（含）</t>
  </si>
  <si>
    <t>高层</t>
  </si>
  <si>
    <t>高层</t>
    <phoneticPr fontId="21" type="noConversion"/>
  </si>
  <si>
    <t>小高层</t>
  </si>
  <si>
    <t>小高层</t>
    <phoneticPr fontId="21" type="noConversion"/>
  </si>
  <si>
    <t>钢混</t>
    <phoneticPr fontId="21" type="noConversion"/>
  </si>
  <si>
    <t>售价</t>
  </si>
  <si>
    <t>毛坯</t>
  </si>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</sst>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27" fillId="6" borderId="0" xfId="16" applyFont="1" applyFill="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0" xfId="16" xr:uid="{750A2431-9B3A-402A-BA69-2CC56F1F8D31}"/>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255929</xdr:colOff>
      <xdr:row>16</xdr:row>
      <xdr:rowOff>31751</xdr:rowOff>
    </xdr:from>
    <xdr:to>
      <xdr:col>18</xdr:col>
      <xdr:colOff>265202</xdr:colOff>
      <xdr:row>38</xdr:row>
      <xdr:rowOff>114300</xdr:rowOff>
    </xdr:to>
    <xdr:pic>
      <xdr:nvPicPr>
        <xdr:cNvPr id="2" name="图片 1">
          <a:extLst>
            <a:ext uri="{FF2B5EF4-FFF2-40B4-BE49-F238E27FC236}">
              <a16:creationId xmlns:a16="http://schemas.microsoft.com/office/drawing/2014/main" id="{5FFE07E1-7005-4056-8C0D-5B38A02AC5F4}"/>
            </a:ext>
          </a:extLst>
        </xdr:cNvPr>
        <xdr:cNvPicPr>
          <a:picLocks noChangeAspect="1"/>
        </xdr:cNvPicPr>
      </xdr:nvPicPr>
      <xdr:blipFill>
        <a:blip xmlns:r="http://schemas.openxmlformats.org/officeDocument/2006/relationships" r:embed="rId1"/>
        <a:stretch>
          <a:fillRect/>
        </a:stretch>
      </xdr:blipFill>
      <xdr:spPr>
        <a:xfrm>
          <a:off x="6332879" y="2876551"/>
          <a:ext cx="6105273" cy="3994149"/>
        </a:xfrm>
        <a:prstGeom prst="rect">
          <a:avLst/>
        </a:prstGeom>
      </xdr:spPr>
    </xdr:pic>
    <xdr:clientData/>
  </xdr:twoCellAnchor>
  <xdr:twoCellAnchor editAs="oneCell">
    <xdr:from>
      <xdr:col>0</xdr:col>
      <xdr:colOff>148252</xdr:colOff>
      <xdr:row>16</xdr:row>
      <xdr:rowOff>63501</xdr:rowOff>
    </xdr:from>
    <xdr:to>
      <xdr:col>8</xdr:col>
      <xdr:colOff>205077</xdr:colOff>
      <xdr:row>38</xdr:row>
      <xdr:rowOff>139700</xdr:rowOff>
    </xdr:to>
    <xdr:pic>
      <xdr:nvPicPr>
        <xdr:cNvPr id="3" name="图片 2">
          <a:extLst>
            <a:ext uri="{FF2B5EF4-FFF2-40B4-BE49-F238E27FC236}">
              <a16:creationId xmlns:a16="http://schemas.microsoft.com/office/drawing/2014/main" id="{3D99E54A-4BFB-4890-ACDF-896226AB816A}"/>
            </a:ext>
          </a:extLst>
        </xdr:cNvPr>
        <xdr:cNvPicPr>
          <a:picLocks noChangeAspect="1"/>
        </xdr:cNvPicPr>
      </xdr:nvPicPr>
      <xdr:blipFill>
        <a:blip xmlns:r="http://schemas.openxmlformats.org/officeDocument/2006/relationships" r:embed="rId2"/>
        <a:stretch>
          <a:fillRect/>
        </a:stretch>
      </xdr:blipFill>
      <xdr:spPr>
        <a:xfrm>
          <a:off x="148252" y="2908301"/>
          <a:ext cx="6133775" cy="3987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292100</xdr:colOff>
      <xdr:row>0</xdr:row>
      <xdr:rowOff>88900</xdr:rowOff>
    </xdr:from>
    <xdr:to>
      <xdr:col>14</xdr:col>
      <xdr:colOff>344274</xdr:colOff>
      <xdr:row>8</xdr:row>
      <xdr:rowOff>164752</xdr:rowOff>
    </xdr:to>
    <xdr:pic>
      <xdr:nvPicPr>
        <xdr:cNvPr id="2" name="图片 1">
          <a:extLst>
            <a:ext uri="{FF2B5EF4-FFF2-40B4-BE49-F238E27FC236}">
              <a16:creationId xmlns:a16="http://schemas.microsoft.com/office/drawing/2014/main" id="{F513BC5F-F614-4C9E-8285-C8C5376D9633}"/>
            </a:ext>
          </a:extLst>
        </xdr:cNvPr>
        <xdr:cNvPicPr>
          <a:picLocks noChangeAspect="1"/>
        </xdr:cNvPicPr>
      </xdr:nvPicPr>
      <xdr:blipFill>
        <a:blip xmlns:r="http://schemas.openxmlformats.org/officeDocument/2006/relationships" r:embed="rId1"/>
        <a:stretch>
          <a:fillRect/>
        </a:stretch>
      </xdr:blipFill>
      <xdr:spPr>
        <a:xfrm>
          <a:off x="292100" y="88900"/>
          <a:ext cx="8586574" cy="1498252"/>
        </a:xfrm>
        <a:prstGeom prst="rect">
          <a:avLst/>
        </a:prstGeom>
      </xdr:spPr>
    </xdr:pic>
    <xdr:clientData/>
  </xdr:twoCellAnchor>
  <xdr:twoCellAnchor editAs="oneCell">
    <xdr:from>
      <xdr:col>0</xdr:col>
      <xdr:colOff>304800</xdr:colOff>
      <xdr:row>23</xdr:row>
      <xdr:rowOff>139700</xdr:rowOff>
    </xdr:from>
    <xdr:to>
      <xdr:col>14</xdr:col>
      <xdr:colOff>413294</xdr:colOff>
      <xdr:row>39</xdr:row>
      <xdr:rowOff>158750</xdr:rowOff>
    </xdr:to>
    <xdr:pic>
      <xdr:nvPicPr>
        <xdr:cNvPr id="3" name="图片 2">
          <a:extLst>
            <a:ext uri="{FF2B5EF4-FFF2-40B4-BE49-F238E27FC236}">
              <a16:creationId xmlns:a16="http://schemas.microsoft.com/office/drawing/2014/main" id="{DBE084E3-7477-4871-A731-22A3E0AA4134}"/>
            </a:ext>
          </a:extLst>
        </xdr:cNvPr>
        <xdr:cNvPicPr>
          <a:picLocks noChangeAspect="1"/>
        </xdr:cNvPicPr>
      </xdr:nvPicPr>
      <xdr:blipFill>
        <a:blip xmlns:r="http://schemas.openxmlformats.org/officeDocument/2006/relationships" r:embed="rId2"/>
        <a:stretch>
          <a:fillRect/>
        </a:stretch>
      </xdr:blipFill>
      <xdr:spPr>
        <a:xfrm>
          <a:off x="304800" y="4229100"/>
          <a:ext cx="8642894" cy="2863850"/>
        </a:xfrm>
        <a:prstGeom prst="rect">
          <a:avLst/>
        </a:prstGeom>
      </xdr:spPr>
    </xdr:pic>
    <xdr:clientData/>
  </xdr:twoCellAnchor>
  <xdr:twoCellAnchor editAs="oneCell">
    <xdr:from>
      <xdr:col>0</xdr:col>
      <xdr:colOff>311150</xdr:colOff>
      <xdr:row>40</xdr:row>
      <xdr:rowOff>19050</xdr:rowOff>
    </xdr:from>
    <xdr:to>
      <xdr:col>14</xdr:col>
      <xdr:colOff>425450</xdr:colOff>
      <xdr:row>48</xdr:row>
      <xdr:rowOff>40017</xdr:rowOff>
    </xdr:to>
    <xdr:pic>
      <xdr:nvPicPr>
        <xdr:cNvPr id="4" name="图片 3">
          <a:extLst>
            <a:ext uri="{FF2B5EF4-FFF2-40B4-BE49-F238E27FC236}">
              <a16:creationId xmlns:a16="http://schemas.microsoft.com/office/drawing/2014/main" id="{3715F74B-B444-4D8E-8A6D-CB15EBD8A5E5}"/>
            </a:ext>
          </a:extLst>
        </xdr:cNvPr>
        <xdr:cNvPicPr>
          <a:picLocks noChangeAspect="1"/>
        </xdr:cNvPicPr>
      </xdr:nvPicPr>
      <xdr:blipFill>
        <a:blip xmlns:r="http://schemas.openxmlformats.org/officeDocument/2006/relationships" r:embed="rId3"/>
        <a:stretch>
          <a:fillRect/>
        </a:stretch>
      </xdr:blipFill>
      <xdr:spPr>
        <a:xfrm>
          <a:off x="311150" y="7131050"/>
          <a:ext cx="8648700" cy="1443367"/>
        </a:xfrm>
        <a:prstGeom prst="rect">
          <a:avLst/>
        </a:prstGeom>
      </xdr:spPr>
    </xdr:pic>
    <xdr:clientData/>
  </xdr:twoCellAnchor>
  <xdr:twoCellAnchor editAs="oneCell">
    <xdr:from>
      <xdr:col>0</xdr:col>
      <xdr:colOff>412750</xdr:colOff>
      <xdr:row>48</xdr:row>
      <xdr:rowOff>44450</xdr:rowOff>
    </xdr:from>
    <xdr:to>
      <xdr:col>16</xdr:col>
      <xdr:colOff>74428</xdr:colOff>
      <xdr:row>66</xdr:row>
      <xdr:rowOff>33096</xdr:rowOff>
    </xdr:to>
    <xdr:pic>
      <xdr:nvPicPr>
        <xdr:cNvPr id="5" name="图片 4">
          <a:extLst>
            <a:ext uri="{FF2B5EF4-FFF2-40B4-BE49-F238E27FC236}">
              <a16:creationId xmlns:a16="http://schemas.microsoft.com/office/drawing/2014/main" id="{E2C46F1B-B951-4A88-B08A-887BD2DC5BE4}"/>
            </a:ext>
          </a:extLst>
        </xdr:cNvPr>
        <xdr:cNvPicPr>
          <a:picLocks noChangeAspect="1"/>
        </xdr:cNvPicPr>
      </xdr:nvPicPr>
      <xdr:blipFill>
        <a:blip xmlns:r="http://schemas.openxmlformats.org/officeDocument/2006/relationships" r:embed="rId4"/>
        <a:stretch>
          <a:fillRect/>
        </a:stretch>
      </xdr:blipFill>
      <xdr:spPr>
        <a:xfrm>
          <a:off x="412750" y="8578850"/>
          <a:ext cx="9415278" cy="3189046"/>
        </a:xfrm>
        <a:prstGeom prst="rect">
          <a:avLst/>
        </a:prstGeom>
      </xdr:spPr>
    </xdr:pic>
    <xdr:clientData/>
  </xdr:twoCellAnchor>
  <xdr:twoCellAnchor editAs="oneCell">
    <xdr:from>
      <xdr:col>0</xdr:col>
      <xdr:colOff>317500</xdr:colOff>
      <xdr:row>9</xdr:row>
      <xdr:rowOff>12700</xdr:rowOff>
    </xdr:from>
    <xdr:to>
      <xdr:col>13</xdr:col>
      <xdr:colOff>242683</xdr:colOff>
      <xdr:row>16</xdr:row>
      <xdr:rowOff>124243</xdr:rowOff>
    </xdr:to>
    <xdr:pic>
      <xdr:nvPicPr>
        <xdr:cNvPr id="6" name="图片 5">
          <a:extLst>
            <a:ext uri="{FF2B5EF4-FFF2-40B4-BE49-F238E27FC236}">
              <a16:creationId xmlns:a16="http://schemas.microsoft.com/office/drawing/2014/main" id="{850EA2BE-7C74-481A-B151-061519478789}"/>
            </a:ext>
          </a:extLst>
        </xdr:cNvPr>
        <xdr:cNvPicPr>
          <a:picLocks noChangeAspect="1"/>
        </xdr:cNvPicPr>
      </xdr:nvPicPr>
      <xdr:blipFill>
        <a:blip xmlns:r="http://schemas.openxmlformats.org/officeDocument/2006/relationships" r:embed="rId5"/>
        <a:stretch>
          <a:fillRect/>
        </a:stretch>
      </xdr:blipFill>
      <xdr:spPr>
        <a:xfrm>
          <a:off x="317500" y="1612900"/>
          <a:ext cx="7849983" cy="1356143"/>
        </a:xfrm>
        <a:prstGeom prst="rect">
          <a:avLst/>
        </a:prstGeom>
      </xdr:spPr>
    </xdr:pic>
    <xdr:clientData/>
  </xdr:twoCellAnchor>
  <xdr:twoCellAnchor editAs="oneCell">
    <xdr:from>
      <xdr:col>0</xdr:col>
      <xdr:colOff>355600</xdr:colOff>
      <xdr:row>16</xdr:row>
      <xdr:rowOff>114301</xdr:rowOff>
    </xdr:from>
    <xdr:to>
      <xdr:col>14</xdr:col>
      <xdr:colOff>96626</xdr:colOff>
      <xdr:row>24</xdr:row>
      <xdr:rowOff>44667</xdr:rowOff>
    </xdr:to>
    <xdr:pic>
      <xdr:nvPicPr>
        <xdr:cNvPr id="7" name="图片 6">
          <a:extLst>
            <a:ext uri="{FF2B5EF4-FFF2-40B4-BE49-F238E27FC236}">
              <a16:creationId xmlns:a16="http://schemas.microsoft.com/office/drawing/2014/main" id="{C6DDCA76-78F2-43A4-8DC9-98173797255E}"/>
            </a:ext>
          </a:extLst>
        </xdr:cNvPr>
        <xdr:cNvPicPr>
          <a:picLocks noChangeAspect="1"/>
        </xdr:cNvPicPr>
      </xdr:nvPicPr>
      <xdr:blipFill>
        <a:blip xmlns:r="http://schemas.openxmlformats.org/officeDocument/2006/relationships" r:embed="rId6"/>
        <a:stretch>
          <a:fillRect/>
        </a:stretch>
      </xdr:blipFill>
      <xdr:spPr>
        <a:xfrm>
          <a:off x="355600" y="2959101"/>
          <a:ext cx="8275426" cy="13527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249982</xdr:colOff>
      <xdr:row>0</xdr:row>
      <xdr:rowOff>63501</xdr:rowOff>
    </xdr:from>
    <xdr:to>
      <xdr:col>11</xdr:col>
      <xdr:colOff>87436</xdr:colOff>
      <xdr:row>21</xdr:row>
      <xdr:rowOff>165101</xdr:rowOff>
    </xdr:to>
    <xdr:pic>
      <xdr:nvPicPr>
        <xdr:cNvPr id="2" name="图片 1">
          <a:extLst>
            <a:ext uri="{FF2B5EF4-FFF2-40B4-BE49-F238E27FC236}">
              <a16:creationId xmlns:a16="http://schemas.microsoft.com/office/drawing/2014/main" id="{84022628-9B11-4667-A018-F4577E80D2BA}"/>
            </a:ext>
          </a:extLst>
        </xdr:cNvPr>
        <xdr:cNvPicPr>
          <a:picLocks noChangeAspect="1"/>
        </xdr:cNvPicPr>
      </xdr:nvPicPr>
      <xdr:blipFill>
        <a:blip xmlns:r="http://schemas.openxmlformats.org/officeDocument/2006/relationships" r:embed="rId1"/>
        <a:stretch>
          <a:fillRect/>
        </a:stretch>
      </xdr:blipFill>
      <xdr:spPr>
        <a:xfrm>
          <a:off x="249982" y="63501"/>
          <a:ext cx="6543054" cy="3835400"/>
        </a:xfrm>
        <a:prstGeom prst="rect">
          <a:avLst/>
        </a:prstGeom>
      </xdr:spPr>
    </xdr:pic>
    <xdr:clientData/>
  </xdr:twoCellAnchor>
  <xdr:twoCellAnchor editAs="oneCell">
    <xdr:from>
      <xdr:col>0</xdr:col>
      <xdr:colOff>236106</xdr:colOff>
      <xdr:row>22</xdr:row>
      <xdr:rowOff>0</xdr:rowOff>
    </xdr:from>
    <xdr:to>
      <xdr:col>14</xdr:col>
      <xdr:colOff>385461</xdr:colOff>
      <xdr:row>40</xdr:row>
      <xdr:rowOff>19050</xdr:rowOff>
    </xdr:to>
    <xdr:pic>
      <xdr:nvPicPr>
        <xdr:cNvPr id="3" name="图片 2">
          <a:extLst>
            <a:ext uri="{FF2B5EF4-FFF2-40B4-BE49-F238E27FC236}">
              <a16:creationId xmlns:a16="http://schemas.microsoft.com/office/drawing/2014/main" id="{FF0E4A58-74F3-41A2-91FA-0A28CF653CEB}"/>
            </a:ext>
          </a:extLst>
        </xdr:cNvPr>
        <xdr:cNvPicPr>
          <a:picLocks noChangeAspect="1"/>
        </xdr:cNvPicPr>
      </xdr:nvPicPr>
      <xdr:blipFill>
        <a:blip xmlns:r="http://schemas.openxmlformats.org/officeDocument/2006/relationships" r:embed="rId2"/>
        <a:stretch>
          <a:fillRect/>
        </a:stretch>
      </xdr:blipFill>
      <xdr:spPr>
        <a:xfrm>
          <a:off x="236106" y="3911600"/>
          <a:ext cx="8683755" cy="3219450"/>
        </a:xfrm>
        <a:prstGeom prst="rect">
          <a:avLst/>
        </a:prstGeom>
      </xdr:spPr>
    </xdr:pic>
    <xdr:clientData/>
  </xdr:twoCellAnchor>
  <xdr:twoCellAnchor editAs="oneCell">
    <xdr:from>
      <xdr:col>0</xdr:col>
      <xdr:colOff>266700</xdr:colOff>
      <xdr:row>40</xdr:row>
      <xdr:rowOff>171450</xdr:rowOff>
    </xdr:from>
    <xdr:to>
      <xdr:col>14</xdr:col>
      <xdr:colOff>252121</xdr:colOff>
      <xdr:row>58</xdr:row>
      <xdr:rowOff>80947</xdr:rowOff>
    </xdr:to>
    <xdr:pic>
      <xdr:nvPicPr>
        <xdr:cNvPr id="4" name="图片 3">
          <a:extLst>
            <a:ext uri="{FF2B5EF4-FFF2-40B4-BE49-F238E27FC236}">
              <a16:creationId xmlns:a16="http://schemas.microsoft.com/office/drawing/2014/main" id="{A49B8A56-10D7-46A6-9773-919EA8849C20}"/>
            </a:ext>
          </a:extLst>
        </xdr:cNvPr>
        <xdr:cNvPicPr>
          <a:picLocks noChangeAspect="1"/>
        </xdr:cNvPicPr>
      </xdr:nvPicPr>
      <xdr:blipFill>
        <a:blip xmlns:r="http://schemas.openxmlformats.org/officeDocument/2006/relationships" r:embed="rId3"/>
        <a:stretch>
          <a:fillRect/>
        </a:stretch>
      </xdr:blipFill>
      <xdr:spPr>
        <a:xfrm>
          <a:off x="266700" y="7283450"/>
          <a:ext cx="8519821" cy="3109897"/>
        </a:xfrm>
        <a:prstGeom prst="rect">
          <a:avLst/>
        </a:prstGeom>
      </xdr:spPr>
    </xdr:pic>
    <xdr:clientData/>
  </xdr:twoCellAnchor>
  <xdr:twoCellAnchor editAs="oneCell">
    <xdr:from>
      <xdr:col>0</xdr:col>
      <xdr:colOff>282806</xdr:colOff>
      <xdr:row>58</xdr:row>
      <xdr:rowOff>165100</xdr:rowOff>
    </xdr:from>
    <xdr:to>
      <xdr:col>14</xdr:col>
      <xdr:colOff>280667</xdr:colOff>
      <xdr:row>75</xdr:row>
      <xdr:rowOff>63499</xdr:rowOff>
    </xdr:to>
    <xdr:pic>
      <xdr:nvPicPr>
        <xdr:cNvPr id="5" name="图片 4">
          <a:extLst>
            <a:ext uri="{FF2B5EF4-FFF2-40B4-BE49-F238E27FC236}">
              <a16:creationId xmlns:a16="http://schemas.microsoft.com/office/drawing/2014/main" id="{AAD72E42-32FD-4391-A0B9-21144ABA5650}"/>
            </a:ext>
          </a:extLst>
        </xdr:cNvPr>
        <xdr:cNvPicPr>
          <a:picLocks noChangeAspect="1"/>
        </xdr:cNvPicPr>
      </xdr:nvPicPr>
      <xdr:blipFill>
        <a:blip xmlns:r="http://schemas.openxmlformats.org/officeDocument/2006/relationships" r:embed="rId4"/>
        <a:stretch>
          <a:fillRect/>
        </a:stretch>
      </xdr:blipFill>
      <xdr:spPr>
        <a:xfrm>
          <a:off x="282806" y="10477500"/>
          <a:ext cx="8532261" cy="2920999"/>
        </a:xfrm>
        <a:prstGeom prst="rect">
          <a:avLst/>
        </a:prstGeom>
      </xdr:spPr>
    </xdr:pic>
    <xdr:clientData/>
  </xdr:twoCellAnchor>
  <xdr:twoCellAnchor editAs="oneCell">
    <xdr:from>
      <xdr:col>0</xdr:col>
      <xdr:colOff>304800</xdr:colOff>
      <xdr:row>75</xdr:row>
      <xdr:rowOff>82550</xdr:rowOff>
    </xdr:from>
    <xdr:to>
      <xdr:col>14</xdr:col>
      <xdr:colOff>150519</xdr:colOff>
      <xdr:row>92</xdr:row>
      <xdr:rowOff>72550</xdr:rowOff>
    </xdr:to>
    <xdr:pic>
      <xdr:nvPicPr>
        <xdr:cNvPr id="6" name="图片 5">
          <a:extLst>
            <a:ext uri="{FF2B5EF4-FFF2-40B4-BE49-F238E27FC236}">
              <a16:creationId xmlns:a16="http://schemas.microsoft.com/office/drawing/2014/main" id="{61937902-552B-4EC7-B3E6-83FA2B32DB25}"/>
            </a:ext>
          </a:extLst>
        </xdr:cNvPr>
        <xdr:cNvPicPr>
          <a:picLocks noChangeAspect="1"/>
        </xdr:cNvPicPr>
      </xdr:nvPicPr>
      <xdr:blipFill>
        <a:blip xmlns:r="http://schemas.openxmlformats.org/officeDocument/2006/relationships" r:embed="rId5"/>
        <a:stretch>
          <a:fillRect/>
        </a:stretch>
      </xdr:blipFill>
      <xdr:spPr>
        <a:xfrm>
          <a:off x="304800" y="13417550"/>
          <a:ext cx="8380119" cy="3012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
    </sheetView>
  </sheetViews>
  <sheetFormatPr defaultColWidth="9" defaultRowHeight="15"/>
  <cols>
    <col min="1" max="1" width="36.453125" style="2842" customWidth="1"/>
    <col min="2" max="2" width="78.1796875" style="2843" customWidth="1"/>
    <col min="3" max="18" width="9" style="2837"/>
    <col min="19" max="19" width="17.90625" style="2837" customWidth="1"/>
    <col min="20" max="51" width="9" style="2837"/>
    <col min="52" max="52" width="13.1796875" style="2837" customWidth="1"/>
    <col min="53" max="53" width="13.453125" style="2837" bestFit="1" customWidth="1"/>
    <col min="54" max="54" width="11.6328125" style="2837" bestFit="1" customWidth="1"/>
    <col min="55" max="55" width="13.453125" style="2837" bestFit="1" customWidth="1"/>
    <col min="56" max="16384" width="9" style="2837"/>
  </cols>
  <sheetData>
    <row r="1" spans="1:55" s="2848" customFormat="1" ht="16" thickBot="1">
      <c r="A1" s="2846" t="s">
        <v>2653</v>
      </c>
      <c r="B1" s="2847" t="s">
        <v>2750</v>
      </c>
    </row>
    <row r="2" spans="1:55" s="2851" customFormat="1" ht="15.5" thickTop="1">
      <c r="A2" s="2849" t="s">
        <v>2657</v>
      </c>
      <c r="B2" s="2850" t="str">
        <f>'预评函-封皮'!B37</f>
        <v>安徽省淮北市相山区规划古城东路南、泉山路东出让国有建设用地使用权抵押价格预评估</v>
      </c>
      <c r="AX2" s="2852"/>
      <c r="AZ2" s="2852"/>
      <c r="BA2" s="2853"/>
      <c r="BC2" s="2853"/>
    </row>
    <row r="3" spans="1:55" s="2854" customFormat="1">
      <c r="A3" s="2833" t="s">
        <v>2658</v>
      </c>
      <c r="B3" s="2836" t="str">
        <f>'预评函-封皮'!B40</f>
        <v>淮北世茂房地产开发有限公司</v>
      </c>
    </row>
    <row r="4" spans="1:55" s="2835" customFormat="1">
      <c r="A4" s="2833" t="s">
        <v>2659</v>
      </c>
      <c r="B4" s="2834" t="str">
        <f>'预评函-封皮'!B46</f>
        <v>土地估价师、土地估价师</v>
      </c>
      <c r="N4" s="2835" t="str">
        <f>'预评函-1'!A28</f>
        <v/>
      </c>
    </row>
    <row r="5" spans="1:55" s="2848" customFormat="1" ht="15.5" thickBot="1">
      <c r="A5" s="2855" t="s">
        <v>2660</v>
      </c>
      <c r="B5" s="2856" t="str">
        <f>'预评函-封皮'!B49</f>
        <v>康正预评字号</v>
      </c>
    </row>
    <row r="6" spans="1:55" s="2857" customFormat="1" ht="15.5" thickTop="1">
      <c r="A6" s="2849" t="s">
        <v>2702</v>
      </c>
      <c r="B6" s="2850" t="str">
        <f>'预评函-1'!A4</f>
        <v>受贵公司委托，我公司对安徽省淮北市相山区规划古城东路南、泉山路东出让国有建设用地使用权抵押价格进行了预评估。</v>
      </c>
      <c r="AM6" s="2858"/>
    </row>
    <row r="7" spans="1:55" s="2832" customFormat="1">
      <c r="A7" s="2833" t="s">
        <v>2654</v>
      </c>
      <c r="B7" s="2834" t="str">
        <f>'预评函-1'!A6</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2020年2月14日</v>
      </c>
    </row>
    <row r="11" spans="1:55" s="2832" customFormat="1">
      <c r="A11" s="2833" t="s">
        <v>2662</v>
      </c>
      <c r="B11" s="2834" t="str">
        <f>'预评函-1'!A14</f>
        <v>根据《国有土地使用证》[]，本次评估估价对象证载（地类）用途为住宅。</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根据委托估价方介绍及评估专业人员现场勘查，本次评估估价对象实际土地开发程度为红线外市政基础设施达“六通”（即通路、通电、通讯、通上水、通下水、燃气）、宗地红线内场地平整。</v>
      </c>
    </row>
    <row r="14" spans="1:55" s="2832" customFormat="1">
      <c r="A14" s="2833" t="s">
        <v>2665</v>
      </c>
      <c r="B14" s="2834" t="str">
        <f>'预评函-1'!A18</f>
        <v>。本次评估设定土地开发程度为红线外市政基础设施达“六通”、宗地红线内场地平整。</v>
      </c>
    </row>
    <row r="15" spans="1:55" s="2832" customFormat="1">
      <c r="A15" s="2833" t="s">
        <v>2661</v>
      </c>
      <c r="B15" s="2834" t="str">
        <f>'预评函-1'!A20</f>
        <v>根据《国有土地使用证》[]，估价对象（分摊）出让国有建设用地使用权面积为130622.9平方米。根据《建设工程规划许可证》[]、《出让合同》[]，估价对象规划建筑面积为300432.67平方米。</v>
      </c>
    </row>
    <row r="16" spans="1:55" s="2832" customFormat="1">
      <c r="A16" s="2833" t="s">
        <v>2666</v>
      </c>
      <c r="B16" s="2834" t="str">
        <f>'预评函-1'!A22</f>
        <v>本次估价对象为出让国有建设用地使用权，《国有土地使用证》[]证载土地终止日期为住宅2089年12月18日、商业2059年12月18日。截至估价期日，出让国有建设用地使用权剩余土地使用年限为。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5" thickBot="1">
      <c r="A21" s="2855" t="s">
        <v>2671</v>
      </c>
      <c r="B21" s="2856" t="str">
        <f>'预评函-1'!A28</f>
        <v/>
      </c>
    </row>
    <row r="22" spans="1:48" ht="15.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估价期日：2020年2月14日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红线外六通、宗地红线内</v>
      </c>
    </row>
    <row r="39" spans="1:2">
      <c r="A39" s="2833" t="s">
        <v>2716</v>
      </c>
      <c r="B39" s="2834" t="str">
        <f>'预评函-2'!L5</f>
        <v>红线外六通、宗地红线内场地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130622.9</v>
      </c>
    </row>
    <row r="44" spans="1:2">
      <c r="A44" s="2833" t="s">
        <v>2737</v>
      </c>
      <c r="B44" s="2834" t="str">
        <f>'预评函-2'!O3</f>
        <v>规划建筑面积/㎡</v>
      </c>
    </row>
    <row r="45" spans="1:2">
      <c r="A45" s="2833" t="s">
        <v>2719</v>
      </c>
      <c r="B45" s="2834">
        <f>'预评函-2'!O5</f>
        <v>300432.67</v>
      </c>
    </row>
    <row r="46" spans="1:2">
      <c r="A46" s="2833" t="s">
        <v>2720</v>
      </c>
      <c r="B46" s="2834">
        <f ca="1">'预评函-2'!P5</f>
        <v>4976</v>
      </c>
    </row>
    <row r="47" spans="1:2">
      <c r="A47" s="2833" t="s">
        <v>2721</v>
      </c>
      <c r="B47" s="2834">
        <f ca="1">'预评函-2'!Q5</f>
        <v>2164</v>
      </c>
    </row>
    <row r="48" spans="1:2">
      <c r="A48" s="2833" t="s">
        <v>2722</v>
      </c>
      <c r="B48" s="2834">
        <f ca="1">'预评函-2'!R5</f>
        <v>65001</v>
      </c>
    </row>
    <row r="49" spans="1:2">
      <c r="A49" s="2833" t="s">
        <v>2738</v>
      </c>
      <c r="B49" s="2834" t="str">
        <f>'预评函-2'!A6</f>
        <v>抵押价格</v>
      </c>
    </row>
    <row r="50" spans="1:2">
      <c r="A50" s="2833" t="s">
        <v>2723</v>
      </c>
      <c r="B50" s="2834">
        <f ca="1">'预评函-2'!R6</f>
        <v>34626</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5" thickBot="1">
      <c r="A54" s="2855" t="s">
        <v>2725</v>
      </c>
      <c r="B54" s="2856" t="str">
        <f>'预评函-2'!R8</f>
        <v>——</v>
      </c>
    </row>
    <row r="55" spans="1:2" ht="15.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2.基础设施条件：估价对象实际开发程度为红线外六通、宗地红线内；本次评估设定开发程度为红线外六通、宗地红线内场地。</v>
      </c>
    </row>
    <row r="57" spans="1:2">
      <c r="A57" s="2833" t="s">
        <v>2677</v>
      </c>
      <c r="B57" s="2834" t="str">
        <f>'预评函-3'!A4</f>
        <v>3.估价规划限制条件：详见《建设工程规划许可证》[]、《出让合同》[]。</v>
      </c>
    </row>
    <row r="58" spans="1:2" s="2848" customFormat="1" ht="15.5" thickBot="1">
      <c r="A58" s="2855" t="s">
        <v>2726</v>
      </c>
      <c r="B58" s="2856" t="str">
        <f>'预评函-3'!A5</f>
        <v>4.影响价格的其他限定条件：无。</v>
      </c>
    </row>
    <row r="59" spans="1:2" ht="15.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综上，本次评估估价师知悉的法定优先受偿款为人民币30375万元整。</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5" thickBot="1">
      <c r="A68" s="2855" t="s">
        <v>2689</v>
      </c>
      <c r="B68" s="2859">
        <f>'预评函-3'!D30</f>
        <v>42558</v>
      </c>
    </row>
    <row r="69" spans="1:2" ht="15.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5" thickBot="1">
      <c r="A72" s="2855" t="s">
        <v>2688</v>
      </c>
      <c r="B72" s="2861">
        <f>'预评函-3'!B21</f>
        <v>0</v>
      </c>
    </row>
    <row r="73" spans="1:2" ht="15.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由于本次评估估价目的是评估储备国有建设用地使用权的“抵押价格”，因此本次评估设定土地开发程度为红线外市政基础设施达“六通”、宗地红线内场地平整。</v>
      </c>
    </row>
    <row r="75" spans="1:2" s="2848" customFormat="1" ht="15.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7" zoomScaleNormal="100" zoomScaleSheetLayoutView="100" workbookViewId="0">
      <selection activeCell="C22" sqref="C22"/>
    </sheetView>
  </sheetViews>
  <sheetFormatPr defaultColWidth="10" defaultRowHeight="15"/>
  <cols>
    <col min="1" max="1" width="15.36328125" style="1675" customWidth="1"/>
    <col min="2" max="2" width="11.36328125" style="1675" customWidth="1"/>
    <col min="3" max="3" width="12.6328125" style="1675" customWidth="1"/>
    <col min="4" max="4" width="12.08984375" style="1675" customWidth="1"/>
    <col min="5" max="5" width="12.453125" style="1675" customWidth="1"/>
    <col min="6" max="6" width="11.36328125" style="1675" customWidth="1"/>
    <col min="7" max="7" width="12.36328125" style="1675" customWidth="1"/>
    <col min="8" max="8" width="10" style="1675" customWidth="1"/>
    <col min="9" max="9" width="12.453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5" thickBot="1">
      <c r="A1" s="1643" t="s">
        <v>1935</v>
      </c>
      <c r="B1" s="3220" t="str">
        <f>IF(B10="北京市","北京市",C10)&amp;F10&amp;B16&amp;"国有建设用地使用权"&amp;B9&amp;"预评估"</f>
        <v>安徽省淮北市相山区规划古城东路南、泉山路东出让国有建设用地使用权抵押价格预评估</v>
      </c>
      <c r="C1" s="3221"/>
      <c r="D1" s="3221"/>
      <c r="E1" s="3221"/>
      <c r="F1" s="3221"/>
      <c r="G1" s="3221"/>
      <c r="H1" s="3221"/>
      <c r="I1" s="3222"/>
      <c r="J1" s="1678"/>
      <c r="K1" s="2419" t="str">
        <f>IF(B10="北京市","北京市",C10)&amp;F10&amp;B16&amp;"国有建设用地使用权"&amp;B9</f>
        <v>安徽省淮北市相山区规划古城东路南、泉山路东出让国有建设用地使用权抵押价格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安徽省淮北市相山区规划古城东路南、泉山路东出让国有建设用地使用权</v>
      </c>
      <c r="L2" s="1707"/>
      <c r="M2" s="1707"/>
      <c r="N2" s="1678"/>
      <c r="O2" s="1679"/>
      <c r="P2" s="1678"/>
      <c r="Q2" s="1678"/>
      <c r="R2" s="1678"/>
      <c r="S2" s="1678"/>
      <c r="T2" s="1678"/>
      <c r="U2" s="1678"/>
    </row>
    <row r="3" spans="1:21">
      <c r="A3" s="1645" t="s">
        <v>1937</v>
      </c>
      <c r="B3" s="1646"/>
      <c r="C3" s="1647" t="s">
        <v>1993</v>
      </c>
      <c r="D3" s="1646">
        <v>43875</v>
      </c>
      <c r="E3" s="1678"/>
      <c r="F3" s="1678"/>
      <c r="G3" s="1678"/>
      <c r="H3" s="1644"/>
      <c r="I3" s="1679"/>
      <c r="J3" s="1678"/>
      <c r="K3" s="1758"/>
      <c r="L3" s="1707"/>
      <c r="M3" s="1707"/>
      <c r="N3" s="1678"/>
      <c r="O3" s="1679"/>
      <c r="P3" s="1678"/>
      <c r="Q3" s="1678"/>
      <c r="R3" s="1678"/>
      <c r="S3" s="1678"/>
      <c r="T3" s="1678"/>
      <c r="U3" s="1678"/>
    </row>
    <row r="4" spans="1:21" ht="30.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5" thickTop="1">
      <c r="A5" s="1649" t="s">
        <v>1939</v>
      </c>
      <c r="B5" s="1773" t="s">
        <v>3083</v>
      </c>
      <c r="C5" s="1650"/>
      <c r="D5" s="1651"/>
      <c r="E5" s="1678"/>
      <c r="F5" s="1678"/>
      <c r="G5" s="1678"/>
      <c r="H5" s="1644"/>
      <c r="I5" s="1679"/>
      <c r="J5" s="1678"/>
      <c r="K5" s="1758"/>
      <c r="L5" s="1707"/>
      <c r="M5" s="1707"/>
      <c r="N5" s="1678"/>
      <c r="O5" s="1679"/>
      <c r="P5" s="1678"/>
      <c r="Q5" s="1678"/>
      <c r="R5" s="1678"/>
      <c r="S5" s="1678"/>
      <c r="T5" s="1678"/>
      <c r="U5" s="1678"/>
    </row>
    <row r="6" spans="1:21" ht="28">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tr">
        <f>B5</f>
        <v>淮北世茂房地产开发有限公司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26" t="s">
        <v>1942</v>
      </c>
      <c r="E8" s="1828" t="s">
        <v>2997</v>
      </c>
      <c r="F8" s="1656"/>
      <c r="G8" s="1644"/>
      <c r="H8" s="1644"/>
      <c r="I8" s="1691"/>
      <c r="J8" s="1678"/>
      <c r="K8" s="1758"/>
      <c r="L8" s="1707"/>
      <c r="M8" s="1707"/>
      <c r="N8" s="1678"/>
      <c r="O8" s="1679"/>
      <c r="P8" s="1678"/>
      <c r="Q8" s="1678"/>
      <c r="R8" s="1678"/>
      <c r="S8" s="1678"/>
      <c r="T8" s="1678"/>
      <c r="U8" s="1678"/>
    </row>
    <row r="9" spans="1:21" ht="15.5" thickBot="1">
      <c r="A9" s="1657" t="s">
        <v>1941</v>
      </c>
      <c r="B9" s="1658" t="s">
        <v>2997</v>
      </c>
      <c r="C9" s="1659"/>
      <c r="D9" s="3227"/>
      <c r="E9" s="1658" t="s">
        <v>952</v>
      </c>
      <c r="F9" s="1731"/>
      <c r="G9" s="1726"/>
      <c r="H9" s="1726"/>
      <c r="I9" s="1727"/>
      <c r="J9" s="1678"/>
      <c r="K9" s="1758"/>
      <c r="L9" s="1707"/>
      <c r="M9" s="1707"/>
      <c r="N9" s="1678"/>
      <c r="O9" s="1679"/>
      <c r="P9" s="1678"/>
      <c r="Q9" s="1678"/>
      <c r="R9" s="1678"/>
      <c r="S9" s="1678"/>
      <c r="T9" s="1678"/>
      <c r="U9" s="1678"/>
    </row>
    <row r="10" spans="1:21" ht="15.5" thickTop="1">
      <c r="A10" s="1728" t="s">
        <v>1997</v>
      </c>
      <c r="B10" s="1703" t="s">
        <v>3084</v>
      </c>
      <c r="C10" s="1660" t="s">
        <v>3085</v>
      </c>
      <c r="D10" s="1651"/>
      <c r="E10" s="1661" t="s">
        <v>1944</v>
      </c>
      <c r="F10" s="1662" t="s">
        <v>3087</v>
      </c>
      <c r="G10" s="1729"/>
      <c r="H10" s="1730"/>
      <c r="I10" s="1651"/>
      <c r="J10" s="1678"/>
      <c r="K10" s="1758"/>
      <c r="L10" s="1707"/>
      <c r="M10" s="1707"/>
      <c r="N10" s="1678"/>
      <c r="O10" s="1679"/>
      <c r="P10" s="1678"/>
      <c r="Q10" s="1678"/>
      <c r="R10" s="1678"/>
      <c r="S10" s="1678"/>
      <c r="T10" s="1678"/>
      <c r="U10" s="1678"/>
    </row>
    <row r="11" spans="1:21" ht="45">
      <c r="A11" s="1681" t="s">
        <v>1998</v>
      </c>
      <c r="B11" s="1682" t="s">
        <v>3086</v>
      </c>
      <c r="C11" s="1663" t="str">
        <f>B5</f>
        <v>淮北世茂房地产开发有限公司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23" t="s">
        <v>3088</v>
      </c>
      <c r="C12" s="3224"/>
      <c r="D12" s="3225"/>
      <c r="E12" s="1683" t="s">
        <v>2059</v>
      </c>
      <c r="F12" s="3241" t="s">
        <v>2887</v>
      </c>
      <c r="G12" s="3242"/>
      <c r="H12" s="3242"/>
      <c r="I12" s="3243"/>
      <c r="J12" s="1678"/>
      <c r="K12" s="1758"/>
      <c r="L12" s="1707"/>
      <c r="M12" s="1707"/>
      <c r="N12" s="1678"/>
      <c r="O12" s="1679"/>
      <c r="P12" s="1678"/>
      <c r="Q12" s="1678"/>
      <c r="R12" s="1678"/>
      <c r="S12" s="1678"/>
      <c r="T12" s="1678"/>
      <c r="U12" s="1678"/>
    </row>
    <row r="13" spans="1:21">
      <c r="A13" s="1671" t="s">
        <v>2057</v>
      </c>
      <c r="B13" s="3223"/>
      <c r="C13" s="3224"/>
      <c r="D13" s="3225"/>
      <c r="E13" s="1683" t="s">
        <v>2059</v>
      </c>
      <c r="F13" s="3241" t="s">
        <v>2888</v>
      </c>
      <c r="G13" s="3242"/>
      <c r="H13" s="3242"/>
      <c r="I13" s="3243"/>
      <c r="J13" s="1678"/>
      <c r="K13" s="1758"/>
      <c r="L13" s="1707"/>
      <c r="M13" s="1707"/>
      <c r="N13" s="1678"/>
      <c r="O13" s="1679"/>
      <c r="P13" s="1678"/>
      <c r="Q13" s="1678"/>
      <c r="R13" s="1678"/>
      <c r="S13" s="1678"/>
      <c r="T13" s="1678"/>
      <c r="U13" s="1678"/>
    </row>
    <row r="14" spans="1:21">
      <c r="A14" s="1645" t="s">
        <v>2060</v>
      </c>
      <c r="B14" s="1683"/>
      <c r="C14" s="1829" t="s">
        <v>3089</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5">
      <c r="A16" s="1664" t="s">
        <v>1945</v>
      </c>
      <c r="B16" s="1665" t="s">
        <v>2985</v>
      </c>
      <c r="C16" s="1683" t="s">
        <v>1946</v>
      </c>
      <c r="D16" s="2610" t="s">
        <v>1947</v>
      </c>
      <c r="E16" s="1706" t="s">
        <v>3006</v>
      </c>
      <c r="F16" s="1706"/>
      <c r="G16" s="1706"/>
      <c r="H16" s="1706"/>
      <c r="I16" s="1670" t="s">
        <v>1952</v>
      </c>
      <c r="J16" s="1678"/>
      <c r="K16" s="2420" t="str">
        <f>IF(D17="","",D16&amp;TEXT(D17,"yyyy年m月d日;;"))</f>
        <v>住宅2089年12月18日</v>
      </c>
      <c r="L16" s="1683" t="str">
        <f>IF(OR(K16="",M16=""),"","、")</f>
        <v>、</v>
      </c>
      <c r="M16" s="2420" t="str">
        <f>IF(E17="","",E16&amp;TEXT(E17,"yyyy年m月d日;;"))</f>
        <v>商业2059年12月18日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v>69385</v>
      </c>
      <c r="E17" s="1684">
        <v>58427</v>
      </c>
      <c r="F17" s="1684"/>
      <c r="G17" s="1684"/>
      <c r="H17" s="1684"/>
      <c r="I17" s="1684"/>
      <c r="J17" s="1678"/>
      <c r="K17" s="2419" t="str">
        <f>CONCATENATE(K16,L16,M16,N16,O16,P16,Q16,R16,S16,T16,,U16)</f>
        <v>住宅2089年12月18日、商业2059年12月18日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69.89</v>
      </c>
      <c r="E19" s="1669">
        <f>IF(B16="出让",IF(E17="","",ROUNDDOWN(MIN((E17-$D$3)/365,E18),2)),E18)</f>
        <v>39.86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38"/>
      <c r="E20" s="3239"/>
      <c r="F20" s="3239"/>
      <c r="G20" s="3239"/>
      <c r="H20" s="3239"/>
      <c r="I20" s="3240"/>
      <c r="J20" s="1678"/>
      <c r="K20" s="1758"/>
      <c r="L20" s="1707"/>
      <c r="M20" s="1707"/>
      <c r="N20" s="1678"/>
      <c r="O20" s="1679"/>
      <c r="P20" s="1678"/>
      <c r="Q20" s="1678"/>
      <c r="R20" s="1678"/>
      <c r="S20" s="1678"/>
      <c r="T20" s="1678"/>
      <c r="U20" s="1678"/>
    </row>
    <row r="21" spans="1:21">
      <c r="A21" s="1747" t="s">
        <v>1956</v>
      </c>
      <c r="B21" s="1748" t="s">
        <v>1957</v>
      </c>
      <c r="C21" s="1743">
        <f>'数据-汇总表'!E3</f>
        <v>300432.67</v>
      </c>
      <c r="D21" s="1744" t="s">
        <v>1958</v>
      </c>
      <c r="E21" s="3228" t="s">
        <v>1996</v>
      </c>
      <c r="F21" s="3229"/>
      <c r="G21" s="3229"/>
      <c r="H21" s="3229"/>
      <c r="I21" s="3230"/>
      <c r="J21" s="1678"/>
      <c r="K21" s="1758"/>
      <c r="L21" s="1707"/>
      <c r="M21" s="1707"/>
      <c r="N21" s="1678"/>
      <c r="O21" s="1679"/>
      <c r="P21" s="1678"/>
      <c r="Q21" s="1678"/>
      <c r="R21" s="1678"/>
      <c r="S21" s="1678"/>
      <c r="T21" s="1678"/>
      <c r="U21" s="1678"/>
    </row>
    <row r="22" spans="1:21">
      <c r="A22" s="3097" t="s">
        <v>952</v>
      </c>
      <c r="B22" s="1645" t="s">
        <v>1959</v>
      </c>
      <c r="C22" s="1670">
        <f>'数据-汇总表'!D3</f>
        <v>130622.9</v>
      </c>
      <c r="D22" s="1671" t="s">
        <v>1958</v>
      </c>
      <c r="E22" s="3228" t="s">
        <v>2889</v>
      </c>
      <c r="F22" s="3229"/>
      <c r="G22" s="3229"/>
      <c r="H22" s="3229"/>
      <c r="I22" s="3230"/>
      <c r="J22" s="1678"/>
      <c r="K22" s="1758"/>
      <c r="L22" s="1707"/>
      <c r="M22" s="1707"/>
      <c r="N22" s="1678"/>
      <c r="O22" s="1679"/>
      <c r="P22" s="1678"/>
      <c r="Q22" s="1678"/>
      <c r="R22" s="1678"/>
      <c r="S22" s="1678"/>
      <c r="T22" s="1678"/>
      <c r="U22" s="1678"/>
    </row>
    <row r="23" spans="1:21" ht="45.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31" t="s">
        <v>1964</v>
      </c>
      <c r="C24" s="3232"/>
      <c r="D24" s="3233" t="s">
        <v>1965</v>
      </c>
      <c r="E24" s="3234"/>
      <c r="F24" s="1692" t="s">
        <v>1966</v>
      </c>
      <c r="G24" s="1678"/>
      <c r="H24" s="1678"/>
      <c r="I24" s="1691"/>
      <c r="J24" s="1678"/>
      <c r="K24" s="3219"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0">
      <c r="A25" s="1735"/>
      <c r="B25" s="1732" t="s">
        <v>2323</v>
      </c>
      <c r="C25" s="1693" t="s">
        <v>1968</v>
      </c>
      <c r="D25" s="1694"/>
      <c r="E25" s="1695" t="s">
        <v>952</v>
      </c>
      <c r="F25" s="1696"/>
      <c r="G25" s="1678"/>
      <c r="H25" s="1678"/>
      <c r="I25" s="1691"/>
      <c r="J25" s="1678"/>
      <c r="K25" s="321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5.5" thickBot="1">
      <c r="A26" s="1736"/>
      <c r="B26" s="1733" t="s">
        <v>1969</v>
      </c>
      <c r="C26" s="1693" t="s">
        <v>2324</v>
      </c>
      <c r="D26" s="1644"/>
      <c r="E26" s="1644"/>
      <c r="F26" s="1672"/>
      <c r="G26" s="1678"/>
      <c r="H26" s="1678"/>
      <c r="I26" s="1691"/>
      <c r="J26" s="1678"/>
      <c r="K26" s="321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5" thickTop="1">
      <c r="A31" s="3246" t="s">
        <v>1999</v>
      </c>
      <c r="B31" s="1748" t="s">
        <v>2000</v>
      </c>
      <c r="C31" s="3244" t="s">
        <v>2998</v>
      </c>
      <c r="D31" s="3245"/>
      <c r="E31" s="1678"/>
      <c r="F31" s="1678"/>
      <c r="G31" s="1678"/>
      <c r="H31" s="1678"/>
      <c r="I31" s="1691"/>
      <c r="J31" s="1678"/>
      <c r="K31" s="2422"/>
      <c r="L31" s="1678"/>
      <c r="M31" s="1678"/>
      <c r="N31" s="1678"/>
      <c r="O31" s="1678"/>
      <c r="P31" s="1678"/>
      <c r="Q31" s="1678"/>
      <c r="R31" s="1678"/>
      <c r="S31" s="1678"/>
      <c r="T31" s="1678"/>
      <c r="U31" s="1678"/>
    </row>
    <row r="32" spans="1:21">
      <c r="A32" s="3246"/>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6"/>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7"/>
      <c r="B34" s="1645" t="s">
        <v>2003</v>
      </c>
      <c r="C34" s="3248"/>
      <c r="D34" s="3249"/>
      <c r="E34" s="1678"/>
      <c r="F34" s="1678"/>
      <c r="G34" s="1678"/>
      <c r="H34" s="1678"/>
      <c r="I34" s="1691"/>
      <c r="J34" s="1678"/>
      <c r="K34" s="2422"/>
      <c r="L34" s="1678"/>
      <c r="M34" s="1678"/>
      <c r="N34" s="1678"/>
      <c r="O34" s="1678"/>
      <c r="P34" s="1678"/>
      <c r="Q34" s="1678"/>
      <c r="R34" s="1678"/>
      <c r="S34" s="1678"/>
      <c r="T34" s="1678"/>
      <c r="U34" s="1678"/>
    </row>
    <row r="35" spans="1:21">
      <c r="A35" s="3250" t="s">
        <v>847</v>
      </c>
      <c r="B35" s="1706"/>
      <c r="C35" s="1760" t="str">
        <f>IF(B35="场地平整","——","具体情况：")</f>
        <v>具体情况：</v>
      </c>
      <c r="D35" s="3252"/>
      <c r="E35" s="3253"/>
      <c r="F35" s="3253"/>
      <c r="G35" s="3253"/>
      <c r="H35" s="3253"/>
      <c r="I35" s="3254"/>
      <c r="J35" s="1678"/>
      <c r="K35" s="1759"/>
      <c r="L35" s="1707"/>
      <c r="M35" s="1707"/>
      <c r="N35" s="1678"/>
      <c r="O35" s="1679"/>
      <c r="P35" s="1678"/>
      <c r="Q35" s="1678"/>
      <c r="R35" s="1678"/>
      <c r="S35" s="1678"/>
      <c r="T35" s="1678"/>
      <c r="U35" s="1678"/>
    </row>
    <row r="36" spans="1:21">
      <c r="A36" s="3246"/>
      <c r="B36" s="3255" t="s">
        <v>2052</v>
      </c>
      <c r="C36" s="3256"/>
      <c r="D36" s="1776"/>
      <c r="E36" s="3257"/>
      <c r="F36" s="3257"/>
      <c r="G36" s="1671" t="str">
        <f>IF(B35="场地未平整","估价结果处理","")</f>
        <v/>
      </c>
      <c r="H36" s="3258"/>
      <c r="I36" s="3258"/>
      <c r="J36" s="1678"/>
      <c r="K36" s="1759"/>
      <c r="L36" s="1707"/>
      <c r="M36" s="1707"/>
      <c r="N36" s="1678"/>
      <c r="O36" s="1679"/>
      <c r="P36" s="1678"/>
      <c r="Q36" s="1678"/>
      <c r="R36" s="1678"/>
      <c r="S36" s="1678"/>
      <c r="T36" s="1678"/>
      <c r="U36" s="1678"/>
    </row>
    <row r="37" spans="1:21" ht="30">
      <c r="A37" s="3246"/>
      <c r="B37" s="323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6"/>
      <c r="B38" s="3236"/>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47"/>
      <c r="B39" s="323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2999</v>
      </c>
      <c r="C40" s="1674" t="s">
        <v>3000</v>
      </c>
      <c r="D40" s="1674" t="s">
        <v>3001</v>
      </c>
      <c r="E40" s="1674" t="s">
        <v>3002</v>
      </c>
      <c r="F40" s="1674" t="s">
        <v>3003</v>
      </c>
      <c r="G40" s="1674" t="s">
        <v>3004</v>
      </c>
      <c r="H40" s="1674" t="s">
        <v>952</v>
      </c>
      <c r="I40" s="1691"/>
      <c r="J40" s="1678"/>
      <c r="K40" s="1714">
        <f>COUNTIF(B40:H40,"——")</f>
        <v>1</v>
      </c>
      <c r="L40" s="1683" t="s">
        <v>1976</v>
      </c>
      <c r="M40" s="1680" t="s">
        <v>1977</v>
      </c>
      <c r="N40" s="1680" t="s">
        <v>1978</v>
      </c>
      <c r="O40" s="1680" t="s">
        <v>1979</v>
      </c>
      <c r="P40" s="1680" t="s">
        <v>1980</v>
      </c>
      <c r="Q40" s="1680" t="s">
        <v>1981</v>
      </c>
      <c r="R40" s="1680" t="s">
        <v>1982</v>
      </c>
      <c r="S40" s="3218" t="s">
        <v>1983</v>
      </c>
      <c r="T40" s="1715" t="str">
        <f>NUMBERSTRING(7-K40,1)&amp;"通"</f>
        <v>六通</v>
      </c>
      <c r="U40" s="1678"/>
    </row>
    <row r="41" spans="1:21">
      <c r="A41" s="1647"/>
      <c r="B41" s="3251" t="s">
        <v>1721</v>
      </c>
      <c r="C41" s="3251"/>
      <c r="D41" s="3251"/>
      <c r="E41" s="3251"/>
      <c r="F41" s="1716" t="str">
        <f>C10</f>
        <v>安徽省</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18"/>
      <c r="T41" s="1717" t="str">
        <f>IF(T40="一通",L41,IF(T40="二通",M41,IF(T40="三通",N41,IF(T40="四通",O41,IF(T40="五通",P41,IF(T40="六通",Q41,R41))))))</f>
        <v>通路、通电、通讯、通上水、通下水、燃气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5"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5" width="9.90625" style="15" customWidth="1"/>
    <col min="16" max="16" width="9.81640625" style="15" customWidth="1"/>
    <col min="17" max="17" width="9.36328125" style="15" customWidth="1"/>
    <col min="18" max="18" width="9.1796875" style="15" customWidth="1"/>
    <col min="19" max="19" width="10.90625" style="15" customWidth="1"/>
    <col min="20" max="21" width="10.81640625" style="15" customWidth="1"/>
    <col min="22" max="22" width="10.90625" style="15" customWidth="1"/>
    <col min="23" max="27" width="10.81640625" style="15" customWidth="1"/>
    <col min="28" max="28" width="10.90625" style="15" customWidth="1"/>
    <col min="29" max="29" width="11" style="15" bestFit="1" customWidth="1"/>
    <col min="30" max="30" width="10" style="15" bestFit="1" customWidth="1"/>
    <col min="31" max="31" width="9.81640625" style="15" customWidth="1"/>
    <col min="32" max="46" width="9.453125" style="15" customWidth="1"/>
    <col min="47" max="47" width="18.08984375" style="15" customWidth="1"/>
    <col min="48" max="50" width="9.8164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130622.9</v>
      </c>
      <c r="B3" s="22">
        <f>IF(C3="否",G5-AT5,G5)</f>
        <v>300432.67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300432.67</v>
      </c>
      <c r="H5" s="27">
        <f t="shared" ref="H5:AT5" si="0">SUM(H13:H641)</f>
        <v>300432.67</v>
      </c>
      <c r="I5" s="27">
        <f t="shared" si="0"/>
        <v>255367.77</v>
      </c>
      <c r="J5" s="27">
        <f t="shared" si="0"/>
        <v>0</v>
      </c>
      <c r="K5" s="27">
        <f t="shared" si="0"/>
        <v>45064.9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300432.67</v>
      </c>
      <c r="BA5" s="29">
        <f t="shared" si="1"/>
        <v>300432.67</v>
      </c>
      <c r="BB5" s="29">
        <f t="shared" si="1"/>
        <v>255367.77</v>
      </c>
      <c r="BC5" s="29">
        <f t="shared" si="1"/>
        <v>45064.9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130622.9</v>
      </c>
      <c r="F6" s="27" t="s">
        <v>1</v>
      </c>
      <c r="G6" s="27" t="s">
        <v>2</v>
      </c>
      <c r="H6" s="33">
        <f>SUMIF(I$12:AB$12,"总值",I6:AB6)</f>
        <v>130622.9</v>
      </c>
      <c r="I6" s="27">
        <f t="shared" ref="I6:AB6" si="2">ROUND($A$3*I5/$B$3,2)</f>
        <v>111029.47</v>
      </c>
      <c r="J6" s="27">
        <f t="shared" si="2"/>
        <v>0</v>
      </c>
      <c r="K6" s="27">
        <f t="shared" si="2"/>
        <v>19593.43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130622.9</v>
      </c>
      <c r="AZ6" s="27" t="s">
        <v>3</v>
      </c>
      <c r="BA6" s="27">
        <f>ROUND($AY$6*BA5/$AZ$5,2)</f>
        <v>130622.9</v>
      </c>
      <c r="BB6" s="27">
        <f>ROUND($AY$6*BB5/$AZ$5,2)</f>
        <v>111029.47</v>
      </c>
      <c r="BC6" s="27">
        <f t="shared" ref="BC6:BH6" si="4">ROUND($AY$6*BC5/$AZ$5,2)</f>
        <v>19593.43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1" t="s">
        <v>3005</v>
      </c>
      <c r="J9" s="51"/>
      <c r="K9" s="2971" t="s">
        <v>3005</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71" t="s">
        <v>923</v>
      </c>
      <c r="J10" s="51"/>
      <c r="K10" s="2973" t="s">
        <v>3006</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6"/>
      <c r="B13" s="2966"/>
      <c r="C13" s="2966"/>
      <c r="D13" s="2967" t="s">
        <v>1678</v>
      </c>
      <c r="E13" s="27">
        <f t="shared" ref="E13:E20" si="6">IF($C$3="是",ROUND($A$3*G13/$B$3,2),ROUND($A$3*(G13-AT13)/$B$3,2))</f>
        <v>130622.9</v>
      </c>
      <c r="F13" s="81"/>
      <c r="G13" s="82">
        <f t="shared" ref="G13:G20" si="7">H13+AC13+AT13</f>
        <v>300432.67</v>
      </c>
      <c r="H13" s="33">
        <f t="shared" ref="H13:H20" si="8">SUMIF(I$12:AB$12,"总值",I13:AB13)</f>
        <v>300432.67</v>
      </c>
      <c r="I13" s="2970">
        <f>ROUND(A3*2.3-K13,2)</f>
        <v>255367.77</v>
      </c>
      <c r="J13" s="2970"/>
      <c r="K13" s="2970">
        <f>ROUND(A3*2.3*15%,2)</f>
        <v>45064.9</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130622.9</v>
      </c>
      <c r="AZ13" s="27">
        <f t="shared" ref="AZ13:AZ20" si="12">BA13+BL13</f>
        <v>300432.67</v>
      </c>
      <c r="BA13" s="27">
        <f t="shared" ref="BA13:BA20" si="13">SUM(BB13:BK13)</f>
        <v>300432.67</v>
      </c>
      <c r="BB13" s="27">
        <f t="shared" ref="BB13:BB20" si="14">IF($D13="是",I13-J13,0)</f>
        <v>255367.77</v>
      </c>
      <c r="BC13" s="27">
        <f t="shared" ref="BC13:BC20" si="15">IF($D13="是",K13-L13,0)</f>
        <v>45064.9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81640625" style="2" customWidth="1"/>
    <col min="4" max="7" width="9.453125" style="2" bestFit="1" customWidth="1"/>
    <col min="8" max="13" width="9.08984375" style="2" bestFit="1" customWidth="1"/>
    <col min="14" max="16384" width="9" style="2"/>
  </cols>
  <sheetData>
    <row r="1" spans="1:13" ht="1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45">
      <c r="A3" s="3259"/>
      <c r="B3" s="3259"/>
      <c r="C3" s="3259"/>
      <c r="D3" s="3260"/>
      <c r="E3" s="3260"/>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H9" sqref="H9"/>
    </sheetView>
  </sheetViews>
  <sheetFormatPr defaultColWidth="9.1796875" defaultRowHeight="14"/>
  <cols>
    <col min="1" max="1" width="8.1796875" style="1970" customWidth="1"/>
    <col min="2" max="2" width="10.1796875" style="1970" customWidth="1"/>
    <col min="3" max="3" width="18.453125" style="1970" customWidth="1"/>
    <col min="4" max="4" width="11.08984375" style="1970" customWidth="1"/>
    <col min="5" max="5" width="13.36328125" style="1970" customWidth="1"/>
    <col min="6" max="8" width="11.453125" style="1970" customWidth="1"/>
    <col min="9" max="9" width="10.36328125" style="1970" customWidth="1"/>
    <col min="10" max="10" width="3.08984375" style="1970" customWidth="1"/>
    <col min="11" max="16" width="11.6328125" style="1970" customWidth="1"/>
    <col min="17" max="17" width="3.36328125" style="1970" customWidth="1"/>
    <col min="18" max="16384" width="9.1796875" style="1970"/>
  </cols>
  <sheetData>
    <row r="1" spans="1:16" ht="18">
      <c r="A1" s="104" t="s">
        <v>202</v>
      </c>
      <c r="B1" s="1969"/>
      <c r="C1" s="1969"/>
      <c r="D1" s="1969"/>
      <c r="E1" s="1969"/>
      <c r="F1" s="1969"/>
      <c r="G1" s="1969"/>
      <c r="H1" s="1969"/>
      <c r="I1" s="1969"/>
      <c r="J1" s="1969"/>
      <c r="K1" s="1969"/>
      <c r="L1" s="1969"/>
    </row>
    <row r="2" spans="1:16">
      <c r="A2" s="3270" t="s">
        <v>203</v>
      </c>
      <c r="B2" s="3270"/>
      <c r="C2" s="3270"/>
      <c r="D2" s="1960" t="s">
        <v>204</v>
      </c>
      <c r="E2" s="106" t="s">
        <v>205</v>
      </c>
      <c r="F2" s="1969"/>
      <c r="G2" s="1194"/>
      <c r="H2" s="1195"/>
      <c r="I2" s="1196" t="s">
        <v>857</v>
      </c>
      <c r="J2" s="1969"/>
      <c r="K2" s="1969"/>
      <c r="L2" s="1969"/>
    </row>
    <row r="3" spans="1:16" ht="14.5" thickBot="1">
      <c r="A3" s="3271" t="s">
        <v>206</v>
      </c>
      <c r="B3" s="3271"/>
      <c r="C3" s="3271"/>
      <c r="D3" s="107">
        <f>'数据-基础表'!AY6</f>
        <v>130622.9</v>
      </c>
      <c r="E3" s="107">
        <f>'数据-基础表'!AZ5</f>
        <v>300432.67</v>
      </c>
      <c r="F3" s="1969"/>
      <c r="G3" s="280" t="s">
        <v>858</v>
      </c>
      <c r="H3" s="275" t="s">
        <v>859</v>
      </c>
      <c r="I3" s="1961">
        <f>ROUND('数据-基础表'!B3/'数据-基础表'!A3,2)</f>
        <v>2.2999999999999998</v>
      </c>
      <c r="J3" s="1969"/>
      <c r="K3" s="1969"/>
      <c r="L3" s="1969"/>
    </row>
    <row r="4" spans="1:16">
      <c r="A4" s="3272"/>
      <c r="B4" s="3273"/>
      <c r="C4" s="3274"/>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75" t="s">
        <v>230</v>
      </c>
      <c r="C5" s="3275"/>
      <c r="D5" s="111">
        <f>ROUND($D$3*E5/$E$3,2)</f>
        <v>111029.47</v>
      </c>
      <c r="E5" s="112">
        <f>SUMIF('数据-基础表'!$11:$11,"住宅",'数据-基础表'!$5:$5)</f>
        <v>255367.77</v>
      </c>
      <c r="F5" s="1969"/>
      <c r="G5" s="280" t="s">
        <v>861</v>
      </c>
      <c r="H5" s="275" t="s">
        <v>859</v>
      </c>
      <c r="I5" s="1961">
        <f>ROUND(E31/D31,2)</f>
        <v>2.2999999999999998</v>
      </c>
      <c r="J5" s="1969"/>
      <c r="K5" s="1969"/>
      <c r="L5" s="1969"/>
    </row>
    <row r="6" spans="1:16" ht="14.5" thickBot="1">
      <c r="A6" s="113"/>
      <c r="B6" s="3275" t="s">
        <v>208</v>
      </c>
      <c r="C6" s="3275"/>
      <c r="D6" s="111">
        <f>ROUND($D$3*E6/$E$3,2)</f>
        <v>19593.43</v>
      </c>
      <c r="E6" s="112">
        <f>E3-E5</f>
        <v>45064.899999999994</v>
      </c>
      <c r="F6" s="1969"/>
      <c r="G6" s="1197"/>
      <c r="H6" s="275" t="s">
        <v>860</v>
      </c>
      <c r="I6" s="1961">
        <f>ROUND(F31/D31,2)</f>
        <v>2.2999999999999998</v>
      </c>
      <c r="J6" s="1969"/>
      <c r="K6" s="1969"/>
      <c r="L6" s="1969"/>
    </row>
    <row r="7" spans="1:16">
      <c r="A7" s="3267"/>
      <c r="B7" s="3268"/>
      <c r="C7" s="3269"/>
      <c r="D7" s="108" t="s">
        <v>204</v>
      </c>
      <c r="E7" s="114" t="s">
        <v>231</v>
      </c>
      <c r="F7" s="1969"/>
      <c r="G7" s="1152" t="s">
        <v>1645</v>
      </c>
      <c r="H7" s="1153"/>
      <c r="I7" s="1831"/>
      <c r="J7" s="1969"/>
      <c r="K7" s="1969"/>
      <c r="L7" s="1969"/>
    </row>
    <row r="8" spans="1:16">
      <c r="A8" s="110" t="s">
        <v>209</v>
      </c>
      <c r="B8" s="115" t="s">
        <v>210</v>
      </c>
      <c r="C8" s="111" t="s">
        <v>211</v>
      </c>
      <c r="D8" s="111">
        <f t="shared" ref="D8:D15" si="0">ROUND($D$3*E8/$E$3,2)</f>
        <v>130622.9</v>
      </c>
      <c r="E8" s="116">
        <f>SUMIF('数据-基础表'!BB10:BK10,"地上",'数据-基础表'!BB5:BK5)</f>
        <v>300432.67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4.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4.5" thickBot="1">
      <c r="A16" s="113"/>
      <c r="B16" s="118"/>
      <c r="C16" s="115" t="s">
        <v>215</v>
      </c>
      <c r="D16" s="115">
        <f>SUM(D8:D15)</f>
        <v>130622.9</v>
      </c>
      <c r="E16" s="120">
        <f>SUM(E8:E15)</f>
        <v>300432.67</v>
      </c>
      <c r="F16" s="1969"/>
      <c r="G16" s="1971"/>
      <c r="H16" s="968" t="s">
        <v>219</v>
      </c>
      <c r="I16" s="969"/>
      <c r="J16" s="1969"/>
      <c r="K16" s="3261" t="s">
        <v>2564</v>
      </c>
      <c r="L16" s="3262"/>
      <c r="M16" s="3262"/>
      <c r="N16" s="3262"/>
      <c r="O16" s="3262"/>
      <c r="P16" s="3263"/>
    </row>
    <row r="17" spans="1:19">
      <c r="A17" s="121" t="s">
        <v>216</v>
      </c>
      <c r="B17" s="122" t="s">
        <v>217</v>
      </c>
      <c r="C17" s="2283" t="s">
        <v>2311</v>
      </c>
      <c r="D17" s="108" t="s">
        <v>204</v>
      </c>
      <c r="E17" s="124" t="s">
        <v>205</v>
      </c>
      <c r="F17" s="125"/>
      <c r="G17" s="1362"/>
      <c r="H17" s="970" t="s">
        <v>218</v>
      </c>
      <c r="I17" s="971" t="s">
        <v>2310</v>
      </c>
      <c r="J17" s="1969"/>
      <c r="K17" s="3264" t="s">
        <v>2565</v>
      </c>
      <c r="L17" s="3265"/>
      <c r="M17" s="3266"/>
      <c r="N17" s="3264" t="s">
        <v>2566</v>
      </c>
      <c r="O17" s="3265"/>
      <c r="P17" s="3266"/>
      <c r="R17" s="2284" t="s">
        <v>2309</v>
      </c>
      <c r="S17" s="144"/>
    </row>
    <row r="18" spans="1:19">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3007</v>
      </c>
      <c r="D19" s="111">
        <f t="shared" ref="D19:D26" si="1">ROUND($D$3*E19/$E$3,2)</f>
        <v>111029.47</v>
      </c>
      <c r="E19" s="134">
        <f t="shared" ref="E19:E26" si="2">SUM(F19:G19)</f>
        <v>255367.77</v>
      </c>
      <c r="F19" s="135">
        <f>'数据-基础表'!I5</f>
        <v>255367.77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111029.47</v>
      </c>
      <c r="S19" s="2286">
        <f t="shared" si="5"/>
        <v>255367.77</v>
      </c>
    </row>
    <row r="20" spans="1:19">
      <c r="A20" s="138"/>
      <c r="B20" s="115" t="s">
        <v>226</v>
      </c>
      <c r="C20" s="2977" t="s">
        <v>3008</v>
      </c>
      <c r="D20" s="111">
        <f t="shared" si="1"/>
        <v>19593.43</v>
      </c>
      <c r="E20" s="134">
        <f t="shared" si="2"/>
        <v>45064.9</v>
      </c>
      <c r="F20" s="135">
        <f>'数据-基础表'!K5</f>
        <v>45064.9</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19593.43</v>
      </c>
      <c r="S20" s="2286">
        <f t="shared" si="5"/>
        <v>45064.9</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4.5" thickBot="1">
      <c r="A27" s="138"/>
      <c r="B27" s="111"/>
      <c r="C27" s="127" t="s">
        <v>215</v>
      </c>
      <c r="D27" s="134">
        <f>SUM(D19:D26)</f>
        <v>130622.9</v>
      </c>
      <c r="E27" s="143">
        <f>IF(SUM(E19:E26)='数据-基础表'!BA5,SUM(E19:E26),IF(F27="地上面积有误","面积有误","地下面积有误"))</f>
        <v>300432.67</v>
      </c>
      <c r="F27" s="134">
        <f>IF(SUM(F19:F26)=E8,SUM(F19:F26),"地上面积有误")</f>
        <v>300432.67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130622.9</v>
      </c>
      <c r="S27" s="275">
        <f>IF(SUM(S19:S26)=$E$3,SUM(S19:S26),SUM(S19:S26)&amp;"误差"&amp;ROUND(SUM(S19:S26)-E3,2))</f>
        <v>300432.67</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130622.9</v>
      </c>
      <c r="E31" s="1368">
        <f>E27+E30</f>
        <v>300432.67</v>
      </c>
      <c r="F31" s="1369">
        <f>F27+F30</f>
        <v>300432.67</v>
      </c>
      <c r="G31" s="1370">
        <f>G27+G30</f>
        <v>0</v>
      </c>
      <c r="H31" s="1969"/>
      <c r="I31" s="1969"/>
      <c r="J31" s="1969"/>
      <c r="K31" s="1969"/>
      <c r="L31" s="1969"/>
    </row>
    <row r="32" spans="1:19">
      <c r="A32" s="1969"/>
      <c r="B32" s="2327" t="s">
        <v>2319</v>
      </c>
      <c r="C32" s="2611"/>
      <c r="D32" s="1197"/>
      <c r="E32" s="1197">
        <f>SUMIF(C19:C26,"*住宅*",E19:E26)</f>
        <v>255367.77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81640625" defaultRowHeight="12.5"/>
  <cols>
    <col min="1" max="1" width="20.90625" style="1212" customWidth="1"/>
    <col min="2" max="3" width="12" style="1199" customWidth="1"/>
    <col min="4" max="4" width="9.08984375" style="1213" customWidth="1"/>
    <col min="5" max="5" width="15" style="1199" bestFit="1" customWidth="1"/>
    <col min="6" max="10" width="8.90625" style="1199" customWidth="1"/>
    <col min="11" max="12" width="12.36328125" style="1214" customWidth="1"/>
    <col min="13" max="13" width="8.6328125" style="1199" customWidth="1"/>
    <col min="14" max="14" width="9.81640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81640625" style="1199" customWidth="1"/>
    <col min="25" max="25" width="8.08984375" style="1199" customWidth="1"/>
    <col min="26" max="30" width="6.81640625" style="1199" customWidth="1"/>
    <col min="31" max="31" width="6.453125" style="1199" customWidth="1"/>
    <col min="32" max="34" width="7.1796875" style="1199" customWidth="1"/>
    <col min="35" max="39" width="8" style="1199" customWidth="1"/>
    <col min="40" max="41" width="13.81640625" style="1983"/>
    <col min="42" max="42" width="0" style="1983" hidden="1" customWidth="1"/>
    <col min="43" max="83" width="13.81640625" style="1983"/>
    <col min="84" max="16384" width="13.8164062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43875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6">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住宅</v>
      </c>
      <c r="B6" s="2322" t="str">
        <f>IF(A6=0,"","经营性")</f>
        <v>经营性</v>
      </c>
      <c r="C6" s="173" t="s">
        <v>923</v>
      </c>
      <c r="D6" s="2293">
        <f>SUMIF(项目基本情况!D$15:I$15,C6,项目基本情况!D$18:I$18)</f>
        <v>70</v>
      </c>
      <c r="E6" s="2294">
        <f>IF(B6="","",SUMIF(项目基本情况!D$15:I$15,C6,项目基本情况!D$17:I$17))</f>
        <v>69385</v>
      </c>
      <c r="F6" s="174">
        <f>SUMIF(项目基本情况!D$15:I$15,C6,项目基本情况!D$19:I$19)</f>
        <v>69.89</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255367.77</v>
      </c>
      <c r="L6" s="2979">
        <v>3200</v>
      </c>
      <c r="M6" s="177">
        <f t="shared" ref="M6:M14" si="0">ROUND(K6*L6/10000,0)</f>
        <v>81718</v>
      </c>
      <c r="N6" s="2980">
        <v>0</v>
      </c>
      <c r="O6" s="177">
        <f>IF($N$5="成新度","——",ROUND(M6*N6,0))</f>
        <v>0</v>
      </c>
      <c r="P6" s="178">
        <f>IF($N$5="成新度","——",M6-O6)</f>
        <v>81718</v>
      </c>
      <c r="Q6" s="2981">
        <v>0.1</v>
      </c>
      <c r="R6" s="179">
        <f>SUMIF('数据-汇总表'!C$19:C$33,A6,'数据-汇总表'!R$19:R$33)</f>
        <v>111029.47</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c r="A7" s="2287" t="str">
        <f>'数据-汇总表'!C20</f>
        <v>商业</v>
      </c>
      <c r="B7" s="2322" t="str">
        <f t="shared" ref="B7:B13" si="1">IF(A7=0,"","经营性")</f>
        <v>经营性</v>
      </c>
      <c r="C7" s="173" t="s">
        <v>3006</v>
      </c>
      <c r="D7" s="2293">
        <f>SUMIF(项目基本情况!D$15:I$15,C7,项目基本情况!D$18:I$18)</f>
        <v>40</v>
      </c>
      <c r="E7" s="2294">
        <f>IF(B7="","",SUMIF(项目基本情况!D$15:I$15,C7,项目基本情况!D$17:I$17))</f>
        <v>58427</v>
      </c>
      <c r="F7" s="174">
        <f>SUMIF(项目基本情况!D$15:I$15,C7,项目基本情况!D$19:I$19)</f>
        <v>39.86</v>
      </c>
      <c r="G7" s="175">
        <f t="shared" ref="G7:G11" si="2">IF(ISERROR(ROUND(POWER(1+H7,D7-F7)*(POWER(1+H7,F7)-1)/(POWER(1+H7,D7)-1),3)),0,ROUND(POWER(1+H7,D7-F7)*(POWER(1+H7,F7)-1)/(POWER(1+H7,D7)-1),3))</f>
        <v>0.999</v>
      </c>
      <c r="H7" s="2978">
        <v>0.05</v>
      </c>
      <c r="I7" s="2978">
        <v>5.5E-2</v>
      </c>
      <c r="J7" s="176">
        <v>8.5000000000000006E-2</v>
      </c>
      <c r="K7" s="179">
        <f>SUMIF('数据-汇总表'!C$19:C$33,'数据-取费表'!A7,'数据-汇总表'!E$19:E$33)</f>
        <v>45064.9</v>
      </c>
      <c r="L7" s="2979">
        <f>L6</f>
        <v>3200</v>
      </c>
      <c r="M7" s="177">
        <f t="shared" si="0"/>
        <v>14421</v>
      </c>
      <c r="N7" s="2980">
        <f>N6</f>
        <v>0</v>
      </c>
      <c r="O7" s="177">
        <f t="shared" ref="O7:O14" si="3">IF($N$5="成新度","——",ROUND(M7*N7,0))</f>
        <v>0</v>
      </c>
      <c r="P7" s="178">
        <f t="shared" ref="P7:P14" si="4">IF($N$5="成新度","——",M7-O7)</f>
        <v>14421</v>
      </c>
      <c r="Q7" s="2981">
        <v>0.2</v>
      </c>
      <c r="R7" s="179">
        <f>SUMIF('数据-汇总表'!C$19:C$33,A7,'数据-汇总表'!R$19:R$33)</f>
        <v>19593.43</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2.5</v>
      </c>
      <c r="V7" s="181">
        <v>2.5000000000000001E-2</v>
      </c>
      <c r="W7" s="181">
        <v>0.15</v>
      </c>
      <c r="X7" s="2306"/>
      <c r="Y7" s="182">
        <v>1</v>
      </c>
      <c r="Z7" s="183"/>
      <c r="AA7" s="176"/>
      <c r="AB7" s="176"/>
      <c r="AC7" s="2309"/>
      <c r="AD7" s="184"/>
      <c r="AE7" s="972">
        <f t="shared" ref="AE7:AE13" ca="1" si="6">IF(AN7="",0,SUMIF(INDIRECT("'"&amp;AN7&amp;"'"&amp;"!E:E"),$AE$5,INDIRECT("'"&amp;AN7&amp;"'"&amp;"!F:F")))</f>
        <v>36.86</v>
      </c>
      <c r="AF7" s="141"/>
      <c r="AG7" s="1209">
        <f t="shared" ref="AG7:AG13" si="7">IF(AF7="",0,AE7-AF7)</f>
        <v>0</v>
      </c>
      <c r="AH7" s="141"/>
      <c r="AI7" s="187">
        <v>365</v>
      </c>
      <c r="AJ7" s="188"/>
      <c r="AK7" s="189">
        <v>0.01</v>
      </c>
      <c r="AL7" s="190">
        <v>1.5E-3</v>
      </c>
      <c r="AM7" s="2354">
        <v>0.01</v>
      </c>
      <c r="AN7" s="2356" t="s">
        <v>3077</v>
      </c>
      <c r="AO7" s="1985"/>
      <c r="AP7" s="1200">
        <f t="shared" ref="AP7:AP13" si="8">ROUND(1-1/(1+H7)^F7,3)</f>
        <v>0.85699999999999998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4.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300432.67</v>
      </c>
      <c r="L16" s="206">
        <f>ROUND(M16*10000/SUM(K6:K14),0)</f>
        <v>3200</v>
      </c>
      <c r="M16" s="206">
        <f>SUM(M6:M14)</f>
        <v>96139</v>
      </c>
      <c r="N16" s="207">
        <f>ROUND(SUMPRODUCT(M6:M14,N6:N14)/M16,3)</f>
        <v>0</v>
      </c>
      <c r="O16" s="206">
        <f>SUM(O6:O14)</f>
        <v>0</v>
      </c>
      <c r="P16" s="206">
        <f>SUM(P6:P14)</f>
        <v>96139</v>
      </c>
      <c r="Q16" s="208">
        <f>ROUND(SUMPRODUCT(Q6:Q13,K6:K13)/SUMPRODUCT((Q6:Q13&gt;0)*(K6:K13)),2)</f>
        <v>0.11</v>
      </c>
      <c r="R16" s="2296">
        <f>SUM(R6:R13)</f>
        <v>130622.9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0.93899999999999995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4.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4.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4.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5">
      <c r="A27" s="226" t="s">
        <v>2336</v>
      </c>
      <c r="B27" s="227">
        <v>50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5">
      <c r="A28" s="228" t="s">
        <v>2337</v>
      </c>
      <c r="B28" s="229">
        <v>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8.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
      <c r="A34" s="228" t="s">
        <v>279</v>
      </c>
      <c r="B34" s="233">
        <v>0.03</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4.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4.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4.5" thickBot="1">
      <c r="A47" s="243" t="s">
        <v>288</v>
      </c>
      <c r="B47" s="244">
        <v>0</v>
      </c>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4.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
      <c r="A52" s="247" t="s">
        <v>293</v>
      </c>
      <c r="B52" s="250">
        <f>SUMIF(A54:A63,B53,B54:B63)</f>
        <v>12</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
      <c r="A53" s="228" t="s">
        <v>294</v>
      </c>
      <c r="B53" s="251" t="s">
        <v>1096</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
      <c r="A54" s="3031" t="s">
        <v>2904</v>
      </c>
      <c r="B54" s="186">
        <v>12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
      <c r="A55" s="3031" t="s">
        <v>2905</v>
      </c>
      <c r="B55" s="186">
        <v>10</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
      <c r="A56" s="3031" t="s">
        <v>2906</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
      <c r="A57" s="3031" t="s">
        <v>2907</v>
      </c>
      <c r="B57" s="186">
        <v>6</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4.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3" customWidth="1"/>
    <col min="2" max="2" width="24.453125" style="2008" customWidth="1"/>
    <col min="3" max="3" width="24.453125" style="2010" customWidth="1"/>
    <col min="4" max="4" width="2.6328125" style="2010" customWidth="1"/>
    <col min="5" max="5" width="5.90625" style="2010" customWidth="1"/>
    <col min="6" max="6" width="27" style="2008" customWidth="1"/>
    <col min="7" max="7" width="27" style="2009" customWidth="1"/>
    <col min="8" max="8" width="11.90625" style="2008" customWidth="1"/>
    <col min="9" max="9" width="16.81640625" style="2009" customWidth="1"/>
    <col min="10" max="10" width="2.6328125" style="2010" customWidth="1"/>
    <col min="11" max="11" width="11.90625" style="2008" customWidth="1"/>
    <col min="12" max="12" width="16.81640625" style="2009" customWidth="1"/>
    <col min="13" max="13" width="2.6328125" style="2010" customWidth="1"/>
    <col min="14" max="14" width="11.90625" style="2008" customWidth="1"/>
    <col min="15" max="15" width="16.81640625" style="2009" customWidth="1"/>
    <col min="16" max="16" width="2.6328125" style="2010" customWidth="1"/>
    <col min="17" max="17" width="11.90625" style="2008" customWidth="1"/>
    <col min="18" max="18" width="16.81640625" style="2011" customWidth="1"/>
    <col min="19" max="16384" width="9" style="1993"/>
  </cols>
  <sheetData>
    <row r="1" spans="1:18" s="1992" customFormat="1" ht="18" thickBot="1">
      <c r="A1" s="3276" t="s">
        <v>1663</v>
      </c>
      <c r="B1" s="3277"/>
      <c r="C1" s="3277"/>
      <c r="D1" s="3277"/>
      <c r="E1" s="3277"/>
      <c r="F1" s="3277"/>
      <c r="G1" s="3277"/>
      <c r="H1" s="1987"/>
      <c r="I1" s="1988"/>
      <c r="J1" s="1989"/>
      <c r="K1" s="1987"/>
      <c r="L1" s="1988"/>
      <c r="M1" s="1989"/>
      <c r="N1" s="1987"/>
      <c r="O1" s="1988"/>
      <c r="P1" s="1989"/>
      <c r="Q1" s="1990"/>
      <c r="R1" s="1991"/>
    </row>
    <row r="2" spans="1:18" ht="14.5" thickBot="1">
      <c r="A2" s="1217"/>
      <c r="B2" s="1218"/>
      <c r="C2" s="1219" t="s">
        <v>1664</v>
      </c>
      <c r="D2" s="1220"/>
      <c r="E2" s="1221"/>
      <c r="F2" s="1222"/>
      <c r="G2" s="1219" t="s">
        <v>1665</v>
      </c>
      <c r="H2" s="1993"/>
      <c r="I2" s="1993"/>
      <c r="J2" s="1993"/>
      <c r="K2" s="1993"/>
      <c r="L2" s="1993"/>
      <c r="M2" s="1993"/>
      <c r="N2" s="1993"/>
      <c r="O2" s="1993"/>
      <c r="P2" s="1993"/>
      <c r="Q2" s="1993"/>
      <c r="R2" s="1993"/>
    </row>
    <row r="3" spans="1:18" ht="56">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6">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8">
      <c r="A8" s="1225"/>
      <c r="B8" s="1227" t="s">
        <v>2545</v>
      </c>
      <c r="C8" s="3035" t="s">
        <v>2914</v>
      </c>
      <c r="D8" s="1995"/>
      <c r="E8" s="1995"/>
      <c r="F8" s="1540"/>
      <c r="G8" s="1540"/>
      <c r="H8" s="1993"/>
      <c r="I8" s="1993"/>
      <c r="J8" s="1993"/>
      <c r="K8" s="1993"/>
      <c r="L8" s="1993"/>
      <c r="M8" s="1993"/>
      <c r="N8" s="1993"/>
      <c r="O8" s="1993"/>
      <c r="P8" s="1993"/>
      <c r="Q8" s="1993"/>
      <c r="R8" s="1993"/>
    </row>
    <row r="9" spans="1:18" ht="42">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4.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5">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4.5" thickBot="1">
      <c r="A14" s="1234"/>
      <c r="B14" s="1235"/>
      <c r="C14" s="1236" t="s">
        <v>1664</v>
      </c>
      <c r="D14" s="1994"/>
      <c r="E14" s="1237"/>
      <c r="F14" s="1237"/>
      <c r="G14" s="1219" t="s">
        <v>1665</v>
      </c>
    </row>
    <row r="15" spans="1:18" ht="5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2">
      <c r="A17" s="2553"/>
      <c r="B17" s="1241" t="s">
        <v>1669</v>
      </c>
      <c r="C17" s="1242" t="str">
        <f>C5</f>
        <v>估价对象位于XX商圈，周边办公楼项目较多，入驻率高，办公集聚程度较好</v>
      </c>
      <c r="D17" s="1995"/>
      <c r="E17" s="2550"/>
      <c r="F17" s="1243" t="s">
        <v>1674</v>
      </c>
      <c r="G17" s="2750"/>
    </row>
    <row r="18" spans="1:7" ht="5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
      <c r="A19" s="2553"/>
      <c r="B19" s="1243" t="s">
        <v>1659</v>
      </c>
      <c r="C19" s="2750"/>
      <c r="D19" s="1994"/>
      <c r="E19" s="2550"/>
      <c r="F19" s="1227" t="s">
        <v>2544</v>
      </c>
      <c r="G19" s="1005" t="str">
        <f>G5</f>
        <v>估价对象所在区域公共配套设施齐备情况</v>
      </c>
    </row>
    <row r="20" spans="1:7" ht="42">
      <c r="A20" s="2553"/>
      <c r="B20" s="1243" t="s">
        <v>1660</v>
      </c>
      <c r="C20" s="1242" t="str">
        <f>C9</f>
        <v>区域自然环境：；人文环境；综合评价环境状况一般</v>
      </c>
      <c r="D20" s="1995"/>
      <c r="E20" s="2550"/>
      <c r="F20" s="1227" t="s">
        <v>2545</v>
      </c>
      <c r="G20" s="1005" t="str">
        <f>G6</f>
        <v>估价对象所在区域基础设施水平</v>
      </c>
    </row>
    <row r="21" spans="1:7" ht="28">
      <c r="A21" s="2553"/>
      <c r="B21" s="1227" t="s">
        <v>2544</v>
      </c>
      <c r="C21" s="1005" t="str">
        <f>C7</f>
        <v>估价对象所在区域公共配套设施齐备情况</v>
      </c>
      <c r="D21" s="1994"/>
      <c r="E21" s="2550"/>
      <c r="F21" s="1243" t="s">
        <v>1661</v>
      </c>
      <c r="G21" s="3039"/>
    </row>
    <row r="22" spans="1:7" ht="28">
      <c r="A22" s="2553"/>
      <c r="B22" s="1227" t="s">
        <v>2545</v>
      </c>
      <c r="C22" s="1005" t="str">
        <f>C8</f>
        <v>估价对象所在区域基础设施水平</v>
      </c>
      <c r="D22" s="1994"/>
      <c r="E22" s="2550"/>
      <c r="F22" s="1243" t="s">
        <v>1671</v>
      </c>
      <c r="G22" s="2750"/>
    </row>
    <row r="23" spans="1:7" ht="14.5" thickBot="1">
      <c r="A23" s="2553"/>
      <c r="B23" s="1243" t="s">
        <v>1661</v>
      </c>
      <c r="C23" s="3039"/>
      <c r="E23" s="2551"/>
      <c r="F23" s="1244" t="s">
        <v>1675</v>
      </c>
      <c r="G23" s="3040"/>
    </row>
    <row r="24" spans="1:7" ht="14.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328125" defaultRowHeight="14"/>
  <cols>
    <col min="1" max="1" width="24.36328125" customWidth="1"/>
  </cols>
  <sheetData>
    <row r="1" spans="1:9" ht="16.5">
      <c r="A1" s="2997" t="s">
        <v>2841</v>
      </c>
      <c r="B1" s="2997">
        <f>SUM(B14:B23)</f>
        <v>300432.67</v>
      </c>
      <c r="C1" s="2998"/>
      <c r="D1" s="2998"/>
      <c r="E1" s="2998"/>
      <c r="F1" s="2998"/>
    </row>
    <row r="2" spans="1:9" ht="16.5">
      <c r="A2" s="2997" t="s">
        <v>2842</v>
      </c>
      <c r="B2" s="2997">
        <f>SUM(C14:C23)</f>
        <v>130622.9</v>
      </c>
      <c r="C2" s="2998"/>
      <c r="D2" s="2998"/>
      <c r="E2" s="2998"/>
      <c r="F2" s="2998"/>
    </row>
    <row r="3" spans="1:9" ht="16.5">
      <c r="A3" s="2997" t="s">
        <v>2843</v>
      </c>
      <c r="B3" s="2999">
        <f>项目基本情况!D3</f>
        <v>43875</v>
      </c>
      <c r="C3" s="2998"/>
      <c r="D3" s="2998"/>
      <c r="E3" s="2998"/>
      <c r="F3" s="2998"/>
    </row>
    <row r="4" spans="1:9" ht="33">
      <c r="A4" s="2997" t="s">
        <v>2844</v>
      </c>
      <c r="B4" s="2997" t="s">
        <v>2845</v>
      </c>
      <c r="C4" s="2997" t="s">
        <v>2846</v>
      </c>
      <c r="D4" s="2997" t="s">
        <v>2847</v>
      </c>
      <c r="E4" s="2998"/>
      <c r="F4" s="2998"/>
    </row>
    <row r="5" spans="1:9" ht="16.5">
      <c r="A5" s="2997" t="s">
        <v>2848</v>
      </c>
      <c r="B5" s="2997">
        <f ca="1">SUM(D14:D23)</f>
        <v>65001</v>
      </c>
      <c r="C5" s="2997">
        <f ca="1">ROUND(B5*10000/$B$1,0)</f>
        <v>2164</v>
      </c>
      <c r="D5" s="2997">
        <f ca="1">ROUND(B5*10000/$B$2,0)</f>
        <v>4976</v>
      </c>
      <c r="E5" s="2998"/>
      <c r="F5" s="2998"/>
    </row>
    <row r="6" spans="1:9" ht="16.5">
      <c r="A6" s="2997" t="s">
        <v>2849</v>
      </c>
      <c r="B6" s="2997">
        <f ca="1">SUM(G14:G23)</f>
        <v>34626</v>
      </c>
      <c r="C6" s="2997">
        <f t="shared" ref="C6:C8" ca="1" si="0">ROUND(B6*10000/$B$1,0)</f>
        <v>1153</v>
      </c>
      <c r="D6" s="2997">
        <f t="shared" ref="D6:D8" ca="1" si="1">ROUND(B6*10000/$B$2,0)</f>
        <v>2651</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300432.67</v>
      </c>
      <c r="C14" s="3001">
        <f>结果表!K38</f>
        <v>130622.9</v>
      </c>
      <c r="D14" s="3001">
        <f ca="1">结果表!C42</f>
        <v>65001</v>
      </c>
      <c r="E14" s="3001">
        <f ca="1">ROUND(D14*10000/B14,0)</f>
        <v>2164</v>
      </c>
      <c r="F14" s="3001">
        <f ca="1">ROUND(D14*10000/C14,0)</f>
        <v>4976</v>
      </c>
      <c r="G14" s="3001">
        <f ca="1">结果表!C44</f>
        <v>34626</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H28" sqref="H28"/>
    </sheetView>
  </sheetViews>
  <sheetFormatPr defaultColWidth="12.6328125" defaultRowHeight="21.75" customHeight="1"/>
  <cols>
    <col min="1" max="2" width="12.81640625" style="1246" bestFit="1" customWidth="1"/>
    <col min="3" max="4" width="12.6328125" style="1246" customWidth="1"/>
    <col min="5" max="9" width="12.81640625" style="1246" bestFit="1" customWidth="1"/>
    <col min="10" max="10" width="2.1796875" style="257" customWidth="1"/>
    <col min="11" max="12" width="12.6328125" style="257" customWidth="1"/>
    <col min="13" max="13" width="12.6328125" style="257"/>
    <col min="14" max="14" width="15.6328125" style="257" bestFit="1" customWidth="1"/>
    <col min="15" max="19" width="12.81640625" style="257" bestFit="1" customWidth="1"/>
    <col min="20" max="26" width="12.6328125" style="257"/>
    <col min="27" max="16384" width="12.6328125" style="1246"/>
  </cols>
  <sheetData>
    <row r="1" spans="1:22" ht="21.75" customHeight="1" thickBot="1">
      <c r="A1" s="1761" t="s">
        <v>2053</v>
      </c>
      <c r="B1" s="1762"/>
      <c r="C1" s="1790" t="s">
        <v>2054</v>
      </c>
      <c r="D1" s="1791" t="s">
        <v>3011</v>
      </c>
      <c r="E1" s="1790" t="s">
        <v>2055</v>
      </c>
      <c r="F1" s="1792" t="s">
        <v>3012</v>
      </c>
      <c r="G1" s="311"/>
      <c r="H1" s="311"/>
      <c r="I1" s="311"/>
      <c r="J1" s="2014"/>
      <c r="K1" s="2014"/>
      <c r="L1" s="2014"/>
      <c r="M1" s="2014"/>
      <c r="N1" s="2014"/>
      <c r="O1" s="2014"/>
      <c r="P1" s="2014"/>
      <c r="Q1" s="2014"/>
      <c r="R1" s="2014"/>
      <c r="S1" s="2014"/>
      <c r="T1" s="2014"/>
      <c r="U1" s="2014"/>
      <c r="V1" s="2014"/>
    </row>
    <row r="2" spans="1:22" ht="21.75" customHeight="1" thickBot="1">
      <c r="A2" s="3323" t="str">
        <f>项目基本情况!K2</f>
        <v>安徽省淮北市相山区规划古城东路南、泉山路东出让国有建设用地使用权</v>
      </c>
      <c r="B2" s="3324"/>
      <c r="C2" s="3325"/>
      <c r="D2" s="3325"/>
      <c r="E2" s="3325"/>
      <c r="F2" s="3325"/>
      <c r="G2" s="3324"/>
      <c r="H2" s="3324"/>
      <c r="I2" s="3326"/>
      <c r="J2" s="2015"/>
      <c r="K2" s="2014"/>
      <c r="L2" s="2014"/>
      <c r="M2" s="2014"/>
      <c r="N2" s="2014"/>
      <c r="O2" s="2014"/>
      <c r="P2" s="2014"/>
      <c r="Q2" s="2014"/>
      <c r="R2" s="2014"/>
      <c r="S2" s="2014"/>
      <c r="T2" s="2014"/>
      <c r="U2" s="2014"/>
      <c r="V2" s="2014"/>
    </row>
    <row r="3" spans="1:22" ht="14">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
      <c r="A4" s="258" t="s">
        <v>299</v>
      </c>
      <c r="B4" s="259" t="s">
        <v>300</v>
      </c>
      <c r="C4" s="260" t="s">
        <v>3009</v>
      </c>
      <c r="D4" s="260" t="s">
        <v>3010</v>
      </c>
      <c r="E4" s="3298" t="s">
        <v>301</v>
      </c>
      <c r="F4" s="3340"/>
      <c r="G4" s="3340"/>
      <c r="H4" s="3340"/>
      <c r="I4" s="329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327" t="s">
        <v>302</v>
      </c>
      <c r="B5" s="3328">
        <v>25</v>
      </c>
      <c r="C5" s="3336"/>
      <c r="D5" s="3339"/>
      <c r="E5" s="261" t="s">
        <v>303</v>
      </c>
      <c r="F5" s="262"/>
      <c r="G5" s="262"/>
      <c r="H5" s="262"/>
      <c r="I5" s="263"/>
      <c r="J5" s="2015"/>
      <c r="K5" s="2014"/>
      <c r="L5" s="2014"/>
      <c r="M5" s="2014"/>
      <c r="N5" s="2014"/>
      <c r="O5" s="2014"/>
      <c r="P5" s="2014"/>
      <c r="Q5" s="2014"/>
      <c r="R5" s="2014"/>
      <c r="S5" s="2014"/>
      <c r="T5" s="2014"/>
      <c r="U5" s="2014"/>
      <c r="V5" s="2014"/>
    </row>
    <row r="6" spans="1:22" ht="14">
      <c r="A6" s="3327"/>
      <c r="B6" s="3328"/>
      <c r="C6" s="3337"/>
      <c r="D6" s="3339"/>
      <c r="E6" s="261" t="s">
        <v>304</v>
      </c>
      <c r="F6" s="262"/>
      <c r="G6" s="262"/>
      <c r="H6" s="262"/>
      <c r="I6" s="263"/>
      <c r="J6" s="2015"/>
      <c r="K6" s="2014"/>
      <c r="L6" s="2014"/>
      <c r="M6" s="2014"/>
      <c r="N6" s="2014"/>
      <c r="O6" s="2014"/>
      <c r="P6" s="2014"/>
      <c r="Q6" s="2014"/>
      <c r="R6" s="2014"/>
      <c r="S6" s="2014"/>
      <c r="T6" s="2014"/>
      <c r="U6" s="2014"/>
      <c r="V6" s="2014"/>
    </row>
    <row r="7" spans="1:22" ht="14">
      <c r="A7" s="3327"/>
      <c r="B7" s="3328"/>
      <c r="C7" s="3338"/>
      <c r="D7" s="3339"/>
      <c r="E7" s="261" t="s">
        <v>305</v>
      </c>
      <c r="F7" s="262"/>
      <c r="G7" s="262"/>
      <c r="H7" s="262"/>
      <c r="I7" s="263"/>
      <c r="J7" s="2015"/>
      <c r="K7" s="2014"/>
      <c r="L7" s="2014"/>
      <c r="M7" s="2014"/>
      <c r="N7" s="2014"/>
      <c r="O7" s="2014"/>
      <c r="P7" s="2014"/>
      <c r="Q7" s="2014"/>
      <c r="R7" s="2014"/>
      <c r="S7" s="2014"/>
      <c r="T7" s="2014"/>
      <c r="U7" s="2014"/>
      <c r="V7" s="2014"/>
    </row>
    <row r="8" spans="1:22" ht="14">
      <c r="A8" s="3327" t="s">
        <v>306</v>
      </c>
      <c r="B8" s="3328">
        <v>15</v>
      </c>
      <c r="C8" s="3336"/>
      <c r="D8" s="3339"/>
      <c r="E8" s="261" t="s">
        <v>307</v>
      </c>
      <c r="F8" s="262"/>
      <c r="G8" s="262"/>
      <c r="H8" s="262"/>
      <c r="I8" s="263"/>
      <c r="J8" s="2015"/>
      <c r="K8" s="2014"/>
      <c r="L8" s="2014"/>
      <c r="M8" s="2014"/>
      <c r="N8" s="2014"/>
      <c r="O8" s="2014"/>
      <c r="P8" s="2014"/>
      <c r="Q8" s="2014"/>
      <c r="R8" s="2014"/>
      <c r="S8" s="2014"/>
      <c r="T8" s="2014"/>
      <c r="U8" s="2014"/>
      <c r="V8" s="2014"/>
    </row>
    <row r="9" spans="1:22" ht="14">
      <c r="A9" s="3327"/>
      <c r="B9" s="3328"/>
      <c r="C9" s="3338"/>
      <c r="D9" s="3339"/>
      <c r="E9" s="261" t="s">
        <v>308</v>
      </c>
      <c r="F9" s="262"/>
      <c r="G9" s="262"/>
      <c r="H9" s="262"/>
      <c r="I9" s="263"/>
      <c r="J9" s="2015"/>
      <c r="K9" s="2014"/>
      <c r="L9" s="2014"/>
      <c r="M9" s="2014"/>
      <c r="N9" s="2014"/>
      <c r="O9" s="2014"/>
      <c r="P9" s="2014"/>
      <c r="Q9" s="2014"/>
      <c r="R9" s="2014"/>
      <c r="S9" s="2014"/>
      <c r="T9" s="2014"/>
      <c r="U9" s="2014"/>
      <c r="V9" s="2014"/>
    </row>
    <row r="10" spans="1:22" ht="14">
      <c r="A10" s="3327" t="s">
        <v>309</v>
      </c>
      <c r="B10" s="3328">
        <v>15</v>
      </c>
      <c r="C10" s="3336"/>
      <c r="D10" s="3339"/>
      <c r="E10" s="261" t="s">
        <v>310</v>
      </c>
      <c r="F10" s="262"/>
      <c r="G10" s="262"/>
      <c r="H10" s="262"/>
      <c r="I10" s="263"/>
      <c r="J10" s="2015"/>
      <c r="K10" s="2014"/>
      <c r="L10" s="2014"/>
      <c r="M10" s="2014"/>
      <c r="N10" s="2014"/>
      <c r="O10" s="2014"/>
      <c r="P10" s="2014"/>
      <c r="Q10" s="2014"/>
      <c r="R10" s="2014"/>
      <c r="S10" s="2014"/>
      <c r="T10" s="2014"/>
      <c r="U10" s="2014"/>
      <c r="V10" s="2014"/>
    </row>
    <row r="11" spans="1:22" ht="14">
      <c r="A11" s="3327"/>
      <c r="B11" s="3328"/>
      <c r="C11" s="3338"/>
      <c r="D11" s="3339"/>
      <c r="E11" s="261" t="s">
        <v>311</v>
      </c>
      <c r="F11" s="262"/>
      <c r="G11" s="262"/>
      <c r="H11" s="262"/>
      <c r="I11" s="263"/>
      <c r="J11" s="2015"/>
      <c r="K11" s="2014"/>
      <c r="L11" s="2014"/>
      <c r="M11" s="2014"/>
      <c r="N11" s="2014"/>
      <c r="O11" s="2014"/>
      <c r="P11" s="2014"/>
      <c r="Q11" s="2014"/>
      <c r="R11" s="2014"/>
      <c r="S11" s="2014"/>
      <c r="T11" s="2014"/>
      <c r="U11" s="2014"/>
      <c r="V11" s="2014"/>
    </row>
    <row r="12" spans="1:22" ht="14">
      <c r="A12" s="3327" t="s">
        <v>312</v>
      </c>
      <c r="B12" s="3328">
        <v>15</v>
      </c>
      <c r="C12" s="3336"/>
      <c r="D12" s="3339"/>
      <c r="E12" s="261" t="s">
        <v>313</v>
      </c>
      <c r="F12" s="262"/>
      <c r="G12" s="262"/>
      <c r="H12" s="262"/>
      <c r="I12" s="263"/>
      <c r="J12" s="2015"/>
      <c r="K12" s="2014"/>
      <c r="L12" s="2014"/>
      <c r="M12" s="2014"/>
      <c r="N12" s="2014"/>
      <c r="O12" s="2014"/>
      <c r="P12" s="2014"/>
      <c r="Q12" s="2014"/>
      <c r="R12" s="2014"/>
      <c r="S12" s="2014"/>
      <c r="T12" s="2014"/>
      <c r="U12" s="2014"/>
      <c r="V12" s="2014"/>
    </row>
    <row r="13" spans="1:22" ht="14">
      <c r="A13" s="3327"/>
      <c r="B13" s="3328"/>
      <c r="C13" s="3338"/>
      <c r="D13" s="3339"/>
      <c r="E13" s="261" t="s">
        <v>314</v>
      </c>
      <c r="F13" s="262"/>
      <c r="G13" s="262"/>
      <c r="H13" s="262"/>
      <c r="I13" s="263"/>
      <c r="J13" s="2015"/>
      <c r="K13" s="2014"/>
      <c r="L13" s="2014"/>
      <c r="M13" s="2014"/>
      <c r="N13" s="2014"/>
      <c r="O13" s="2014"/>
      <c r="P13" s="2014"/>
      <c r="Q13" s="2014"/>
      <c r="R13" s="2014"/>
      <c r="S13" s="2014"/>
      <c r="T13" s="2014"/>
      <c r="U13" s="2014"/>
      <c r="V13" s="2014"/>
    </row>
    <row r="14" spans="1:22" ht="14">
      <c r="A14" s="3327" t="s">
        <v>315</v>
      </c>
      <c r="B14" s="3328">
        <v>30</v>
      </c>
      <c r="C14" s="3336">
        <v>5</v>
      </c>
      <c r="D14" s="3339">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327"/>
      <c r="B15" s="3328"/>
      <c r="C15" s="3337"/>
      <c r="D15" s="3339"/>
      <c r="E15" s="261" t="s">
        <v>317</v>
      </c>
      <c r="F15" s="262"/>
      <c r="G15" s="262"/>
      <c r="H15" s="262"/>
      <c r="I15" s="263"/>
      <c r="J15" s="2015"/>
      <c r="K15" s="2014"/>
      <c r="L15" s="2014"/>
      <c r="M15" s="2014"/>
      <c r="N15" s="2014"/>
      <c r="O15" s="2014"/>
      <c r="P15" s="2014"/>
      <c r="Q15" s="2014"/>
      <c r="R15" s="2014"/>
      <c r="S15" s="2014"/>
      <c r="T15" s="2014"/>
      <c r="U15" s="2014"/>
      <c r="V15" s="2014"/>
    </row>
    <row r="16" spans="1:22" ht="14">
      <c r="A16" s="3327"/>
      <c r="B16" s="3328"/>
      <c r="C16" s="3338"/>
      <c r="D16" s="3339"/>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4.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64773</v>
      </c>
      <c r="D19" s="271">
        <f ca="1">SUMIF(INDIRECT("'"&amp;D4&amp;"'"&amp;"!A:A"),结果表!B19,INDIRECT("'"&amp;D4&amp;"'"&amp;"!B:B"))</f>
        <v>65229</v>
      </c>
      <c r="E19" s="268" t="s">
        <v>323</v>
      </c>
      <c r="F19" s="269" t="s">
        <v>322</v>
      </c>
      <c r="G19" s="272">
        <f ca="1">ROUND(C19*$C$18+D19*$D$18,0)</f>
        <v>65001</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2156</v>
      </c>
      <c r="D20" s="277">
        <f ca="1">SUMIF(INDIRECT("'"&amp;D4&amp;"'"&amp;"!A:A"),结果表!B20,INDIRECT("'"&amp;D4&amp;"'"&amp;"!B:B"))</f>
        <v>2171</v>
      </c>
      <c r="E20" s="274"/>
      <c r="F20" s="275" t="s">
        <v>325</v>
      </c>
      <c r="G20" s="278">
        <f ca="1">ROUND(C20*$C$18+D20*$D$18,0)</f>
        <v>2164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4959</v>
      </c>
      <c r="D21" s="151">
        <f ca="1">SUMIF(INDIRECT("'"&amp;D4&amp;"'"&amp;"!A:A"),结果表!B21,INDIRECT("'"&amp;D4&amp;"'"&amp;"!B:B"))</f>
        <v>4994</v>
      </c>
      <c r="E21" s="274"/>
      <c r="F21" s="280" t="s">
        <v>327</v>
      </c>
      <c r="G21" s="282">
        <f ca="1">ROUND(C21*$C$18+D21*$D$18,0)</f>
        <v>4977</v>
      </c>
      <c r="H21" s="1247" t="s">
        <v>326</v>
      </c>
      <c r="I21" s="311"/>
      <c r="J21" s="2014"/>
      <c r="K21" s="2014"/>
      <c r="L21" s="2014"/>
      <c r="M21" s="2014"/>
      <c r="N21" s="2014"/>
      <c r="O21" s="2014"/>
      <c r="P21" s="2014"/>
      <c r="Q21" s="2014"/>
      <c r="R21" s="2014"/>
      <c r="S21" s="2014"/>
      <c r="T21" s="2014"/>
      <c r="U21" s="2014"/>
      <c r="V21" s="2014"/>
    </row>
    <row r="22" spans="1:26" ht="14.5" thickBot="1">
      <c r="A22" s="126" t="s">
        <v>328</v>
      </c>
      <c r="B22" s="1248"/>
      <c r="C22" s="1249"/>
      <c r="D22" s="283">
        <f ca="1">IF(C19&lt;D19,D19/C19-1,C19/D19-1)</f>
        <v>7.0399703580195094E-3</v>
      </c>
      <c r="E22" s="284"/>
      <c r="F22" s="285"/>
      <c r="G22" s="286">
        <f ca="1">ROUND(G19/('数据-汇总表'!D3/666.67),0)</f>
        <v>332</v>
      </c>
      <c r="H22" s="287" t="s">
        <v>329</v>
      </c>
      <c r="I22" s="311"/>
      <c r="J22" s="2014"/>
      <c r="K22" s="2014"/>
      <c r="L22" s="2014"/>
      <c r="M22" s="2014"/>
      <c r="N22" s="2014"/>
      <c r="O22" s="2014"/>
      <c r="P22" s="2014"/>
      <c r="Q22" s="2014"/>
      <c r="R22" s="2014"/>
      <c r="S22" s="2014"/>
      <c r="T22" s="2014"/>
      <c r="U22" s="2014"/>
      <c r="V22" s="2014"/>
    </row>
    <row r="23" spans="1:26" ht="13"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4.5" thickBot="1">
      <c r="A24" s="330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5">
      <c r="A25" s="3342"/>
      <c r="B25" s="1317" t="s">
        <v>331</v>
      </c>
      <c r="C25" s="290">
        <f>IF(B30=0,0,C30)</f>
        <v>0</v>
      </c>
      <c r="D25" s="291"/>
      <c r="E25" s="311"/>
      <c r="F25" s="311"/>
      <c r="G25" s="311"/>
      <c r="H25" s="311"/>
      <c r="I25" s="311"/>
      <c r="J25" s="2014"/>
      <c r="K25" s="1251" t="str">
        <f ca="1">项目基本情况!B16&amp;"国有建设用地使用权价格："&amp;O38&amp;"万元"</f>
        <v>出让国有建设用地使用权价格：65001万元</v>
      </c>
      <c r="L25" s="1252"/>
      <c r="M25" s="1252"/>
      <c r="N25" s="1252"/>
      <c r="O25" s="1253"/>
      <c r="P25" s="2014"/>
      <c r="Q25" s="2014"/>
      <c r="R25" s="2014"/>
      <c r="S25" s="2014"/>
      <c r="T25" s="2014"/>
      <c r="U25" s="2014"/>
      <c r="V25" s="2014"/>
    </row>
    <row r="26" spans="1:26" s="1250" customFormat="1" ht="17.5">
      <c r="A26" s="293" t="s">
        <v>332</v>
      </c>
      <c r="B26" s="294" t="s">
        <v>333</v>
      </c>
      <c r="C26" s="294" t="s">
        <v>334</v>
      </c>
      <c r="D26" s="295" t="s">
        <v>335</v>
      </c>
      <c r="E26" s="311"/>
      <c r="F26" s="311"/>
      <c r="G26" s="311"/>
      <c r="H26" s="311"/>
      <c r="I26" s="311"/>
      <c r="J26" s="2014"/>
      <c r="K26" s="1254" t="str">
        <f ca="1">"大写金额：人民币"&amp;NUMBERSTRING(INT(O38*10000),2)&amp;"元整"</f>
        <v>大写金额：人民币陆亿伍仟零壹万元整</v>
      </c>
      <c r="L26" s="1248"/>
      <c r="M26" s="1248"/>
      <c r="N26" s="1248"/>
      <c r="O26" s="1247"/>
      <c r="P26" s="2014"/>
      <c r="Q26" s="2014"/>
      <c r="R26" s="2014"/>
      <c r="S26" s="2014"/>
      <c r="T26" s="2014"/>
      <c r="U26" s="2014"/>
      <c r="V26" s="2014"/>
      <c r="W26" s="292"/>
      <c r="X26" s="292"/>
      <c r="Y26" s="292"/>
      <c r="Z26" s="292"/>
    </row>
    <row r="27" spans="1:26" ht="17.5">
      <c r="A27" s="293"/>
      <c r="B27" s="294"/>
      <c r="C27" s="294"/>
      <c r="D27" s="295"/>
      <c r="E27" s="311"/>
      <c r="F27" s="311"/>
      <c r="G27" s="311"/>
      <c r="H27" s="311"/>
      <c r="I27" s="311"/>
      <c r="J27" s="2014"/>
      <c r="K27" s="1254" t="str">
        <f ca="1">"单位面积地价："&amp;M38&amp;"元/平方米"</f>
        <v>单位面积地价：4976元/平方米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楼面地价：2164元/平方米</v>
      </c>
      <c r="L28" s="1248"/>
      <c r="M28" s="1248"/>
      <c r="N28" s="1248"/>
      <c r="O28" s="1247"/>
      <c r="P28" s="2014"/>
      <c r="V28" s="2014"/>
    </row>
    <row r="29" spans="1:26" ht="17.5">
      <c r="A29" s="293"/>
      <c r="B29" s="294"/>
      <c r="C29" s="294"/>
      <c r="D29" s="295"/>
      <c r="E29" s="311"/>
      <c r="F29" s="311"/>
      <c r="G29" s="311"/>
      <c r="H29" s="311"/>
      <c r="I29" s="311"/>
      <c r="J29" s="2014"/>
      <c r="K29" s="1254" t="str">
        <f ca="1">IF(OR(项目基本情况!E8="抵押价格",项目基本情况!E8="已注销及未注销"),"抵押价格："&amp;O39&amp;"万元","——")</f>
        <v>抵押价格：34626万元</v>
      </c>
      <c r="L29" s="1248"/>
      <c r="M29" s="1248"/>
      <c r="N29" s="1248"/>
      <c r="O29" s="1247"/>
      <c r="P29" s="2014"/>
      <c r="V29" s="2014"/>
    </row>
    <row r="30" spans="1:26" ht="18" thickBot="1">
      <c r="A30" s="3082" t="s">
        <v>336</v>
      </c>
      <c r="B30" s="309"/>
      <c r="C30" s="309"/>
      <c r="D30" s="310"/>
      <c r="E30" s="3083" t="s">
        <v>2966</v>
      </c>
      <c r="F30" s="311"/>
      <c r="G30" s="311"/>
      <c r="H30" s="311"/>
      <c r="I30" s="311"/>
      <c r="J30" s="2014"/>
      <c r="K30" s="1254" t="str">
        <f ca="1">IF(K29="——","——","大写金额：人民币"&amp;NUMBERSTRING(INT(O39*10000),2)&amp;"元整")</f>
        <v>大写金额：人民币叁亿肆仟陆佰贰拾陆万元整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65001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2164</v>
      </c>
      <c r="D33" s="1382" t="s">
        <v>1691</v>
      </c>
      <c r="E33" s="3300"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4976</v>
      </c>
      <c r="D34" s="1384" t="s">
        <v>1691</v>
      </c>
      <c r="E34" s="3301"/>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4.5" thickBot="1">
      <c r="A35" s="284"/>
      <c r="B35" s="1385"/>
      <c r="C35" s="1386">
        <f ca="1">ROUND(C32/('数据-汇总表'!D3/666.67),0)</f>
        <v>332</v>
      </c>
      <c r="D35" s="1387" t="s">
        <v>1693</v>
      </c>
      <c r="E35" s="3302"/>
      <c r="F35" s="301" t="s">
        <v>342</v>
      </c>
      <c r="G35" s="982">
        <f>60750-7850-22525</f>
        <v>30375</v>
      </c>
      <c r="H35" s="981" t="s">
        <v>343</v>
      </c>
      <c r="I35" s="311"/>
      <c r="J35" s="2014"/>
      <c r="K35" s="3306" t="s">
        <v>350</v>
      </c>
      <c r="L35" s="3306" t="s">
        <v>351</v>
      </c>
      <c r="M35" s="1260" t="s">
        <v>352</v>
      </c>
      <c r="N35" s="3306" t="s">
        <v>353</v>
      </c>
      <c r="O35" s="3306" t="s">
        <v>354</v>
      </c>
      <c r="P35" s="2014"/>
      <c r="V35" s="2014"/>
    </row>
    <row r="36" spans="1:26" ht="16.5" customHeight="1">
      <c r="A36" s="303" t="s">
        <v>344</v>
      </c>
      <c r="B36" s="304" t="s">
        <v>333</v>
      </c>
      <c r="C36" s="305" t="s">
        <v>345</v>
      </c>
      <c r="D36" s="305" t="s">
        <v>346</v>
      </c>
      <c r="E36" s="306" t="s">
        <v>347</v>
      </c>
      <c r="F36" s="311"/>
      <c r="G36" s="311"/>
      <c r="H36" s="311"/>
      <c r="I36" s="311"/>
      <c r="J36" s="2016"/>
      <c r="K36" s="3307"/>
      <c r="L36" s="3307"/>
      <c r="M36" s="1262" t="s">
        <v>355</v>
      </c>
      <c r="N36" s="3307"/>
      <c r="O36" s="3307"/>
      <c r="P36" s="2014"/>
      <c r="V36" s="2014"/>
    </row>
    <row r="37" spans="1:26" ht="16.5" customHeight="1" thickBot="1">
      <c r="A37" s="1256" t="s">
        <v>348</v>
      </c>
      <c r="B37" s="307"/>
      <c r="C37" s="294"/>
      <c r="D37" s="294"/>
      <c r="E37" s="295"/>
      <c r="F37" s="311"/>
      <c r="G37" s="311"/>
      <c r="H37" s="311"/>
      <c r="I37" s="311"/>
      <c r="J37" s="2016"/>
      <c r="K37" s="3308"/>
      <c r="L37" s="3308"/>
      <c r="M37" s="1263"/>
      <c r="N37" s="3308"/>
      <c r="O37" s="3308"/>
      <c r="P37" s="2014"/>
      <c r="V37" s="2014"/>
    </row>
    <row r="38" spans="1:26" ht="16.5" customHeight="1" thickBot="1">
      <c r="A38" s="1256" t="s">
        <v>349</v>
      </c>
      <c r="B38" s="307"/>
      <c r="C38" s="294"/>
      <c r="D38" s="294"/>
      <c r="E38" s="295"/>
      <c r="F38" s="311"/>
      <c r="G38" s="311"/>
      <c r="H38" s="311"/>
      <c r="I38" s="311"/>
      <c r="J38" s="2016"/>
      <c r="K38" s="1264">
        <f>'数据-汇总表'!D3</f>
        <v>130622.9</v>
      </c>
      <c r="L38" s="1265">
        <f>'数据-汇总表'!E3</f>
        <v>300432.67</v>
      </c>
      <c r="M38" s="1265">
        <f ca="1">C34</f>
        <v>4976</v>
      </c>
      <c r="N38" s="1265">
        <f ca="1">C33</f>
        <v>2164</v>
      </c>
      <c r="O38" s="1266">
        <f ca="1">C32</f>
        <v>65001</v>
      </c>
      <c r="P38" s="2014"/>
      <c r="V38" s="2014"/>
    </row>
    <row r="39" spans="1:26" ht="16.5" customHeight="1" thickBot="1">
      <c r="A39" s="1261"/>
      <c r="B39" s="308"/>
      <c r="C39" s="309"/>
      <c r="D39" s="309"/>
      <c r="E39" s="310"/>
      <c r="F39" s="311"/>
      <c r="G39" s="311"/>
      <c r="H39" s="311"/>
      <c r="I39" s="311"/>
      <c r="J39" s="2016"/>
      <c r="K39" s="3283" t="str">
        <f>MID(A44,3,LEN(A44)-2)</f>
        <v>抵押价格</v>
      </c>
      <c r="L39" s="3284"/>
      <c r="M39" s="3284"/>
      <c r="N39" s="3285"/>
      <c r="O39" s="1389">
        <f ca="1">C44</f>
        <v>34626</v>
      </c>
      <c r="P39" s="2014"/>
      <c r="V39" s="2014"/>
    </row>
    <row r="40" spans="1:26" ht="18.5" thickBot="1">
      <c r="A40" s="104" t="s">
        <v>873</v>
      </c>
      <c r="B40" s="311"/>
      <c r="C40" s="311"/>
      <c r="D40" s="311"/>
      <c r="E40" s="311"/>
      <c r="F40" s="311"/>
      <c r="G40" s="311"/>
      <c r="H40" s="311"/>
      <c r="I40" s="311"/>
      <c r="J40" s="2016"/>
      <c r="K40" s="3283" t="str">
        <f t="shared" ref="K40:K41" si="0">MID(A45,3,LEN(A45)-2)</f>
        <v/>
      </c>
      <c r="L40" s="3284"/>
      <c r="M40" s="3284"/>
      <c r="N40" s="3285"/>
      <c r="O40" s="1389" t="str">
        <f>C45</f>
        <v>——</v>
      </c>
      <c r="P40" s="2014"/>
      <c r="V40" s="2014"/>
    </row>
    <row r="41" spans="1:26" ht="16" thickBot="1">
      <c r="A41" s="312" t="s">
        <v>356</v>
      </c>
      <c r="B41" s="313"/>
      <c r="C41" s="314" t="s">
        <v>357</v>
      </c>
      <c r="D41" s="315" t="s">
        <v>358</v>
      </c>
      <c r="E41" s="315" t="s">
        <v>359</v>
      </c>
      <c r="F41" s="316" t="s">
        <v>360</v>
      </c>
      <c r="G41" s="311"/>
      <c r="H41" s="311"/>
      <c r="I41" s="311"/>
      <c r="J41" s="2016"/>
      <c r="K41" s="3283" t="str">
        <f t="shared" si="0"/>
        <v/>
      </c>
      <c r="L41" s="3284"/>
      <c r="M41" s="3284"/>
      <c r="N41" s="3285"/>
      <c r="O41" s="1389" t="str">
        <f>C46</f>
        <v>——</v>
      </c>
      <c r="P41" s="2014"/>
      <c r="V41" s="2014"/>
    </row>
    <row r="42" spans="1:26" ht="31">
      <c r="A42" s="3343" t="s">
        <v>2065</v>
      </c>
      <c r="B42" s="3344"/>
      <c r="C42" s="264">
        <f ca="1">C32</f>
        <v>65001</v>
      </c>
      <c r="D42" s="317">
        <f ca="1">C33</f>
        <v>2164</v>
      </c>
      <c r="E42" s="317">
        <f ca="1">C34</f>
        <v>4976</v>
      </c>
      <c r="F42" s="318">
        <f ca="1">C35</f>
        <v>332</v>
      </c>
      <c r="G42" s="311"/>
      <c r="H42" s="311"/>
      <c r="I42" s="319"/>
      <c r="J42" s="2016"/>
      <c r="K42" s="1267" t="s">
        <v>361</v>
      </c>
      <c r="L42" s="2033" t="s">
        <v>362</v>
      </c>
      <c r="M42" s="1268" t="s">
        <v>363</v>
      </c>
      <c r="N42" s="2034" t="s">
        <v>364</v>
      </c>
      <c r="O42" s="2035" t="s">
        <v>365</v>
      </c>
      <c r="P42" s="2014"/>
      <c r="V42" s="2014"/>
    </row>
    <row r="43" spans="1:26" ht="31">
      <c r="A43" s="3353" t="s">
        <v>2727</v>
      </c>
      <c r="B43" s="3354"/>
      <c r="C43" s="264">
        <f>IF(H33="正常操作",G33+G34+G35,G34+G35)</f>
        <v>30375</v>
      </c>
      <c r="D43" s="317" t="s">
        <v>43</v>
      </c>
      <c r="E43" s="317" t="s">
        <v>44</v>
      </c>
      <c r="F43" s="318" t="s">
        <v>44</v>
      </c>
      <c r="G43" s="2822" t="s">
        <v>952</v>
      </c>
      <c r="H43" s="311"/>
      <c r="I43" s="319"/>
      <c r="J43" s="2016"/>
      <c r="K43" s="1269" t="str">
        <f>C4</f>
        <v>比较法-住宅、综合</v>
      </c>
      <c r="L43" s="1270">
        <f ca="1">IF(L42="估价结果/万元",C19,C20)</f>
        <v>64773</v>
      </c>
      <c r="M43" s="1271">
        <f>C18</f>
        <v>0.5</v>
      </c>
      <c r="N43" s="1272">
        <f ca="1">IF(N42="测算结果/万元",G19,G20)</f>
        <v>65001</v>
      </c>
      <c r="O43" s="1273">
        <f ca="1">IF(O42="最终结果/万元",C32,C33)</f>
        <v>65001</v>
      </c>
      <c r="P43" s="2014"/>
      <c r="V43" s="2014"/>
    </row>
    <row r="44" spans="1:26" ht="31.5" thickBot="1">
      <c r="A44" s="3343" t="str">
        <f>IF(OR(项目基本情况!E8="抵押价格",项目基本情况!E8="已注销及未注销"),"3.抵押价格","——")</f>
        <v>3.抵押价格</v>
      </c>
      <c r="B44" s="3344"/>
      <c r="C44" s="264">
        <f ca="1">IF(A44="——","——",C42-C43)</f>
        <v>34626</v>
      </c>
      <c r="D44" s="317">
        <f ca="1">ROUND(C44*10000/'数据-汇总表'!E3,0)</f>
        <v>1153</v>
      </c>
      <c r="E44" s="317">
        <f ca="1">ROUND(C44*10000/'数据-汇总表'!D3,0)</f>
        <v>2651</v>
      </c>
      <c r="F44" s="318">
        <f ca="1">ROUND(C44/('数据-汇总表'!D3/666.67),0)</f>
        <v>177</v>
      </c>
      <c r="G44" s="311"/>
      <c r="H44" s="311"/>
      <c r="I44" s="319"/>
      <c r="J44" s="2016"/>
      <c r="K44" s="1274" t="str">
        <f>D4</f>
        <v>剩余法-待开发</v>
      </c>
      <c r="L44" s="1275">
        <f ca="1">IF(L42="估价结果/万元",D19,D20)</f>
        <v>65229</v>
      </c>
      <c r="M44" s="1276">
        <f>D18</f>
        <v>0.5</v>
      </c>
      <c r="N44" s="1277"/>
      <c r="O44" s="1278"/>
      <c r="P44" s="2014"/>
      <c r="V44" s="2014"/>
    </row>
    <row r="45" spans="1:26" ht="14">
      <c r="A45" s="3348" t="str">
        <f>IF(项目基本情况!E8="已注销及未注销","4.抵押担保权已注销时的抵押价格",IF(项目基本情况!E8="已注销","3.抵押担保权已注销时的抵押价格","——"))</f>
        <v>——</v>
      </c>
      <c r="B45" s="334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5" thickBot="1">
      <c r="A46" s="3345" t="str">
        <f>IF(项目基本情况!E9="抵押净值",IF(A45="——","4.抵押净值","5.抵押净值"),"——")</f>
        <v>——</v>
      </c>
      <c r="B46" s="334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本次评估估价师知悉的法定优先受偿款为人民币30375万元整。</v>
      </c>
      <c r="L47" s="2014"/>
      <c r="M47" s="2014"/>
      <c r="N47" s="2014"/>
      <c r="O47" s="2014"/>
      <c r="P47" s="2014"/>
      <c r="Q47" s="2014"/>
      <c r="R47" s="2014"/>
      <c r="S47" s="2014"/>
      <c r="T47" s="2014"/>
      <c r="U47" s="2014"/>
      <c r="V47" s="2014"/>
    </row>
    <row r="48" spans="1:26" ht="12.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1" t="s">
        <v>374</v>
      </c>
      <c r="B63" s="3312"/>
      <c r="C63" s="3313"/>
      <c r="D63" s="341">
        <f ca="1">ROUND(C42*F63,0)</f>
        <v>39001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0" t="s">
        <v>378</v>
      </c>
      <c r="B64" s="3351"/>
      <c r="C64" s="3351"/>
      <c r="D64" s="3351"/>
      <c r="E64" s="3351"/>
      <c r="F64" s="3351"/>
      <c r="G64" s="335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
      <c r="A66" s="3347" t="s">
        <v>386</v>
      </c>
      <c r="B66" s="3318"/>
      <c r="C66" s="3318"/>
      <c r="D66" s="261">
        <f ca="1">IF(H66="情况1",0,IF(H66="情况2",D70,IF(H66="情况3",D71,IF(H66="情况4",D72))))</f>
        <v>2080</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7" t="s">
        <v>385</v>
      </c>
      <c r="M66" s="3288"/>
      <c r="N66" s="2423"/>
      <c r="O66" s="2424"/>
      <c r="P66" s="2425"/>
      <c r="Q66" s="2014"/>
      <c r="R66" s="2014"/>
      <c r="S66" s="2014"/>
      <c r="T66" s="2014"/>
      <c r="U66" s="2014"/>
      <c r="V66" s="2014"/>
    </row>
    <row r="67" spans="1:22" ht="25.5" customHeight="1">
      <c r="A67" s="352" t="s">
        <v>390</v>
      </c>
      <c r="B67" s="3330" t="s">
        <v>391</v>
      </c>
      <c r="C67" s="3330"/>
      <c r="D67" s="353">
        <v>0</v>
      </c>
      <c r="E67" s="41" t="s">
        <v>392</v>
      </c>
      <c r="F67" s="62" t="s">
        <v>21</v>
      </c>
      <c r="G67" s="3314"/>
      <c r="H67" s="311"/>
      <c r="I67" s="1288"/>
      <c r="J67" s="2021"/>
      <c r="K67" s="1962">
        <v>2</v>
      </c>
      <c r="L67" s="3286" t="s">
        <v>389</v>
      </c>
      <c r="M67" s="3286"/>
      <c r="N67" s="1321">
        <f>'数据-取费表'!B2</f>
        <v>43875</v>
      </c>
      <c r="O67" s="1321"/>
      <c r="P67" s="1321"/>
      <c r="Q67" s="2014"/>
      <c r="R67" s="2014"/>
      <c r="S67" s="2014"/>
      <c r="T67" s="2014"/>
      <c r="U67" s="2014"/>
      <c r="V67" s="2014"/>
    </row>
    <row r="68" spans="1:22" ht="25.5" customHeight="1">
      <c r="A68" s="354"/>
      <c r="B68" s="3330" t="s">
        <v>394</v>
      </c>
      <c r="C68" s="3330"/>
      <c r="D68" s="355"/>
      <c r="E68" s="77"/>
      <c r="F68" s="356"/>
      <c r="G68" s="3315"/>
      <c r="H68" s="311"/>
      <c r="I68" s="1288"/>
      <c r="J68" s="2021"/>
      <c r="K68" s="1962">
        <v>3</v>
      </c>
      <c r="L68" s="3286" t="s">
        <v>393</v>
      </c>
      <c r="M68" s="3286"/>
      <c r="N68" s="1289">
        <f ca="1">C42</f>
        <v>65001</v>
      </c>
      <c r="O68" s="1289"/>
      <c r="P68" s="1289"/>
      <c r="Q68" s="2014"/>
      <c r="R68" s="2014"/>
      <c r="S68" s="2014"/>
      <c r="T68" s="2014"/>
      <c r="U68" s="2014"/>
      <c r="V68" s="2014"/>
    </row>
    <row r="69" spans="1:22" ht="12" customHeight="1">
      <c r="A69" s="357"/>
      <c r="B69" s="3330" t="s">
        <v>395</v>
      </c>
      <c r="C69" s="3330"/>
      <c r="D69" s="358"/>
      <c r="E69" s="73"/>
      <c r="F69" s="356"/>
      <c r="G69" s="3316"/>
      <c r="H69" s="311"/>
      <c r="I69" s="1288"/>
      <c r="J69" s="2021"/>
      <c r="K69" s="1290">
        <v>4</v>
      </c>
      <c r="L69" s="3292" t="s">
        <v>2880</v>
      </c>
      <c r="M69" s="3293"/>
      <c r="N69" s="1291">
        <f ca="1">C44</f>
        <v>34626</v>
      </c>
      <c r="O69" s="1291"/>
      <c r="P69" s="1291"/>
      <c r="Q69" s="2014"/>
      <c r="R69" s="2014"/>
      <c r="S69" s="2014"/>
      <c r="T69" s="2014"/>
      <c r="U69" s="2014"/>
      <c r="V69" s="2014"/>
    </row>
    <row r="70" spans="1:22" ht="24" customHeight="1">
      <c r="A70" s="359" t="s">
        <v>396</v>
      </c>
      <c r="B70" s="3330" t="s">
        <v>397</v>
      </c>
      <c r="C70" s="3330"/>
      <c r="D70" s="358">
        <f ca="1">ROUND(D63*'数据-取费表'!B41/(1+'数据-取费表'!C42),0)</f>
        <v>2080</v>
      </c>
      <c r="E70" s="17" t="s">
        <v>398</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29" t="s">
        <v>405</v>
      </c>
      <c r="C71" s="3341"/>
      <c r="D71" s="358">
        <f ca="1">ROUND(D63*'数据-取费表'!B41/(1+'数据-取费表'!C42),0)</f>
        <v>2080</v>
      </c>
      <c r="E71" s="17" t="s">
        <v>398</v>
      </c>
      <c r="F71" s="360">
        <f>'数据-取费表'!B41</f>
        <v>5.6000000000000001E-2</v>
      </c>
      <c r="G71" s="361"/>
      <c r="H71" s="311"/>
      <c r="I71" s="1288"/>
      <c r="J71" s="2021"/>
      <c r="K71" s="3013" t="s">
        <v>399</v>
      </c>
      <c r="L71" s="3294" t="s">
        <v>400</v>
      </c>
      <c r="M71" s="3294"/>
      <c r="N71" s="3013" t="s">
        <v>401</v>
      </c>
      <c r="O71" s="3013" t="s">
        <v>402</v>
      </c>
      <c r="P71" s="3013" t="s">
        <v>403</v>
      </c>
      <c r="Q71" s="2014"/>
      <c r="R71" s="2014"/>
      <c r="S71" s="2014"/>
      <c r="T71" s="2014"/>
      <c r="U71" s="2014"/>
      <c r="V71" s="2014"/>
    </row>
    <row r="72" spans="1:22" ht="12" customHeight="1">
      <c r="A72" s="359" t="s">
        <v>407</v>
      </c>
      <c r="B72" s="3329" t="s">
        <v>408</v>
      </c>
      <c r="C72" s="3341"/>
      <c r="D72" s="358">
        <f ca="1">C86</f>
        <v>1968</v>
      </c>
      <c r="E72" s="73" t="s">
        <v>409</v>
      </c>
      <c r="F72" s="360">
        <f>'数据-取费表'!B41</f>
        <v>5.6000000000000001E-2</v>
      </c>
      <c r="G72" s="361"/>
      <c r="H72" s="1294"/>
      <c r="I72" s="1288"/>
      <c r="J72" s="2021"/>
      <c r="K72" s="1962">
        <v>1</v>
      </c>
      <c r="L72" s="3291" t="s">
        <v>406</v>
      </c>
      <c r="M72" s="3291"/>
      <c r="N72" s="1292">
        <f ca="1">D66</f>
        <v>2080</v>
      </c>
      <c r="O72" s="1845" t="str">
        <f>E66</f>
        <v>销售额×税（费）率</v>
      </c>
      <c r="P72" s="1293">
        <f>F66</f>
        <v>5.6000000000000001E-2</v>
      </c>
      <c r="Q72" s="2014"/>
      <c r="R72" s="2014"/>
      <c r="S72" s="2014"/>
      <c r="T72" s="2014"/>
      <c r="U72" s="2014"/>
      <c r="V72" s="2014"/>
    </row>
    <row r="73" spans="1:22" ht="24" customHeight="1">
      <c r="A73" s="3317" t="s">
        <v>411</v>
      </c>
      <c r="B73" s="3318"/>
      <c r="C73" s="3318"/>
      <c r="D73" s="362">
        <f>IF(H73="个人住宅",0,ROUND(D63*I73,0))</f>
        <v>0</v>
      </c>
      <c r="E73" s="17" t="s">
        <v>412</v>
      </c>
      <c r="F73" s="360" t="str">
        <f>IF(H73="正常",I73,"免征")</f>
        <v>免征</v>
      </c>
      <c r="G73" s="361"/>
      <c r="H73" s="191" t="s">
        <v>2453</v>
      </c>
      <c r="I73" s="360">
        <f>'数据-取费表'!B49</f>
        <v>5.0000000000000001E-4</v>
      </c>
      <c r="J73" s="2021"/>
      <c r="K73" s="1962">
        <v>2</v>
      </c>
      <c r="L73" s="3291" t="s">
        <v>410</v>
      </c>
      <c r="M73" s="3291"/>
      <c r="N73" s="1292">
        <f t="shared" ref="N73:P74" si="1">D73</f>
        <v>0</v>
      </c>
      <c r="O73" s="1845" t="str">
        <f t="shared" si="1"/>
        <v>销售额×税（费）率</v>
      </c>
      <c r="P73" s="1293" t="str">
        <f t="shared" si="1"/>
        <v>免征</v>
      </c>
      <c r="Q73" s="2014"/>
      <c r="R73" s="2014"/>
      <c r="S73" s="2014"/>
      <c r="T73" s="2014"/>
      <c r="U73" s="2014"/>
      <c r="V73" s="2014"/>
    </row>
    <row r="74" spans="1:22" ht="26">
      <c r="A74" s="3317" t="s">
        <v>415</v>
      </c>
      <c r="B74" s="3318"/>
      <c r="C74" s="3318"/>
      <c r="D74" s="362">
        <f ca="1">IF(H74="个人住宅",D75,D76)</f>
        <v>21419</v>
      </c>
      <c r="E74" s="17" t="s">
        <v>416</v>
      </c>
      <c r="F74" s="360" t="str">
        <f>IF(H74="正常",F76,"免征")</f>
        <v>——</v>
      </c>
      <c r="G74" s="983" t="s">
        <v>417</v>
      </c>
      <c r="H74" s="363" t="s">
        <v>413</v>
      </c>
      <c r="I74" s="42"/>
      <c r="J74" s="2021"/>
      <c r="K74" s="1962">
        <v>3</v>
      </c>
      <c r="L74" s="3291" t="s">
        <v>414</v>
      </c>
      <c r="M74" s="3291"/>
      <c r="N74" s="1292">
        <f t="shared" ca="1" si="1"/>
        <v>21419</v>
      </c>
      <c r="O74" s="1845" t="str">
        <f t="shared" si="1"/>
        <v>增值额×税（费）率</v>
      </c>
      <c r="P74" s="1295" t="str">
        <f t="shared" si="1"/>
        <v>——</v>
      </c>
      <c r="Q74" s="2014"/>
      <c r="R74" s="2014"/>
      <c r="S74" s="2014"/>
      <c r="T74" s="2014"/>
      <c r="U74" s="2014"/>
      <c r="V74" s="2014"/>
    </row>
    <row r="75" spans="1:22" ht="26">
      <c r="A75" s="359" t="s">
        <v>418</v>
      </c>
      <c r="B75" s="3298" t="s">
        <v>419</v>
      </c>
      <c r="C75" s="3299"/>
      <c r="D75" s="364">
        <v>0</v>
      </c>
      <c r="E75" s="41" t="s">
        <v>420</v>
      </c>
      <c r="F75" s="365"/>
      <c r="G75" s="361"/>
      <c r="H75" s="42"/>
      <c r="I75" s="42"/>
      <c r="J75" s="2021"/>
      <c r="K75" s="3006">
        <f>IF(H77="非个人房产","",4)</f>
        <v>4</v>
      </c>
      <c r="L75" s="3291" t="str">
        <f>IF(H77="非个人房产","——","个人所得税")</f>
        <v>个人所得税</v>
      </c>
      <c r="M75" s="3291"/>
      <c r="N75" s="1296">
        <f ca="1">D77</f>
        <v>390</v>
      </c>
      <c r="O75" s="1858" t="str">
        <f>E77</f>
        <v>销售额×税（费）率</v>
      </c>
      <c r="P75" s="1297">
        <f>F77</f>
        <v>0.01</v>
      </c>
      <c r="Q75" s="2014"/>
      <c r="R75" s="2014"/>
      <c r="S75" s="2014"/>
      <c r="T75" s="2014"/>
      <c r="U75" s="2014"/>
      <c r="V75" s="2014"/>
    </row>
    <row r="76" spans="1:22" ht="26">
      <c r="A76" s="359" t="s">
        <v>396</v>
      </c>
      <c r="B76" s="3298" t="s">
        <v>422</v>
      </c>
      <c r="C76" s="3340"/>
      <c r="D76" s="362">
        <f ca="1">IF(H76="转让取得",C99,C115)</f>
        <v>21419</v>
      </c>
      <c r="E76" s="17" t="s">
        <v>423</v>
      </c>
      <c r="F76" s="53" t="s">
        <v>21</v>
      </c>
      <c r="G76" s="361"/>
      <c r="H76" s="363" t="s">
        <v>424</v>
      </c>
      <c r="I76" s="42"/>
      <c r="J76" s="2021"/>
      <c r="K76" s="3006" t="str">
        <f>IF(项目基本情况!K6="上海银行",IF(K75="",4,K75+1),"")</f>
        <v/>
      </c>
      <c r="L76" s="3279" t="str">
        <f>IF(项目基本情况!K6="上海银行","其他处置费用","")</f>
        <v/>
      </c>
      <c r="M76" s="3280"/>
      <c r="N76" s="1292" t="str">
        <f>IF(项目基本情况!K6="上海银行",N89,"")</f>
        <v/>
      </c>
      <c r="O76" s="3281" t="str">
        <f>IF(项目基本情况!K6="上海银行","包含处置中涉及的律师、诉讼、拍卖、评估等费用","")</f>
        <v/>
      </c>
      <c r="P76" s="3282"/>
      <c r="Q76" s="2014"/>
      <c r="R76" s="2014"/>
      <c r="S76" s="2014"/>
      <c r="T76" s="2014"/>
      <c r="U76" s="2014"/>
      <c r="V76" s="2014"/>
    </row>
    <row r="77" spans="1:22" ht="26.5" thickBot="1">
      <c r="A77" s="3309" t="s">
        <v>426</v>
      </c>
      <c r="B77" s="3310"/>
      <c r="C77" s="3310"/>
      <c r="D77" s="366">
        <f ca="1">IF(H77="非个人房产","——",IF(H77="个人住宅",0,ROUND(D63*I77,0)))</f>
        <v>390</v>
      </c>
      <c r="E77" s="367" t="str">
        <f>IF(H77="非个人房产","——","销售额×税（费）率")</f>
        <v>销售额×税（费）率</v>
      </c>
      <c r="F77" s="368">
        <f>IF(H77="非个人房产","——",IF(H77="个人住宅","免征",I77))</f>
        <v>0.01</v>
      </c>
      <c r="G77" s="984" t="s">
        <v>417</v>
      </c>
      <c r="H77" s="363" t="s">
        <v>2881</v>
      </c>
      <c r="I77" s="369">
        <v>0.01</v>
      </c>
      <c r="J77" s="2021"/>
      <c r="K77" s="3305">
        <f>IF(AND(K75="",K76=""),4,IF(项目基本情况!K6="上海银行",K76+1,K75+1))</f>
        <v>5</v>
      </c>
      <c r="L77" s="3291" t="s">
        <v>2882</v>
      </c>
      <c r="M77" s="3012" t="s">
        <v>421</v>
      </c>
      <c r="N77" s="1298"/>
      <c r="O77" s="1299">
        <f ca="1">SUMIF(N72:N76,"&lt;9e307")</f>
        <v>23889</v>
      </c>
      <c r="P77" s="1300"/>
      <c r="Q77" s="3010">
        <f ca="1">O77/N69</f>
        <v>0.68991509270490381</v>
      </c>
      <c r="R77" s="2014"/>
      <c r="S77" s="2014"/>
      <c r="T77" s="2014"/>
      <c r="U77" s="2014"/>
      <c r="V77" s="2014"/>
    </row>
    <row r="78" spans="1:22" ht="12" customHeight="1">
      <c r="A78" s="1301"/>
      <c r="B78" s="311"/>
      <c r="C78" s="311"/>
      <c r="D78" s="311"/>
      <c r="E78" s="42"/>
      <c r="F78" s="42"/>
      <c r="G78" s="42"/>
      <c r="H78" s="1003"/>
      <c r="I78" s="311"/>
      <c r="J78" s="2021"/>
      <c r="K78" s="3305"/>
      <c r="L78" s="3291"/>
      <c r="M78" s="3012" t="s">
        <v>425</v>
      </c>
      <c r="N78" s="1298"/>
      <c r="O78" s="1299" t="str">
        <f ca="1">NUMBERSTRING(INT(O77*10000),2)&amp;"元整"</f>
        <v>贰亿叁仟捌佰捌拾玖万元整</v>
      </c>
      <c r="P78" s="1300"/>
      <c r="Q78" s="2014"/>
      <c r="R78" s="2014"/>
      <c r="S78" s="2014"/>
      <c r="T78" s="2014"/>
      <c r="U78" s="2014"/>
      <c r="V78" s="2014"/>
    </row>
    <row r="79" spans="1:22" ht="13.5" thickBot="1">
      <c r="A79" s="3295" t="s">
        <v>427</v>
      </c>
      <c r="B79" s="3295"/>
      <c r="C79" s="3295"/>
      <c r="D79" s="3295"/>
      <c r="E79" s="3295"/>
      <c r="F79" s="42"/>
      <c r="G79" s="42"/>
      <c r="H79" s="1003"/>
      <c r="I79" s="311"/>
      <c r="J79" s="2021"/>
      <c r="K79" s="3289">
        <f>K77+1</f>
        <v>6</v>
      </c>
      <c r="L79" s="3291" t="s">
        <v>2883</v>
      </c>
      <c r="M79" s="3012" t="s">
        <v>421</v>
      </c>
      <c r="N79" s="1298"/>
      <c r="O79" s="1299">
        <f ca="1">N69-O77</f>
        <v>10737</v>
      </c>
      <c r="P79" s="1300"/>
      <c r="Q79" s="2014"/>
      <c r="R79" s="2014"/>
      <c r="S79" s="2014"/>
      <c r="T79" s="2014"/>
      <c r="U79" s="2014"/>
      <c r="V79" s="2014"/>
    </row>
    <row r="80" spans="1:22" ht="25">
      <c r="A80" s="3296" t="s">
        <v>428</v>
      </c>
      <c r="B80" s="3297"/>
      <c r="C80" s="994"/>
      <c r="D80" s="994" t="s">
        <v>429</v>
      </c>
      <c r="E80" s="370" t="s">
        <v>430</v>
      </c>
      <c r="F80" s="42"/>
      <c r="G80" s="42"/>
      <c r="H80" s="1003"/>
      <c r="I80" s="311"/>
      <c r="J80" s="2014"/>
      <c r="K80" s="3290"/>
      <c r="L80" s="3291"/>
      <c r="M80" s="3012" t="s">
        <v>425</v>
      </c>
      <c r="N80" s="1298"/>
      <c r="O80" s="1299" t="str">
        <f ca="1">NUMBERSTRING(INT(O79*10000),2)&amp;"元整"</f>
        <v>壹亿零柒佰叁拾柒万元整</v>
      </c>
      <c r="P80" s="1300"/>
      <c r="Q80" s="2014"/>
      <c r="R80" s="2014"/>
      <c r="S80" s="2014"/>
      <c r="T80" s="2014"/>
      <c r="U80" s="2014"/>
      <c r="V80" s="2014"/>
    </row>
    <row r="81" spans="1:26" ht="13.5" thickBot="1">
      <c r="A81" s="381" t="s">
        <v>1823</v>
      </c>
      <c r="B81" s="371" t="s">
        <v>431</v>
      </c>
      <c r="C81" s="372">
        <f ca="1">ROUND((C82+C83)/(1+'数据-取费表'!C42),0)</f>
        <v>37144</v>
      </c>
      <c r="D81" s="373"/>
      <c r="E81" s="374"/>
      <c r="F81" s="42"/>
      <c r="G81" s="42"/>
      <c r="H81" s="1003"/>
      <c r="I81" s="311"/>
      <c r="J81" s="2014"/>
      <c r="K81" s="3006">
        <f>K79+1</f>
        <v>7</v>
      </c>
      <c r="L81" s="3303" t="s">
        <v>2884</v>
      </c>
      <c r="M81" s="3304"/>
      <c r="N81" s="1302"/>
      <c r="O81" s="1303">
        <f ca="1">ROUND(O79*10000/'数据-汇总表'!E3,0)</f>
        <v>357</v>
      </c>
      <c r="P81" s="1304"/>
      <c r="Q81" s="2014"/>
      <c r="R81" s="2014"/>
      <c r="S81" s="2014"/>
      <c r="T81" s="2014"/>
      <c r="U81" s="2014"/>
      <c r="V81" s="2014"/>
    </row>
    <row r="82" spans="1:26" ht="13.5" thickTop="1">
      <c r="A82" s="375" t="s">
        <v>1824</v>
      </c>
      <c r="B82" s="376" t="s">
        <v>432</v>
      </c>
      <c r="C82" s="377">
        <f ca="1">D63</f>
        <v>39001</v>
      </c>
      <c r="D82" s="378" t="s">
        <v>19</v>
      </c>
      <c r="E82" s="379"/>
      <c r="F82" s="42"/>
      <c r="G82" s="42"/>
      <c r="H82" s="1003"/>
      <c r="I82" s="311"/>
      <c r="J82" s="2014"/>
      <c r="K82" s="2014"/>
      <c r="L82" s="2014"/>
      <c r="M82" s="2014"/>
      <c r="N82" s="2014"/>
      <c r="O82" s="2014"/>
      <c r="P82" s="2014"/>
      <c r="Q82" s="2014"/>
      <c r="R82" s="2014"/>
      <c r="S82" s="2014"/>
      <c r="T82" s="2014"/>
      <c r="U82" s="2014"/>
      <c r="V82" s="2014"/>
    </row>
    <row r="83" spans="1:26" ht="13">
      <c r="A83" s="375" t="s">
        <v>1825</v>
      </c>
      <c r="B83" s="376" t="s">
        <v>433</v>
      </c>
      <c r="C83" s="380">
        <v>0</v>
      </c>
      <c r="D83" s="378"/>
      <c r="E83" s="379"/>
      <c r="F83" s="42"/>
      <c r="G83" s="42"/>
      <c r="H83" s="1003"/>
      <c r="I83" s="311"/>
      <c r="J83" s="2014"/>
      <c r="K83" s="3278" t="s">
        <v>2871</v>
      </c>
      <c r="L83" s="3018" t="s">
        <v>2872</v>
      </c>
      <c r="M83" s="3008">
        <f ca="1">IF(N69&gt;10000,N69*0.5%,IF(AND(N69&gt;1000,N69&lt;=10000),N69*1%,IF(AND(N69&gt;100,N69&lt;=1000),N69*3%,IF(AND(N69&gt;10,N69&lt;=100),N69*5%,N69*8%))))</f>
        <v>173.13</v>
      </c>
      <c r="N83" s="53">
        <f ca="1">ROUND(M83,1)</f>
        <v>173.1</v>
      </c>
      <c r="O83" s="3011"/>
      <c r="P83" s="2014"/>
      <c r="Q83" s="2014"/>
      <c r="R83" s="2014"/>
      <c r="S83" s="2014"/>
      <c r="T83" s="2014"/>
      <c r="U83" s="2014"/>
      <c r="V83" s="2014"/>
    </row>
    <row r="84" spans="1:26" ht="13.5">
      <c r="A84" s="381" t="s">
        <v>1826</v>
      </c>
      <c r="B84" s="382" t="s">
        <v>434</v>
      </c>
      <c r="C84" s="383">
        <v>2000</v>
      </c>
      <c r="D84" s="384" t="s">
        <v>19</v>
      </c>
      <c r="E84" s="3053" t="s">
        <v>2939</v>
      </c>
      <c r="F84" s="42"/>
      <c r="G84" s="42"/>
      <c r="H84" s="1003"/>
      <c r="I84" s="311"/>
      <c r="J84" s="2014"/>
      <c r="K84" s="3278"/>
      <c r="L84" s="3018" t="s">
        <v>2873</v>
      </c>
      <c r="M84" s="3008">
        <f ca="1">IF(N69&gt;2000,N69*0.5%,IF(AND(N69&gt;1000,N69&lt;=2000),N69*0.6%,IF(AND(N69&gt;500,N69&lt;=1000),N69*0.7%,IF(AND(N69&gt;200,N69&lt;=500),N69*0.8%,IF(AND(N69&gt;100,N69&lt;=200),N69*0.9%,IF(AND(N69&gt;50,N69&lt;=100),N69*1%,IF(AND(N69&gt;20,N69&lt;=50),N69*1.5%,IF(AND(N69&gt;10,N69&lt;=20),N69*2%,IF(AND(N69&gt;1,N69&lt;=10),N69*2.5%)))))))))</f>
        <v>173.13</v>
      </c>
      <c r="N84" s="53">
        <f t="shared" ref="N84:N85" ca="1" si="2">ROUND(M84,1)</f>
        <v>173.1</v>
      </c>
      <c r="O84" s="2014" t="s">
        <v>2874</v>
      </c>
      <c r="P84" s="2014"/>
      <c r="Q84" s="2014"/>
      <c r="R84" s="2014"/>
      <c r="S84" s="2014"/>
      <c r="T84" s="2014"/>
      <c r="U84" s="2014"/>
      <c r="V84" s="2014"/>
    </row>
    <row r="85" spans="1:26" ht="13">
      <c r="A85" s="381" t="s">
        <v>1827</v>
      </c>
      <c r="B85" s="382" t="s">
        <v>435</v>
      </c>
      <c r="C85" s="385">
        <f ca="1">C81-C84</f>
        <v>35144</v>
      </c>
      <c r="D85" s="378" t="s">
        <v>19</v>
      </c>
      <c r="E85" s="379"/>
      <c r="F85" s="42"/>
      <c r="G85" s="42"/>
      <c r="H85" s="1003"/>
      <c r="I85" s="311"/>
      <c r="J85" s="2014"/>
      <c r="K85" s="3278"/>
      <c r="L85" s="3018" t="s">
        <v>2875</v>
      </c>
      <c r="M85" s="3008">
        <f ca="1">IF(N69&gt;1000,N69*0.1%,IF(AND(N69&gt;500,N69&lt;=1000),N69*0.5%,IF(AND(N69&gt;50,N69&lt;=500),N69*1%,IF(AND(N69&gt;1,N69&lt;=50),N69*1.5%))))</f>
        <v>34.625999999999998</v>
      </c>
      <c r="N85" s="53">
        <f t="shared" ca="1" si="2"/>
        <v>34.6</v>
      </c>
      <c r="O85" s="2014" t="s">
        <v>2874</v>
      </c>
      <c r="P85" s="2014"/>
      <c r="Q85" s="2014"/>
      <c r="R85" s="2014"/>
      <c r="S85" s="2014"/>
      <c r="T85" s="2014"/>
      <c r="U85" s="2014"/>
      <c r="V85" s="2014"/>
    </row>
    <row r="86" spans="1:26" ht="13.5" thickBot="1">
      <c r="A86" s="386" t="s">
        <v>1828</v>
      </c>
      <c r="B86" s="387" t="s">
        <v>436</v>
      </c>
      <c r="C86" s="388">
        <f ca="1">IF(C85&lt;=0,0,ROUND(C85*D86,0))</f>
        <v>1968</v>
      </c>
      <c r="D86" s="389">
        <f>'数据-取费表'!B41</f>
        <v>5.6000000000000001E-2</v>
      </c>
      <c r="E86" s="390"/>
      <c r="F86" s="42"/>
      <c r="G86" s="42"/>
      <c r="H86" s="1003"/>
      <c r="I86" s="311"/>
      <c r="J86" s="2014"/>
      <c r="K86" s="3278"/>
      <c r="L86" s="3018" t="s">
        <v>2876</v>
      </c>
      <c r="M86" s="3008">
        <f ca="1">N69*0.5%</f>
        <v>173.13</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8"/>
      <c r="L87" s="3018" t="s">
        <v>2878</v>
      </c>
      <c r="M87" s="3008">
        <f ca="1">IF(N69&gt;=10000,(8.25+(N69-10000)*0.01%),IF(AND(N69&gt;=8000,N69&lt;10000),(7.85+(N69-8000)*0.02%),IF(AND(N69&gt;=5000,N69&lt;8000),(6.65+(N69-5000)*0.04%),IF(AND(N69&gt;=2000,N69&lt;5000),(4.25+(PN69-2000)*0.08%),IF(AND(N69&gt;=1000,N69&lt;2000),(2.75+(N69-1000)*0.15%),IF(AND(N69&gt;=100,N69&lt;1000),(0.5+(N69-100)*0.25%),IF(AND(N69&gt;0,N69&lt;100),N69*0.5%)))))))</f>
        <v>10.7126</v>
      </c>
      <c r="N87" s="53">
        <f ca="1">ROUND(M87*0.9,1)</f>
        <v>9.6</v>
      </c>
      <c r="O87" s="3011"/>
      <c r="P87" s="311"/>
      <c r="Q87" s="2014"/>
      <c r="R87" s="2014"/>
      <c r="S87" s="2014"/>
      <c r="T87" s="2014"/>
      <c r="U87" s="2014"/>
      <c r="V87" s="2014"/>
      <c r="W87" s="292"/>
      <c r="X87" s="292"/>
      <c r="Y87" s="292"/>
      <c r="Z87" s="292"/>
    </row>
    <row r="88" spans="1:26" s="1310" customFormat="1" ht="14.5" thickBot="1">
      <c r="A88" s="3332" t="s">
        <v>437</v>
      </c>
      <c r="B88" s="3333"/>
      <c r="C88" s="3333"/>
      <c r="D88" s="3333"/>
      <c r="E88" s="3333"/>
      <c r="F88" s="3333"/>
      <c r="G88" s="3333"/>
      <c r="H88" s="3333"/>
      <c r="I88" s="1311"/>
      <c r="J88" s="2022"/>
      <c r="K88" s="3278"/>
      <c r="L88" s="3018" t="s">
        <v>2879</v>
      </c>
      <c r="M88" s="3008">
        <f ca="1">IF(N69&gt;10000,N69*0.5%,IF(AND(N69&gt;5000,N69&lt;=10000),N69*1%,IF(AND(N69&gt;1000,N69&lt;=5000),N69*2%,IF(AND(N69&gt;200,N69&lt;=1000),N69*3%,N69*5%))))</f>
        <v>173.13</v>
      </c>
      <c r="N88" s="53">
        <f ca="1">ROUND(M88,1)</f>
        <v>173.1</v>
      </c>
      <c r="O88" s="3011"/>
      <c r="P88" s="11"/>
      <c r="Q88" s="2019"/>
      <c r="R88" s="2019"/>
      <c r="S88" s="2019"/>
      <c r="T88" s="2019"/>
      <c r="U88" s="2019"/>
      <c r="V88" s="2019"/>
      <c r="W88" s="2023"/>
      <c r="X88" s="2023"/>
      <c r="Y88" s="2023"/>
      <c r="Z88" s="2023"/>
    </row>
    <row r="89" spans="1:26" s="1310" customFormat="1" ht="14">
      <c r="A89" s="3296" t="s">
        <v>428</v>
      </c>
      <c r="B89" s="3297"/>
      <c r="C89" s="994"/>
      <c r="D89" s="994" t="s">
        <v>429</v>
      </c>
      <c r="E89" s="391" t="s">
        <v>438</v>
      </c>
      <c r="F89" s="392"/>
      <c r="G89" s="392"/>
      <c r="H89" s="393"/>
      <c r="I89" s="1312"/>
      <c r="J89" s="2024"/>
      <c r="K89" s="3278"/>
      <c r="L89" s="3018" t="s">
        <v>27</v>
      </c>
      <c r="M89" s="3009"/>
      <c r="N89" s="53">
        <f ca="1">ROUND(SUM(N83:N88),0)</f>
        <v>564</v>
      </c>
      <c r="O89" s="3019">
        <f ca="1">N89/N69</f>
        <v>1.6288338242938832E-2</v>
      </c>
      <c r="P89" s="2019"/>
      <c r="Q89" s="2019"/>
      <c r="R89" s="2019"/>
      <c r="S89" s="2019"/>
      <c r="T89" s="2019"/>
      <c r="U89" s="2019"/>
      <c r="V89" s="2019"/>
      <c r="W89" s="2023"/>
      <c r="X89" s="2023"/>
      <c r="Y89" s="2023"/>
      <c r="Z89" s="2023"/>
    </row>
    <row r="90" spans="1:26" s="1310" customFormat="1" ht="14">
      <c r="A90" s="381" t="s">
        <v>1823</v>
      </c>
      <c r="B90" s="382" t="s">
        <v>439</v>
      </c>
      <c r="C90" s="385">
        <f ca="1">ROUND(D63/(1+'数据-取费表'!C42),0)</f>
        <v>37144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
      <c r="A91" s="381" t="s">
        <v>1829</v>
      </c>
      <c r="B91" s="348" t="s">
        <v>440</v>
      </c>
      <c r="C91" s="385">
        <f ca="1">C92+C96</f>
        <v>2784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9" t="s">
        <v>447</v>
      </c>
      <c r="F94" s="3330"/>
      <c r="G94" s="3330"/>
      <c r="H94" s="333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223</v>
      </c>
      <c r="D96" s="406">
        <f>'数据-取费表'!B43</f>
        <v>6.000000000000001E-3</v>
      </c>
      <c r="E96" s="3319" t="s">
        <v>2426</v>
      </c>
      <c r="F96" s="3320"/>
      <c r="G96" s="3320"/>
      <c r="H96" s="332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
      <c r="A97" s="1603" t="s">
        <v>1835</v>
      </c>
      <c r="B97" s="382" t="s">
        <v>451</v>
      </c>
      <c r="C97" s="385">
        <f ca="1">C90-C91</f>
        <v>34360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6">
      <c r="A98" s="1603" t="s">
        <v>1836</v>
      </c>
      <c r="B98" s="382" t="s">
        <v>452</v>
      </c>
      <c r="C98" s="407">
        <f ca="1">IF(C97&lt;=0,0,C97/C91)</f>
        <v>12.341954022988507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6.5" thickBot="1">
      <c r="A99" s="1604" t="s">
        <v>1837</v>
      </c>
      <c r="B99" s="387" t="s">
        <v>453</v>
      </c>
      <c r="C99" s="408">
        <f ca="1">ROUND(IF(C97&lt;=0,0,IF(C98&gt;=200%,C97*60%-C91*35%,IF(C98&gt;=100%,C97*50%-C91*15%,IF(C98&gt;=50%,C97*40%-C91*5%,IF(C98&lt;50%,C97*30%,0))))),0)</f>
        <v>19642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5" thickBot="1">
      <c r="A101" s="3332" t="s">
        <v>454</v>
      </c>
      <c r="B101" s="3333"/>
      <c r="C101" s="3333"/>
      <c r="D101" s="3333"/>
      <c r="E101" s="3333"/>
      <c r="F101" s="3333"/>
      <c r="G101" s="3333"/>
      <c r="H101" s="333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
      <c r="A102" s="3296" t="s">
        <v>428</v>
      </c>
      <c r="B102" s="329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
      <c r="A103" s="381" t="s">
        <v>1823</v>
      </c>
      <c r="B103" s="382" t="s">
        <v>439</v>
      </c>
      <c r="C103" s="385">
        <f ca="1">ROUND(D63/(1+'数据-取费表'!C42),0)</f>
        <v>37144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
      <c r="A104" s="381" t="s">
        <v>1829</v>
      </c>
      <c r="B104" s="348" t="s">
        <v>440</v>
      </c>
      <c r="C104" s="385">
        <f ca="1">IF(H106="仅含出让金",C105+C108+C109+C110+C111+C112,C105+C109+C110+C111+C112)</f>
        <v>913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2" t="s">
        <v>462</v>
      </c>
      <c r="F109" s="3320"/>
      <c r="G109" s="3320"/>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2" t="s">
        <v>464</v>
      </c>
      <c r="F110" s="3320"/>
      <c r="G110" s="3320"/>
      <c r="H110" s="332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223</v>
      </c>
      <c r="D111" s="406">
        <f>'数据-取费表'!B43</f>
        <v>6.000000000000001E-3</v>
      </c>
      <c r="E111" s="3319" t="s">
        <v>2426</v>
      </c>
      <c r="F111" s="3320"/>
      <c r="G111" s="3320"/>
      <c r="H111" s="332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2" t="s">
        <v>2451</v>
      </c>
      <c r="F112" s="3320"/>
      <c r="G112" s="3320"/>
      <c r="H112" s="332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
      <c r="A113" s="1603" t="s">
        <v>1835</v>
      </c>
      <c r="B113" s="382" t="s">
        <v>451</v>
      </c>
      <c r="C113" s="385">
        <f ca="1">ROUND(C103-C104,0)</f>
        <v>36231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6">
      <c r="A114" s="1603" t="s">
        <v>1836</v>
      </c>
      <c r="B114" s="382" t="s">
        <v>452</v>
      </c>
      <c r="C114" s="407">
        <f ca="1">IF(C113&lt;=0,0,C113/C104)</f>
        <v>39.68346111719606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6.5" thickBot="1">
      <c r="A115" s="1604" t="s">
        <v>1837</v>
      </c>
      <c r="B115" s="387" t="s">
        <v>453</v>
      </c>
      <c r="C115" s="408">
        <f ca="1">ROUND(IF(C113&lt;=0,0,IF(C114&gt;=200%,C113*60%-C104*35%,IF(C114&gt;=100%,C113*50%-C104*15%,IF(C114&gt;=50%,C113*40%-C104*5%,IF(C114&lt;50%,C113*30%,0))))),0)</f>
        <v>21419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N50" sqref="N50"/>
    </sheetView>
  </sheetViews>
  <sheetFormatPr defaultColWidth="9" defaultRowHeight="14"/>
  <cols>
    <col min="1" max="1" width="15.6328125" style="1333" customWidth="1"/>
    <col min="2" max="2" width="15.81640625" style="1333" customWidth="1"/>
    <col min="3" max="3" width="15.1796875" style="1333" customWidth="1"/>
    <col min="4" max="4" width="12.1796875" style="1333" customWidth="1"/>
    <col min="5" max="5" width="16.08984375" style="1333" customWidth="1"/>
    <col min="6" max="6" width="12.1796875" style="1333" customWidth="1"/>
    <col min="7" max="7" width="15.6328125" style="1333" customWidth="1"/>
    <col min="8" max="8" width="12.1796875" style="1333" customWidth="1"/>
    <col min="9" max="9" width="15.6328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64773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2156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4959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331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77" t="s">
        <v>522</v>
      </c>
      <c r="D6" s="3378"/>
      <c r="E6" s="3377" t="s">
        <v>523</v>
      </c>
      <c r="F6" s="3378"/>
      <c r="G6" s="3377" t="s">
        <v>524</v>
      </c>
      <c r="H6" s="3378"/>
      <c r="I6" s="3377" t="s">
        <v>525</v>
      </c>
      <c r="J6" s="3378"/>
      <c r="K6" s="514" t="s">
        <v>526</v>
      </c>
      <c r="L6" s="2119"/>
      <c r="M6" s="2118"/>
      <c r="N6" s="2118"/>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30" ht="43" customHeight="1">
      <c r="A7" s="515"/>
      <c r="B7" s="516"/>
      <c r="C7" s="3388" t="s">
        <v>2928</v>
      </c>
      <c r="D7" s="3389"/>
      <c r="E7" s="3388" t="str">
        <f>Sheet1!$A$3</f>
        <v>相山区规划新兴路东、泉山支路北</v>
      </c>
      <c r="F7" s="3389"/>
      <c r="G7" s="3388" t="str">
        <f>Sheet1!$A$4</f>
        <v>人民路北、符夹铁路线以东</v>
      </c>
      <c r="H7" s="3389"/>
      <c r="I7" s="3388" t="str">
        <f>Sheet1!$A$13</f>
        <v>桂苑路南、南湖路西</v>
      </c>
      <c r="J7" s="3389"/>
      <c r="K7" s="514"/>
      <c r="L7" s="2119"/>
      <c r="M7" s="2118"/>
      <c r="N7" s="2118"/>
      <c r="O7" s="2120"/>
      <c r="P7" s="3381"/>
      <c r="Q7" s="3382"/>
      <c r="R7" s="3367"/>
      <c r="S7" s="3368"/>
      <c r="T7" s="3367"/>
      <c r="U7" s="3368"/>
      <c r="V7" s="3385"/>
      <c r="W7" s="3385"/>
      <c r="X7" s="1554"/>
      <c r="Y7" s="3367"/>
      <c r="Z7" s="3368"/>
      <c r="AA7" s="3361"/>
      <c r="AB7" s="3361"/>
      <c r="AC7" s="3361"/>
    </row>
    <row r="8" spans="1:30" ht="20.5" thickBot="1">
      <c r="A8" s="515"/>
      <c r="B8" s="516"/>
      <c r="C8" s="3390" t="s">
        <v>2932</v>
      </c>
      <c r="D8" s="3391"/>
      <c r="E8" s="3390" t="s">
        <v>2932</v>
      </c>
      <c r="F8" s="3391"/>
      <c r="G8" s="3386" t="s">
        <v>2932</v>
      </c>
      <c r="H8" s="3387"/>
      <c r="I8" s="3386" t="s">
        <v>2932</v>
      </c>
      <c r="J8" s="3387"/>
      <c r="K8" s="514" t="s">
        <v>528</v>
      </c>
      <c r="L8" s="2119"/>
      <c r="M8" s="2118"/>
      <c r="N8" s="2118"/>
      <c r="O8" s="2120"/>
      <c r="P8" s="3383"/>
      <c r="Q8" s="3384"/>
      <c r="R8" s="3367"/>
      <c r="S8" s="3368"/>
      <c r="T8" s="3369"/>
      <c r="U8" s="3370"/>
      <c r="V8" s="3385"/>
      <c r="W8" s="3385"/>
      <c r="X8" s="1554"/>
      <c r="Y8" s="3369"/>
      <c r="Z8" s="3370"/>
      <c r="AA8" s="3362"/>
      <c r="AB8" s="3362"/>
      <c r="AC8" s="3362"/>
    </row>
    <row r="9" spans="1:30" s="1216" customFormat="1" ht="20.5" thickBot="1">
      <c r="A9" s="2868"/>
      <c r="B9" s="2875" t="s">
        <v>529</v>
      </c>
      <c r="C9" s="2867">
        <f>'数据-取费表'!B2</f>
        <v>43875</v>
      </c>
      <c r="D9" s="520">
        <v>100</v>
      </c>
      <c r="E9" s="521" t="str">
        <f>Sheet1!$G$3</f>
        <v>2019-09-19</v>
      </c>
      <c r="F9" s="522">
        <f>SUMIF(72:72,YEAR(E9)&amp;"-"&amp;INT((MONTH(E9)+2)/3),73:73)</f>
        <v>99</v>
      </c>
      <c r="G9" s="523" t="str">
        <f>Sheet1!$G$4</f>
        <v>2019-04-10</v>
      </c>
      <c r="H9" s="520">
        <f>SUMIF(72:72,YEAR(G9)&amp;"-"&amp;INT((MONTH(G9)+2)/3),73:73)</f>
        <v>98.5</v>
      </c>
      <c r="I9" s="523" t="str">
        <f>Sheet1!$G$13</f>
        <v>2018-11-30</v>
      </c>
      <c r="J9" s="520">
        <f>SUMIF(72:72,YEAR(I9)&amp;"-"&amp;INT((MONTH(I9)+2)/3),73:73)</f>
        <v>97.5</v>
      </c>
      <c r="K9" s="524"/>
      <c r="L9" s="2121"/>
      <c r="M9" s="2118"/>
      <c r="N9" s="2118"/>
      <c r="O9" s="2122"/>
      <c r="P9" s="3363" t="s">
        <v>530</v>
      </c>
      <c r="Q9" s="3372"/>
      <c r="R9" s="1555" t="s">
        <v>8</v>
      </c>
      <c r="S9" s="1556">
        <f t="shared" ref="S9:S17" si="0">F9</f>
        <v>99</v>
      </c>
      <c r="T9" s="1555" t="s">
        <v>8</v>
      </c>
      <c r="U9" s="1556">
        <f t="shared" ref="U9:U17" si="1">H9</f>
        <v>98.5</v>
      </c>
      <c r="V9" s="1555" t="s">
        <v>8</v>
      </c>
      <c r="W9" s="1556">
        <f t="shared" ref="W9:W17" si="2">J9</f>
        <v>97.5</v>
      </c>
      <c r="X9" s="1557"/>
      <c r="Y9" s="3363" t="s">
        <v>530</v>
      </c>
      <c r="Z9" s="3364"/>
      <c r="AA9" s="1558">
        <f>D9/F9</f>
        <v>1.0101010101010102</v>
      </c>
      <c r="AB9" s="1558">
        <f>D9/H9</f>
        <v>1.015228426395939</v>
      </c>
      <c r="AC9" s="1558">
        <f>D9/J9</f>
        <v>1.0256410256410255</v>
      </c>
    </row>
    <row r="10" spans="1:30" s="1216" customFormat="1" ht="20.5"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3" t="s">
        <v>533</v>
      </c>
      <c r="Q10" s="3364"/>
      <c r="R10" s="1555" t="s">
        <v>8</v>
      </c>
      <c r="S10" s="1556">
        <f t="shared" si="0"/>
        <v>100</v>
      </c>
      <c r="T10" s="1555" t="s">
        <v>8</v>
      </c>
      <c r="U10" s="1556">
        <f t="shared" si="1"/>
        <v>100</v>
      </c>
      <c r="V10" s="1555" t="s">
        <v>8</v>
      </c>
      <c r="W10" s="1556">
        <f t="shared" si="2"/>
        <v>100</v>
      </c>
      <c r="X10" s="1557"/>
      <c r="Y10" s="3363" t="s">
        <v>533</v>
      </c>
      <c r="Z10" s="3364"/>
      <c r="AA10" s="1558">
        <f t="shared" ref="AA10:AA47" si="3">D10/F10</f>
        <v>1</v>
      </c>
      <c r="AB10" s="1558">
        <f t="shared" ref="AB10:AB47" si="4">D10/H10</f>
        <v>1</v>
      </c>
      <c r="AC10" s="1558">
        <f t="shared" ref="AC10:AC47" si="5">D10/J10</f>
        <v>1</v>
      </c>
    </row>
    <row r="11" spans="1:30" s="1216" customFormat="1" ht="20">
      <c r="A11" s="2870"/>
      <c r="B11" s="2877" t="s">
        <v>2753</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30" s="1334" customFormat="1" ht="28">
      <c r="A12" s="2871"/>
      <c r="B12" s="2876" t="s">
        <v>2754</v>
      </c>
      <c r="C12" s="910">
        <v>70</v>
      </c>
      <c r="D12" s="255">
        <v>100</v>
      </c>
      <c r="E12" s="529" t="s">
        <v>3072</v>
      </c>
      <c r="F12" s="255">
        <f>ROUND(100/'数据-取费表'!G16,0)</f>
        <v>100</v>
      </c>
      <c r="G12" s="530" t="s">
        <v>3072</v>
      </c>
      <c r="H12" s="255">
        <f>ROUND(100/'数据-取费表'!G16,0)</f>
        <v>100</v>
      </c>
      <c r="I12" s="530" t="s">
        <v>3072</v>
      </c>
      <c r="J12" s="255">
        <f>ROUND(100/'数据-取费表'!G16,0)</f>
        <v>100</v>
      </c>
      <c r="K12" s="531"/>
      <c r="L12" s="2124"/>
      <c r="M12" s="2118"/>
      <c r="N12" s="2118"/>
      <c r="O12" s="2125"/>
      <c r="P12" s="3371"/>
      <c r="Q12" s="1147" t="str">
        <f t="shared" si="6"/>
        <v>土地使用年限（年）</v>
      </c>
      <c r="R12" s="1555" t="s">
        <v>8</v>
      </c>
      <c r="S12" s="1556">
        <f t="shared" si="0"/>
        <v>100</v>
      </c>
      <c r="T12" s="1555" t="s">
        <v>8</v>
      </c>
      <c r="U12" s="1556">
        <f t="shared" si="1"/>
        <v>100</v>
      </c>
      <c r="V12" s="1555" t="s">
        <v>8</v>
      </c>
      <c r="W12" s="1556">
        <f t="shared" si="2"/>
        <v>100</v>
      </c>
      <c r="X12" s="1557"/>
      <c r="Y12" s="3328"/>
      <c r="Z12" s="1146" t="str">
        <f t="shared" si="7"/>
        <v>土地使用年限（年）</v>
      </c>
      <c r="AA12" s="1558">
        <f t="shared" si="3"/>
        <v>1</v>
      </c>
      <c r="AB12" s="1558">
        <f t="shared" si="4"/>
        <v>1</v>
      </c>
      <c r="AC12" s="1558">
        <f t="shared" si="5"/>
        <v>1</v>
      </c>
    </row>
    <row r="13" spans="1:30" ht="20.5" thickBot="1">
      <c r="A13" s="2872"/>
      <c r="B13" s="2876" t="s">
        <v>2755</v>
      </c>
      <c r="C13" s="534">
        <f>'数据-汇总表'!I6</f>
        <v>2.2999999999999998</v>
      </c>
      <c r="D13" s="255">
        <v>100</v>
      </c>
      <c r="E13" s="533">
        <v>2.2999999999999998</v>
      </c>
      <c r="F13" s="255">
        <f>LOOKUP(E13,82:82,83:83)-LOOKUP(C13,82:82,83:83)+100</f>
        <v>100</v>
      </c>
      <c r="G13" s="534">
        <v>2.6</v>
      </c>
      <c r="H13" s="255">
        <f>LOOKUP(G13,82:82,83:83)-LOOKUP(C13,82:82,83:83)+100</f>
        <v>100</v>
      </c>
      <c r="I13" s="533">
        <v>2.5</v>
      </c>
      <c r="J13" s="255">
        <f>LOOKUP(I13,82:82,83:83)-LOOKUP(C13,82:82,83:83)+100</f>
        <v>100</v>
      </c>
      <c r="K13" s="535">
        <v>2</v>
      </c>
      <c r="L13" s="2126"/>
      <c r="M13" s="2118"/>
      <c r="N13" s="2118"/>
      <c r="O13" s="2127"/>
      <c r="P13" s="3371"/>
      <c r="Q13" s="1147" t="str">
        <f t="shared" si="6"/>
        <v>容积率</v>
      </c>
      <c r="R13" s="1555" t="s">
        <v>8</v>
      </c>
      <c r="S13" s="1556">
        <f t="shared" si="0"/>
        <v>100</v>
      </c>
      <c r="T13" s="1555" t="s">
        <v>8</v>
      </c>
      <c r="U13" s="1556">
        <f t="shared" si="1"/>
        <v>100</v>
      </c>
      <c r="V13" s="1555" t="s">
        <v>8</v>
      </c>
      <c r="W13" s="1556">
        <f t="shared" si="2"/>
        <v>100</v>
      </c>
      <c r="X13" s="1557"/>
      <c r="Y13" s="3328"/>
      <c r="Z13" s="1146" t="str">
        <f t="shared" si="7"/>
        <v>容积率</v>
      </c>
      <c r="AA13" s="1558">
        <f t="shared" si="3"/>
        <v>1</v>
      </c>
      <c r="AB13" s="1558">
        <f t="shared" si="4"/>
        <v>1</v>
      </c>
      <c r="AC13" s="1558">
        <f t="shared" si="5"/>
        <v>1</v>
      </c>
    </row>
    <row r="14" spans="1:30" s="1216" customFormat="1" ht="20" hidden="1">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1"/>
      <c r="Q14" s="1147" t="str">
        <f t="shared" si="6"/>
        <v>配建</v>
      </c>
      <c r="R14" s="1555" t="s">
        <v>8</v>
      </c>
      <c r="S14" s="1556">
        <f t="shared" si="0"/>
        <v>100</v>
      </c>
      <c r="T14" s="1555" t="s">
        <v>8</v>
      </c>
      <c r="U14" s="1556">
        <f t="shared" si="1"/>
        <v>100</v>
      </c>
      <c r="V14" s="1555" t="s">
        <v>8</v>
      </c>
      <c r="W14" s="1556">
        <f t="shared" si="2"/>
        <v>100</v>
      </c>
      <c r="X14" s="1557"/>
      <c r="Y14" s="3328"/>
      <c r="Z14" s="1146" t="str">
        <f t="shared" si="7"/>
        <v>配建</v>
      </c>
      <c r="AA14" s="1558">
        <f>D14/F14</f>
        <v>1</v>
      </c>
      <c r="AB14" s="1558">
        <f>D14/H14</f>
        <v>1</v>
      </c>
      <c r="AC14" s="1558">
        <f>D14/J14</f>
        <v>1</v>
      </c>
    </row>
    <row r="15" spans="1:30" ht="20"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D15/F15</f>
        <v>1</v>
      </c>
      <c r="AB15" s="1558">
        <f>D15/H15</f>
        <v>1</v>
      </c>
      <c r="AC15" s="1558">
        <f>D15/J15</f>
        <v>1</v>
      </c>
    </row>
    <row r="16" spans="1:30" ht="20.5"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D16/F16</f>
        <v>1</v>
      </c>
      <c r="AB16" s="1558">
        <f>D16/H16</f>
        <v>1</v>
      </c>
      <c r="AC16" s="1558">
        <f>D16/J16</f>
        <v>1</v>
      </c>
    </row>
    <row r="17" spans="1:29" ht="98">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73" t="s">
        <v>540</v>
      </c>
      <c r="Q17" s="1559" t="str">
        <f t="shared" si="6"/>
        <v>居住社区成熟度</v>
      </c>
      <c r="R17" s="1560" t="s">
        <v>8</v>
      </c>
      <c r="S17" s="1561">
        <f t="shared" si="0"/>
        <v>100</v>
      </c>
      <c r="T17" s="1560" t="s">
        <v>8</v>
      </c>
      <c r="U17" s="1561">
        <f t="shared" si="1"/>
        <v>100</v>
      </c>
      <c r="V17" s="1560" t="s">
        <v>8</v>
      </c>
      <c r="W17" s="1561">
        <f t="shared" si="2"/>
        <v>100</v>
      </c>
      <c r="X17" s="1554"/>
      <c r="Y17" s="3373" t="s">
        <v>540</v>
      </c>
      <c r="Z17" s="1562" t="str">
        <f t="shared" si="7"/>
        <v>居住社区成熟度</v>
      </c>
      <c r="AA17" s="1563">
        <f t="shared" si="3"/>
        <v>1</v>
      </c>
      <c r="AB17" s="1563">
        <f t="shared" si="4"/>
        <v>1</v>
      </c>
      <c r="AC17" s="1563">
        <f t="shared" si="5"/>
        <v>1</v>
      </c>
    </row>
    <row r="18" spans="1:29" ht="20">
      <c r="A18" s="532"/>
      <c r="B18" s="553"/>
      <c r="C18" s="554" t="s">
        <v>3073</v>
      </c>
      <c r="D18" s="557"/>
      <c r="E18" s="554" t="s">
        <v>3073</v>
      </c>
      <c r="F18" s="555"/>
      <c r="G18" s="554" t="s">
        <v>3073</v>
      </c>
      <c r="H18" s="559"/>
      <c r="I18" s="554" t="s">
        <v>3073</v>
      </c>
      <c r="J18" s="555"/>
      <c r="K18" s="531"/>
      <c r="L18" s="2128"/>
      <c r="M18" s="2118"/>
      <c r="N18" s="2118"/>
      <c r="O18" s="2127"/>
      <c r="P18" s="3374"/>
      <c r="Q18" s="1559"/>
      <c r="R18" s="1560"/>
      <c r="S18" s="1561"/>
      <c r="T18" s="1560"/>
      <c r="U18" s="1561"/>
      <c r="V18" s="1560"/>
      <c r="W18" s="1561"/>
      <c r="X18" s="1554"/>
      <c r="Y18" s="3374"/>
      <c r="Z18" s="1562"/>
      <c r="AA18" s="1563">
        <v>1</v>
      </c>
      <c r="AB18" s="1563">
        <v>1</v>
      </c>
      <c r="AC18" s="1563">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74"/>
      <c r="Q19" s="1559" t="str">
        <f>B19</f>
        <v>商业繁华度</v>
      </c>
      <c r="R19" s="1560" t="s">
        <v>8</v>
      </c>
      <c r="S19" s="1561">
        <f>F19</f>
        <v>100</v>
      </c>
      <c r="T19" s="1560" t="s">
        <v>8</v>
      </c>
      <c r="U19" s="1561">
        <f>H19</f>
        <v>100</v>
      </c>
      <c r="V19" s="1560" t="s">
        <v>8</v>
      </c>
      <c r="W19" s="1561">
        <f>J19</f>
        <v>100</v>
      </c>
      <c r="X19" s="1554"/>
      <c r="Y19" s="3374"/>
      <c r="Z19" s="1562" t="str">
        <f>Q19</f>
        <v>商业繁华度</v>
      </c>
      <c r="AA19" s="1563">
        <f t="shared" si="3"/>
        <v>1</v>
      </c>
      <c r="AB19" s="1563">
        <f t="shared" si="4"/>
        <v>1</v>
      </c>
      <c r="AC19" s="1563">
        <f t="shared" si="5"/>
        <v>1</v>
      </c>
    </row>
    <row r="20" spans="1:29" ht="20">
      <c r="A20" s="532"/>
      <c r="B20" s="566"/>
      <c r="C20" s="567" t="s">
        <v>3074</v>
      </c>
      <c r="D20" s="563"/>
      <c r="E20" s="567" t="s">
        <v>3074</v>
      </c>
      <c r="F20" s="559"/>
      <c r="G20" s="567" t="s">
        <v>3074</v>
      </c>
      <c r="H20" s="555"/>
      <c r="I20" s="567" t="s">
        <v>3074</v>
      </c>
      <c r="J20" s="555"/>
      <c r="K20" s="531"/>
      <c r="L20" s="2128"/>
      <c r="M20" s="2118"/>
      <c r="N20" s="2118"/>
      <c r="O20" s="2127"/>
      <c r="P20" s="3374"/>
      <c r="Q20" s="1559"/>
      <c r="R20" s="1560"/>
      <c r="S20" s="1561"/>
      <c r="T20" s="1560"/>
      <c r="U20" s="1561"/>
      <c r="V20" s="1560"/>
      <c r="W20" s="1561"/>
      <c r="X20" s="1554"/>
      <c r="Y20" s="3374"/>
      <c r="Z20" s="1562"/>
      <c r="AA20" s="1563">
        <v>1</v>
      </c>
      <c r="AB20" s="1563">
        <v>1</v>
      </c>
      <c r="AC20" s="1563">
        <v>1</v>
      </c>
    </row>
    <row r="21" spans="1:29" ht="84"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4"/>
      <c r="Q21" s="1559" t="str">
        <f>B21</f>
        <v>办公集聚程度</v>
      </c>
      <c r="R21" s="1560" t="s">
        <v>8</v>
      </c>
      <c r="S21" s="1561">
        <f>F21</f>
        <v>100</v>
      </c>
      <c r="T21" s="1560" t="s">
        <v>8</v>
      </c>
      <c r="U21" s="1561">
        <f>H21</f>
        <v>100</v>
      </c>
      <c r="V21" s="1560" t="s">
        <v>8</v>
      </c>
      <c r="W21" s="1561">
        <f>J21</f>
        <v>100</v>
      </c>
      <c r="X21" s="1554"/>
      <c r="Y21" s="3374"/>
      <c r="Z21" s="1562" t="str">
        <f>Q21</f>
        <v>办公集聚程度</v>
      </c>
      <c r="AA21" s="1563">
        <f t="shared" si="3"/>
        <v>1</v>
      </c>
      <c r="AB21" s="1563">
        <f t="shared" si="4"/>
        <v>1</v>
      </c>
      <c r="AC21" s="1563">
        <f t="shared" si="5"/>
        <v>1</v>
      </c>
    </row>
    <row r="22" spans="1:29" ht="20" hidden="1">
      <c r="A22" s="532"/>
      <c r="B22" s="566"/>
      <c r="C22" s="554"/>
      <c r="D22" s="557"/>
      <c r="E22" s="558"/>
      <c r="F22" s="555"/>
      <c r="G22" s="556"/>
      <c r="H22" s="555"/>
      <c r="I22" s="558"/>
      <c r="J22" s="555"/>
      <c r="K22" s="531"/>
      <c r="L22" s="2128"/>
      <c r="M22" s="2118"/>
      <c r="N22" s="2118"/>
      <c r="O22" s="2127"/>
      <c r="P22" s="3374"/>
      <c r="Q22" s="1559"/>
      <c r="R22" s="1560"/>
      <c r="S22" s="1561"/>
      <c r="T22" s="1560"/>
      <c r="U22" s="1561"/>
      <c r="V22" s="1560"/>
      <c r="W22" s="1561"/>
      <c r="X22" s="1554"/>
      <c r="Y22" s="3374"/>
      <c r="Z22" s="1562"/>
      <c r="AA22" s="1563">
        <v>1</v>
      </c>
      <c r="AB22" s="1563">
        <v>1</v>
      </c>
      <c r="AC22" s="1563">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74"/>
      <c r="Q23" s="1559" t="str">
        <f>B23</f>
        <v>交通便捷度</v>
      </c>
      <c r="R23" s="1560" t="s">
        <v>8</v>
      </c>
      <c r="S23" s="1561">
        <f>F23</f>
        <v>100</v>
      </c>
      <c r="T23" s="1560" t="s">
        <v>8</v>
      </c>
      <c r="U23" s="1561">
        <f>H23</f>
        <v>100</v>
      </c>
      <c r="V23" s="1560" t="s">
        <v>8</v>
      </c>
      <c r="W23" s="1561">
        <f>J23</f>
        <v>100</v>
      </c>
      <c r="X23" s="1554"/>
      <c r="Y23" s="3374"/>
      <c r="Z23" s="1562" t="str">
        <f>Q23</f>
        <v>交通便捷度</v>
      </c>
      <c r="AA23" s="1563">
        <f t="shared" si="3"/>
        <v>1</v>
      </c>
      <c r="AB23" s="1563">
        <f t="shared" si="4"/>
        <v>1</v>
      </c>
      <c r="AC23" s="1563">
        <f t="shared" si="5"/>
        <v>1</v>
      </c>
    </row>
    <row r="24" spans="1:29" ht="20">
      <c r="A24" s="532"/>
      <c r="B24" s="578"/>
      <c r="C24" s="554" t="s">
        <v>3073</v>
      </c>
      <c r="D24" s="557"/>
      <c r="E24" s="554" t="s">
        <v>3073</v>
      </c>
      <c r="F24" s="555"/>
      <c r="G24" s="554" t="s">
        <v>3073</v>
      </c>
      <c r="H24" s="555"/>
      <c r="I24" s="554" t="s">
        <v>3073</v>
      </c>
      <c r="J24" s="555"/>
      <c r="K24" s="531"/>
      <c r="L24" s="2128"/>
      <c r="M24" s="2118"/>
      <c r="N24" s="2118"/>
      <c r="O24" s="2127"/>
      <c r="P24" s="3374"/>
      <c r="Q24" s="1559"/>
      <c r="R24" s="1560"/>
      <c r="S24" s="1561"/>
      <c r="T24" s="1560"/>
      <c r="U24" s="1561"/>
      <c r="V24" s="1560"/>
      <c r="W24" s="1561"/>
      <c r="X24" s="1554"/>
      <c r="Y24" s="3374"/>
      <c r="Z24" s="1562"/>
      <c r="AA24" s="1563">
        <v>1</v>
      </c>
      <c r="AB24" s="1563">
        <v>1</v>
      </c>
      <c r="AC24" s="1563">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74"/>
      <c r="Q25" s="1559" t="str">
        <f t="shared" ref="Q25:Q39" si="8">B25</f>
        <v>区域土地利用方向</v>
      </c>
      <c r="R25" s="1560" t="s">
        <v>8</v>
      </c>
      <c r="S25" s="1561">
        <f>F25</f>
        <v>100</v>
      </c>
      <c r="T25" s="1560" t="s">
        <v>8</v>
      </c>
      <c r="U25" s="1561">
        <f>H25</f>
        <v>100</v>
      </c>
      <c r="V25" s="1560" t="s">
        <v>8</v>
      </c>
      <c r="W25" s="1561">
        <f>J25</f>
        <v>100</v>
      </c>
      <c r="X25" s="1554"/>
      <c r="Y25" s="3374"/>
      <c r="Z25" s="1562" t="str">
        <f>Q25</f>
        <v>区域土地利用方向</v>
      </c>
      <c r="AA25" s="1563">
        <f t="shared" si="3"/>
        <v>1</v>
      </c>
      <c r="AB25" s="1563">
        <f t="shared" si="4"/>
        <v>1</v>
      </c>
      <c r="AC25" s="1563">
        <f t="shared" si="5"/>
        <v>1</v>
      </c>
    </row>
    <row r="26" spans="1:29" ht="20">
      <c r="A26" s="515"/>
      <c r="B26" s="1007"/>
      <c r="C26" s="554" t="s">
        <v>3073</v>
      </c>
      <c r="D26" s="557"/>
      <c r="E26" s="554" t="s">
        <v>3073</v>
      </c>
      <c r="F26" s="555"/>
      <c r="G26" s="554" t="s">
        <v>3073</v>
      </c>
      <c r="H26" s="555"/>
      <c r="I26" s="554" t="s">
        <v>3073</v>
      </c>
      <c r="J26" s="555"/>
      <c r="K26" s="531"/>
      <c r="L26" s="2128"/>
      <c r="M26" s="2118"/>
      <c r="N26" s="2118"/>
      <c r="O26" s="2127"/>
      <c r="P26" s="3374"/>
      <c r="Q26" s="1559"/>
      <c r="R26" s="1560"/>
      <c r="S26" s="1561"/>
      <c r="T26" s="1560"/>
      <c r="U26" s="1561"/>
      <c r="V26" s="1560"/>
      <c r="W26" s="1561"/>
      <c r="X26" s="1554"/>
      <c r="Y26" s="3374"/>
      <c r="Z26" s="1562"/>
      <c r="AA26" s="1563"/>
      <c r="AB26" s="1563"/>
      <c r="AC26" s="1563"/>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74"/>
      <c r="Q27" s="1559" t="str">
        <f t="shared" si="8"/>
        <v>自然及人文环境状况</v>
      </c>
      <c r="R27" s="1560" t="s">
        <v>8</v>
      </c>
      <c r="S27" s="1561">
        <f>F27</f>
        <v>100</v>
      </c>
      <c r="T27" s="1560" t="s">
        <v>8</v>
      </c>
      <c r="U27" s="1561">
        <f>H27</f>
        <v>100</v>
      </c>
      <c r="V27" s="1560" t="s">
        <v>8</v>
      </c>
      <c r="W27" s="1561">
        <f>J27</f>
        <v>100</v>
      </c>
      <c r="X27" s="1554"/>
      <c r="Y27" s="3374"/>
      <c r="Z27" s="1562" t="str">
        <f>Q27</f>
        <v>自然及人文环境状况</v>
      </c>
      <c r="AA27" s="1563">
        <f t="shared" si="3"/>
        <v>1</v>
      </c>
      <c r="AB27" s="1563">
        <f t="shared" si="4"/>
        <v>1</v>
      </c>
      <c r="AC27" s="1563">
        <f t="shared" si="5"/>
        <v>1</v>
      </c>
    </row>
    <row r="28" spans="1:29" ht="20">
      <c r="A28" s="515"/>
      <c r="B28" s="566"/>
      <c r="C28" s="554" t="s">
        <v>3074</v>
      </c>
      <c r="D28" s="557"/>
      <c r="E28" s="554" t="s">
        <v>3074</v>
      </c>
      <c r="F28" s="555"/>
      <c r="G28" s="554" t="s">
        <v>3074</v>
      </c>
      <c r="H28" s="555"/>
      <c r="I28" s="554" t="s">
        <v>3074</v>
      </c>
      <c r="J28" s="555"/>
      <c r="K28" s="531"/>
      <c r="L28" s="2128"/>
      <c r="M28" s="2118"/>
      <c r="N28" s="2118"/>
      <c r="O28" s="2127"/>
      <c r="P28" s="3374"/>
      <c r="Q28" s="1559"/>
      <c r="R28" s="1560"/>
      <c r="S28" s="1561"/>
      <c r="T28" s="1560"/>
      <c r="U28" s="1561"/>
      <c r="V28" s="1560"/>
      <c r="W28" s="1561"/>
      <c r="X28" s="1554"/>
      <c r="Y28" s="3374"/>
      <c r="Z28" s="1562"/>
      <c r="AA28" s="1563">
        <v>1</v>
      </c>
      <c r="AB28" s="1563">
        <v>1</v>
      </c>
      <c r="AC28" s="1563">
        <v>1</v>
      </c>
    </row>
    <row r="29" spans="1:29" s="1216" customFormat="1" ht="42">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74"/>
      <c r="Q29" s="1147" t="str">
        <f t="shared" si="8"/>
        <v>公共配套设施</v>
      </c>
      <c r="R29" s="1555" t="s">
        <v>8</v>
      </c>
      <c r="S29" s="1556">
        <f>F29</f>
        <v>100</v>
      </c>
      <c r="T29" s="1555" t="s">
        <v>8</v>
      </c>
      <c r="U29" s="1556">
        <f>H29</f>
        <v>100</v>
      </c>
      <c r="V29" s="1555" t="s">
        <v>8</v>
      </c>
      <c r="W29" s="1556">
        <f>J29</f>
        <v>100</v>
      </c>
      <c r="X29" s="1557"/>
      <c r="Y29" s="3374"/>
      <c r="Z29" s="1146" t="str">
        <f>Q29</f>
        <v>公共配套设施</v>
      </c>
      <c r="AA29" s="1563">
        <f>D29/F29</f>
        <v>1</v>
      </c>
      <c r="AB29" s="1563">
        <f>D29/H29</f>
        <v>1</v>
      </c>
      <c r="AC29" s="1563">
        <f>D29/J29</f>
        <v>1</v>
      </c>
    </row>
    <row r="30" spans="1:29" s="1216" customFormat="1" ht="20">
      <c r="A30" s="577"/>
      <c r="B30" s="566"/>
      <c r="C30" s="579" t="s">
        <v>3074</v>
      </c>
      <c r="D30" s="557"/>
      <c r="E30" s="579" t="s">
        <v>3074</v>
      </c>
      <c r="F30" s="555"/>
      <c r="G30" s="579" t="s">
        <v>3074</v>
      </c>
      <c r="H30" s="555"/>
      <c r="I30" s="579" t="s">
        <v>3074</v>
      </c>
      <c r="J30" s="555"/>
      <c r="K30" s="531"/>
      <c r="L30" s="2121"/>
      <c r="M30" s="2118"/>
      <c r="N30" s="2118"/>
      <c r="O30" s="2123"/>
      <c r="P30" s="3374"/>
      <c r="Q30" s="1147"/>
      <c r="R30" s="1555"/>
      <c r="S30" s="1556"/>
      <c r="T30" s="1555"/>
      <c r="U30" s="1556"/>
      <c r="V30" s="1555"/>
      <c r="W30" s="1556"/>
      <c r="X30" s="1557"/>
      <c r="Y30" s="3374"/>
      <c r="Z30" s="1146"/>
      <c r="AA30" s="1563">
        <v>1</v>
      </c>
      <c r="AB30" s="1563">
        <v>1</v>
      </c>
      <c r="AC30" s="1563">
        <v>1</v>
      </c>
    </row>
    <row r="31" spans="1:29" s="1216" customFormat="1" ht="28">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74"/>
      <c r="Q31" s="2543" t="str">
        <f t="shared" ref="Q31" si="9">B31</f>
        <v>基础设施水平</v>
      </c>
      <c r="R31" s="1555" t="s">
        <v>8</v>
      </c>
      <c r="S31" s="1556">
        <f>F31</f>
        <v>100</v>
      </c>
      <c r="T31" s="1555" t="s">
        <v>8</v>
      </c>
      <c r="U31" s="1556">
        <f>H31</f>
        <v>100</v>
      </c>
      <c r="V31" s="1555" t="s">
        <v>8</v>
      </c>
      <c r="W31" s="1556">
        <f>J31</f>
        <v>100</v>
      </c>
      <c r="X31" s="1557"/>
      <c r="Y31" s="3374"/>
      <c r="Z31" s="2540" t="str">
        <f>Q31</f>
        <v>基础设施水平</v>
      </c>
      <c r="AA31" s="1563">
        <f>D31/F31</f>
        <v>1</v>
      </c>
      <c r="AB31" s="1563">
        <f>D31/H31</f>
        <v>1</v>
      </c>
      <c r="AC31" s="1563">
        <f>D31/J31</f>
        <v>1</v>
      </c>
    </row>
    <row r="32" spans="1:29" s="1216" customFormat="1" ht="20">
      <c r="A32" s="577"/>
      <c r="B32" s="566"/>
      <c r="C32" s="579" t="s">
        <v>3075</v>
      </c>
      <c r="D32" s="557"/>
      <c r="E32" s="579" t="s">
        <v>3075</v>
      </c>
      <c r="F32" s="555"/>
      <c r="G32" s="579" t="s">
        <v>3075</v>
      </c>
      <c r="H32" s="555"/>
      <c r="I32" s="579" t="s">
        <v>3075</v>
      </c>
      <c r="J32" s="555"/>
      <c r="K32" s="531"/>
      <c r="L32" s="2121"/>
      <c r="M32" s="2118"/>
      <c r="N32" s="2118"/>
      <c r="O32" s="2123"/>
      <c r="P32" s="3374"/>
      <c r="Q32" s="2543"/>
      <c r="R32" s="1555"/>
      <c r="S32" s="1556"/>
      <c r="T32" s="1555"/>
      <c r="U32" s="1556"/>
      <c r="V32" s="1555"/>
      <c r="W32" s="1556"/>
      <c r="X32" s="1557"/>
      <c r="Y32" s="3374"/>
      <c r="Z32" s="2540"/>
      <c r="AA32" s="1563">
        <v>1</v>
      </c>
      <c r="AB32" s="1563">
        <v>1</v>
      </c>
      <c r="AC32" s="1563">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4"/>
      <c r="Z33" s="1562" t="str">
        <f t="shared" ref="Z33:Z47" si="13">Q33</f>
        <v>临街状况</v>
      </c>
      <c r="AA33" s="1563">
        <f t="shared" si="3"/>
        <v>1</v>
      </c>
      <c r="AB33" s="1563">
        <f t="shared" si="4"/>
        <v>1</v>
      </c>
      <c r="AC33" s="1563">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4"/>
      <c r="Q34" s="1559" t="str">
        <f t="shared" si="8"/>
        <v>毗邻道路的类型与等级</v>
      </c>
      <c r="R34" s="1560" t="s">
        <v>8</v>
      </c>
      <c r="S34" s="1561">
        <f t="shared" si="10"/>
        <v>100</v>
      </c>
      <c r="T34" s="1560" t="s">
        <v>8</v>
      </c>
      <c r="U34" s="1561">
        <f t="shared" si="11"/>
        <v>100</v>
      </c>
      <c r="V34" s="1560" t="s">
        <v>8</v>
      </c>
      <c r="W34" s="1561">
        <f t="shared" si="12"/>
        <v>100</v>
      </c>
      <c r="X34" s="1554"/>
      <c r="Y34" s="3374"/>
      <c r="Z34" s="1562" t="str">
        <f t="shared" si="13"/>
        <v>毗邻道路的类型与等级</v>
      </c>
      <c r="AA34" s="1563">
        <f t="shared" si="3"/>
        <v>1</v>
      </c>
      <c r="AB34" s="1563">
        <f t="shared" si="4"/>
        <v>1</v>
      </c>
      <c r="AC34" s="1563">
        <f t="shared" si="5"/>
        <v>1</v>
      </c>
    </row>
    <row r="35" spans="1:29" ht="20">
      <c r="A35" s="532"/>
      <c r="B35" s="566"/>
      <c r="C35" s="554"/>
      <c r="D35" s="557"/>
      <c r="E35" s="576"/>
      <c r="F35" s="555"/>
      <c r="G35" s="554"/>
      <c r="H35" s="555"/>
      <c r="I35" s="576"/>
      <c r="J35" s="555"/>
      <c r="K35" s="581"/>
      <c r="L35" s="2128"/>
      <c r="M35" s="2118"/>
      <c r="N35" s="2118"/>
      <c r="O35" s="2127"/>
      <c r="P35" s="3374"/>
      <c r="Q35" s="1559"/>
      <c r="R35" s="1560"/>
      <c r="S35" s="1561"/>
      <c r="T35" s="1560"/>
      <c r="U35" s="1561"/>
      <c r="V35" s="1560"/>
      <c r="W35" s="1561"/>
      <c r="X35" s="1554"/>
      <c r="Y35" s="3374"/>
      <c r="Z35" s="1562"/>
      <c r="AA35" s="1563">
        <v>1</v>
      </c>
      <c r="AB35" s="1563">
        <v>1</v>
      </c>
      <c r="AC35" s="1563">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4"/>
      <c r="Q36" s="1559" t="str">
        <f t="shared" si="8"/>
        <v>土地级别</v>
      </c>
      <c r="R36" s="1560" t="s">
        <v>8</v>
      </c>
      <c r="S36" s="1561">
        <f t="shared" si="10"/>
        <v>100</v>
      </c>
      <c r="T36" s="1560" t="s">
        <v>8</v>
      </c>
      <c r="U36" s="1561">
        <f t="shared" si="11"/>
        <v>100</v>
      </c>
      <c r="V36" s="1560" t="s">
        <v>8</v>
      </c>
      <c r="W36" s="1561">
        <f t="shared" si="12"/>
        <v>100</v>
      </c>
      <c r="X36" s="1554"/>
      <c r="Y36" s="3374"/>
      <c r="Z36" s="1562" t="str">
        <f t="shared" si="13"/>
        <v>土地级别</v>
      </c>
      <c r="AA36" s="1563">
        <f t="shared" si="3"/>
        <v>1</v>
      </c>
      <c r="AB36" s="1563">
        <f t="shared" si="4"/>
        <v>1</v>
      </c>
      <c r="AC36" s="1563">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4"/>
      <c r="Q37" s="1559">
        <f t="shared" si="8"/>
        <v>111</v>
      </c>
      <c r="R37" s="1560" t="s">
        <v>8</v>
      </c>
      <c r="S37" s="1561">
        <f t="shared" si="10"/>
        <v>100</v>
      </c>
      <c r="T37" s="1560" t="s">
        <v>8</v>
      </c>
      <c r="U37" s="1561">
        <f t="shared" si="11"/>
        <v>100</v>
      </c>
      <c r="V37" s="1560" t="s">
        <v>8</v>
      </c>
      <c r="W37" s="1561">
        <f t="shared" si="12"/>
        <v>100</v>
      </c>
      <c r="X37" s="1554"/>
      <c r="Y37" s="3374"/>
      <c r="Z37" s="1562">
        <f t="shared" si="13"/>
        <v>111</v>
      </c>
      <c r="AA37" s="1563">
        <f t="shared" si="3"/>
        <v>1</v>
      </c>
      <c r="AB37" s="1563">
        <f t="shared" si="4"/>
        <v>1</v>
      </c>
      <c r="AC37" s="1563">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5" t="s">
        <v>550</v>
      </c>
      <c r="Q38" s="1559">
        <f t="shared" si="8"/>
        <v>111</v>
      </c>
      <c r="R38" s="1560" t="s">
        <v>8</v>
      </c>
      <c r="S38" s="1561">
        <f t="shared" si="10"/>
        <v>100</v>
      </c>
      <c r="T38" s="1560" t="s">
        <v>8</v>
      </c>
      <c r="U38" s="1561">
        <f t="shared" si="11"/>
        <v>100</v>
      </c>
      <c r="V38" s="1560" t="s">
        <v>8</v>
      </c>
      <c r="W38" s="1561">
        <f t="shared" si="12"/>
        <v>100</v>
      </c>
      <c r="X38" s="1554"/>
      <c r="Y38" s="3376" t="s">
        <v>550</v>
      </c>
      <c r="Z38" s="1562">
        <f t="shared" si="13"/>
        <v>111</v>
      </c>
      <c r="AA38" s="1563">
        <f t="shared" si="3"/>
        <v>1</v>
      </c>
      <c r="AB38" s="1563">
        <f t="shared" si="4"/>
        <v>1</v>
      </c>
      <c r="AC38" s="1563">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6"/>
      <c r="Q39" s="1559">
        <f t="shared" si="8"/>
        <v>111</v>
      </c>
      <c r="R39" s="1564" t="s">
        <v>8</v>
      </c>
      <c r="S39" s="1565">
        <f t="shared" si="10"/>
        <v>100</v>
      </c>
      <c r="T39" s="1564" t="s">
        <v>8</v>
      </c>
      <c r="U39" s="1565">
        <f t="shared" si="11"/>
        <v>100</v>
      </c>
      <c r="V39" s="1564" t="s">
        <v>8</v>
      </c>
      <c r="W39" s="1565">
        <f t="shared" si="12"/>
        <v>100</v>
      </c>
      <c r="X39" s="1566"/>
      <c r="Y39" s="3376"/>
      <c r="Z39" s="1567">
        <f t="shared" si="13"/>
        <v>111</v>
      </c>
      <c r="AA39" s="1563">
        <f t="shared" si="3"/>
        <v>1</v>
      </c>
      <c r="AB39" s="1563">
        <f t="shared" si="4"/>
        <v>1</v>
      </c>
      <c r="AC39" s="1563">
        <f t="shared" si="5"/>
        <v>1</v>
      </c>
    </row>
    <row r="40" spans="1:29" ht="20">
      <c r="A40" s="2863" t="s">
        <v>2752</v>
      </c>
      <c r="B40" s="595" t="s">
        <v>552</v>
      </c>
      <c r="C40" s="596">
        <f>'数据-基础表'!A3</f>
        <v>130622.9</v>
      </c>
      <c r="D40" s="597">
        <v>100</v>
      </c>
      <c r="E40" s="596">
        <f>Sheet1!$C$3</f>
        <v>29595.38</v>
      </c>
      <c r="F40" s="597">
        <f>LOOKUP(E40,119:119,120:120)-LOOKUP(C40,119:119,120:120)+100</f>
        <v>101</v>
      </c>
      <c r="G40" s="596">
        <f>Sheet1!$C$4</f>
        <v>135993.20000000001</v>
      </c>
      <c r="H40" s="597">
        <f>LOOKUP(G40,119:119,120:120)-LOOKUP(C40,119:119,120:120)+100</f>
        <v>100</v>
      </c>
      <c r="I40" s="598">
        <f>Sheet1!$C$13</f>
        <v>25480.74</v>
      </c>
      <c r="J40" s="597">
        <f>LOOKUP(I40,119:119,120:120)-LOOKUP(C40,119:119,120:120)+100</f>
        <v>101</v>
      </c>
      <c r="K40" s="581"/>
      <c r="L40" s="2128"/>
      <c r="M40" s="2118"/>
      <c r="N40" s="2118"/>
      <c r="O40" s="2127"/>
      <c r="P40" s="3376"/>
      <c r="Q40" s="1559" t="str">
        <f>B40</f>
        <v>宗地面积</v>
      </c>
      <c r="R40" s="1560" t="s">
        <v>8</v>
      </c>
      <c r="S40" s="1561">
        <f t="shared" si="10"/>
        <v>101</v>
      </c>
      <c r="T40" s="1560" t="s">
        <v>8</v>
      </c>
      <c r="U40" s="1561">
        <f t="shared" si="11"/>
        <v>100</v>
      </c>
      <c r="V40" s="1560" t="s">
        <v>8</v>
      </c>
      <c r="W40" s="1561">
        <f t="shared" si="12"/>
        <v>101</v>
      </c>
      <c r="X40" s="1554"/>
      <c r="Y40" s="3376"/>
      <c r="Z40" s="1562" t="str">
        <f t="shared" si="13"/>
        <v>宗地面积</v>
      </c>
      <c r="AA40" s="1563">
        <f t="shared" si="3"/>
        <v>0.99009900990099009</v>
      </c>
      <c r="AB40" s="1563">
        <f t="shared" si="4"/>
        <v>1</v>
      </c>
      <c r="AC40" s="1563">
        <f t="shared" si="5"/>
        <v>0.99009900990099009</v>
      </c>
    </row>
    <row r="41" spans="1:29" ht="20">
      <c r="A41" s="594"/>
      <c r="B41" s="527" t="s">
        <v>553</v>
      </c>
      <c r="C41" s="599" t="s">
        <v>3091</v>
      </c>
      <c r="D41" s="540">
        <v>100</v>
      </c>
      <c r="E41" s="599" t="s">
        <v>3091</v>
      </c>
      <c r="F41" s="540">
        <f>SUMIF(121:121,E41,122:122)-SUMIF(121:121,C41,122:122)+100</f>
        <v>100</v>
      </c>
      <c r="G41" s="599" t="s">
        <v>3091</v>
      </c>
      <c r="H41" s="540">
        <f>SUMIF(121:121,G41,122:122)-SUMIF(121:121,C41,122:122)+100</f>
        <v>100</v>
      </c>
      <c r="I41" s="599" t="s">
        <v>3091</v>
      </c>
      <c r="J41" s="540">
        <f>SUMIF(121:121,I41,122:122)-SUMIF(121:121,C41,122:122)+100</f>
        <v>100</v>
      </c>
      <c r="K41" s="584">
        <v>2</v>
      </c>
      <c r="L41" s="2128"/>
      <c r="M41" s="2118"/>
      <c r="N41" s="2118"/>
      <c r="O41" s="2127"/>
      <c r="P41" s="3376"/>
      <c r="Q41" s="1559" t="str">
        <f t="shared" ref="Q41:Q47" si="14">B41</f>
        <v>宗地形状</v>
      </c>
      <c r="R41" s="1560" t="s">
        <v>8</v>
      </c>
      <c r="S41" s="1561">
        <f t="shared" si="10"/>
        <v>100</v>
      </c>
      <c r="T41" s="1560" t="s">
        <v>8</v>
      </c>
      <c r="U41" s="1561">
        <f t="shared" si="11"/>
        <v>100</v>
      </c>
      <c r="V41" s="1560" t="s">
        <v>8</v>
      </c>
      <c r="W41" s="1561">
        <f t="shared" si="12"/>
        <v>100</v>
      </c>
      <c r="X41" s="1554"/>
      <c r="Y41" s="3376"/>
      <c r="Z41" s="1562" t="str">
        <f t="shared" si="13"/>
        <v>宗地形状</v>
      </c>
      <c r="AA41" s="1563">
        <f t="shared" si="3"/>
        <v>1</v>
      </c>
      <c r="AB41" s="1563">
        <f t="shared" si="4"/>
        <v>1</v>
      </c>
      <c r="AC41" s="1563">
        <f t="shared" si="5"/>
        <v>1</v>
      </c>
    </row>
    <row r="42" spans="1:29" ht="20">
      <c r="A42" s="594"/>
      <c r="B42" s="527" t="s">
        <v>554</v>
      </c>
      <c r="C42" s="599" t="s">
        <v>3096</v>
      </c>
      <c r="D42" s="540">
        <v>100</v>
      </c>
      <c r="E42" s="599" t="s">
        <v>3096</v>
      </c>
      <c r="F42" s="540">
        <f>SUMIF(123:123,E42,124:124)-SUMIF(123:123,C42,124:124)+100</f>
        <v>100</v>
      </c>
      <c r="G42" s="599" t="s">
        <v>3096</v>
      </c>
      <c r="H42" s="540">
        <f>SUMIF(123:123,G42,124:124)-SUMIF(123:123,C42,124:124)+100</f>
        <v>100</v>
      </c>
      <c r="I42" s="599" t="s">
        <v>3096</v>
      </c>
      <c r="J42" s="540">
        <f>SUMIF(123:123,I42,124:124)-SUMIF(123:123,C42,124:124)+100</f>
        <v>100</v>
      </c>
      <c r="K42" s="584">
        <v>2</v>
      </c>
      <c r="L42" s="2128"/>
      <c r="M42" s="2118"/>
      <c r="N42" s="2118"/>
      <c r="O42" s="2127"/>
      <c r="P42" s="3376"/>
      <c r="Q42" s="1559" t="str">
        <f t="shared" si="14"/>
        <v>临街宽度及深度</v>
      </c>
      <c r="R42" s="1560" t="s">
        <v>8</v>
      </c>
      <c r="S42" s="1561">
        <f t="shared" si="10"/>
        <v>100</v>
      </c>
      <c r="T42" s="1560" t="s">
        <v>8</v>
      </c>
      <c r="U42" s="1561">
        <f t="shared" si="11"/>
        <v>100</v>
      </c>
      <c r="V42" s="1560" t="s">
        <v>8</v>
      </c>
      <c r="W42" s="1561">
        <f t="shared" si="12"/>
        <v>100</v>
      </c>
      <c r="X42" s="1554"/>
      <c r="Y42" s="3376"/>
      <c r="Z42" s="1562" t="str">
        <f t="shared" si="13"/>
        <v>临街宽度及深度</v>
      </c>
      <c r="AA42" s="1563">
        <f t="shared" si="3"/>
        <v>1</v>
      </c>
      <c r="AB42" s="1563">
        <f t="shared" si="4"/>
        <v>1</v>
      </c>
      <c r="AC42" s="1563">
        <f t="shared" si="5"/>
        <v>1</v>
      </c>
    </row>
    <row r="43" spans="1:29" s="1216" customFormat="1" ht="20">
      <c r="A43" s="600"/>
      <c r="B43" s="1881" t="s">
        <v>2422</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1</v>
      </c>
      <c r="L43" s="2121"/>
      <c r="M43" s="2118"/>
      <c r="N43" s="2118"/>
      <c r="O43" s="2123"/>
      <c r="P43" s="3376"/>
      <c r="Q43" s="1559" t="str">
        <f t="shared" si="14"/>
        <v>宗地开发程度</v>
      </c>
      <c r="R43" s="1555" t="s">
        <v>8</v>
      </c>
      <c r="S43" s="1556">
        <f t="shared" si="10"/>
        <v>100</v>
      </c>
      <c r="T43" s="1555" t="s">
        <v>8</v>
      </c>
      <c r="U43" s="1556">
        <f t="shared" si="11"/>
        <v>100</v>
      </c>
      <c r="V43" s="1555" t="s">
        <v>8</v>
      </c>
      <c r="W43" s="1556">
        <f t="shared" si="12"/>
        <v>100</v>
      </c>
      <c r="X43" s="1557"/>
      <c r="Y43" s="3376"/>
      <c r="Z43" s="1146" t="str">
        <f t="shared" si="13"/>
        <v>宗地开发程度</v>
      </c>
      <c r="AA43" s="1558">
        <f t="shared" si="3"/>
        <v>1</v>
      </c>
      <c r="AB43" s="1558">
        <f t="shared" si="4"/>
        <v>1</v>
      </c>
      <c r="AC43" s="1558">
        <f t="shared" si="5"/>
        <v>1</v>
      </c>
    </row>
    <row r="44" spans="1:29" ht="20.5" thickBot="1">
      <c r="A44" s="594"/>
      <c r="B44" s="527" t="s">
        <v>555</v>
      </c>
      <c r="C44" s="599" t="s">
        <v>3073</v>
      </c>
      <c r="D44" s="540">
        <v>100</v>
      </c>
      <c r="E44" s="599" t="s">
        <v>3073</v>
      </c>
      <c r="F44" s="540">
        <f>SUMIF(127:127,E44,128:128)-SUMIF(127:127,C44,128:128)+100</f>
        <v>100</v>
      </c>
      <c r="G44" s="599" t="s">
        <v>3073</v>
      </c>
      <c r="H44" s="540">
        <f>SUMIF(127:127,G44,128:128)-SUMIF(127:127,C44,128:128)+100</f>
        <v>100</v>
      </c>
      <c r="I44" s="599" t="s">
        <v>3073</v>
      </c>
      <c r="J44" s="540">
        <f>SUMIF(127:127,I44,128:128)-SUMIF(127:127,C44,128:128)+100</f>
        <v>100</v>
      </c>
      <c r="K44" s="584">
        <v>1</v>
      </c>
      <c r="L44" s="2128"/>
      <c r="M44" s="2118"/>
      <c r="N44" s="2118"/>
      <c r="O44" s="2127"/>
      <c r="P44" s="3376" t="s">
        <v>550</v>
      </c>
      <c r="Q44" s="1559" t="str">
        <f t="shared" si="14"/>
        <v>工程地质条件</v>
      </c>
      <c r="R44" s="1560" t="s">
        <v>8</v>
      </c>
      <c r="S44" s="1561">
        <f t="shared" si="10"/>
        <v>100</v>
      </c>
      <c r="T44" s="1560" t="s">
        <v>8</v>
      </c>
      <c r="U44" s="1561">
        <f t="shared" si="11"/>
        <v>100</v>
      </c>
      <c r="V44" s="1560" t="s">
        <v>8</v>
      </c>
      <c r="W44" s="1561">
        <f t="shared" si="12"/>
        <v>100</v>
      </c>
      <c r="X44" s="1554"/>
      <c r="Y44" s="3376" t="s">
        <v>550</v>
      </c>
      <c r="Z44" s="1562" t="str">
        <f t="shared" si="13"/>
        <v>工程地质条件</v>
      </c>
      <c r="AA44" s="1563">
        <f t="shared" si="3"/>
        <v>1</v>
      </c>
      <c r="AB44" s="1563">
        <f t="shared" si="4"/>
        <v>1</v>
      </c>
      <c r="AC44" s="1563">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6"/>
      <c r="Q45" s="1559">
        <f t="shared" si="14"/>
        <v>111</v>
      </c>
      <c r="R45" s="1560" t="s">
        <v>8</v>
      </c>
      <c r="S45" s="1561">
        <f t="shared" si="10"/>
        <v>100</v>
      </c>
      <c r="T45" s="1560" t="s">
        <v>8</v>
      </c>
      <c r="U45" s="1561">
        <f t="shared" si="11"/>
        <v>100</v>
      </c>
      <c r="V45" s="1560" t="s">
        <v>8</v>
      </c>
      <c r="W45" s="1561">
        <f t="shared" si="12"/>
        <v>100</v>
      </c>
      <c r="X45" s="1554"/>
      <c r="Y45" s="3376"/>
      <c r="Z45" s="1562">
        <f t="shared" si="13"/>
        <v>111</v>
      </c>
      <c r="AA45" s="1563">
        <f t="shared" si="3"/>
        <v>1</v>
      </c>
      <c r="AB45" s="1563">
        <f t="shared" si="4"/>
        <v>1</v>
      </c>
      <c r="AC45" s="1563">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6"/>
      <c r="Q46" s="1559">
        <f t="shared" si="14"/>
        <v>111</v>
      </c>
      <c r="R46" s="1560" t="s">
        <v>8</v>
      </c>
      <c r="S46" s="1561">
        <f t="shared" si="10"/>
        <v>100</v>
      </c>
      <c r="T46" s="1560" t="s">
        <v>8</v>
      </c>
      <c r="U46" s="1561">
        <f t="shared" si="11"/>
        <v>100</v>
      </c>
      <c r="V46" s="1560" t="s">
        <v>8</v>
      </c>
      <c r="W46" s="1561">
        <f t="shared" si="12"/>
        <v>100</v>
      </c>
      <c r="X46" s="1554"/>
      <c r="Y46" s="3376"/>
      <c r="Z46" s="1562">
        <f t="shared" si="13"/>
        <v>111</v>
      </c>
      <c r="AA46" s="1563">
        <f t="shared" si="3"/>
        <v>1</v>
      </c>
      <c r="AB46" s="1563">
        <f t="shared" si="4"/>
        <v>1</v>
      </c>
      <c r="AC46" s="1563">
        <f t="shared" si="5"/>
        <v>1</v>
      </c>
    </row>
    <row r="47" spans="1:29" s="1335" customFormat="1" ht="20.5"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6"/>
      <c r="Q47" s="1559">
        <f t="shared" si="14"/>
        <v>111</v>
      </c>
      <c r="R47" s="1564" t="s">
        <v>8</v>
      </c>
      <c r="S47" s="1565">
        <f t="shared" si="10"/>
        <v>100</v>
      </c>
      <c r="T47" s="1564" t="s">
        <v>8</v>
      </c>
      <c r="U47" s="1565">
        <f t="shared" si="11"/>
        <v>100</v>
      </c>
      <c r="V47" s="1564" t="s">
        <v>8</v>
      </c>
      <c r="W47" s="1565">
        <f t="shared" si="12"/>
        <v>100</v>
      </c>
      <c r="X47" s="1566"/>
      <c r="Y47" s="3376"/>
      <c r="Z47" s="1567">
        <f t="shared" si="13"/>
        <v>111</v>
      </c>
      <c r="AA47" s="1563">
        <f t="shared" si="3"/>
        <v>1</v>
      </c>
      <c r="AB47" s="1563">
        <f t="shared" si="4"/>
        <v>1</v>
      </c>
      <c r="AC47" s="1563">
        <f t="shared" si="5"/>
        <v>1</v>
      </c>
    </row>
    <row r="48" spans="1:29" ht="20">
      <c r="A48" s="607" t="s">
        <v>556</v>
      </c>
      <c r="B48" s="608" t="s">
        <v>3076</v>
      </c>
      <c r="C48" s="609" t="s">
        <v>1</v>
      </c>
      <c r="D48" s="610"/>
      <c r="E48" s="611">
        <f>ROUND(Sheet1!$J$3,0)</f>
        <v>2352</v>
      </c>
      <c r="F48" s="612"/>
      <c r="G48" s="613">
        <f>ROUND(Sheet1!$J$4,0)</f>
        <v>1950</v>
      </c>
      <c r="H48" s="614"/>
      <c r="I48" s="611">
        <f>ROUND(Sheet1!$J$13,0)</f>
        <v>2104</v>
      </c>
      <c r="J48" s="614"/>
      <c r="K48" s="1336"/>
      <c r="L48" s="2130"/>
      <c r="M48" s="2118"/>
      <c r="N48" s="2118"/>
      <c r="O48" s="2131"/>
      <c r="P48" s="3371" t="str">
        <f>A48</f>
        <v>成交单价</v>
      </c>
      <c r="Q48" s="3371"/>
      <c r="R48" s="3385">
        <f>E48</f>
        <v>2352</v>
      </c>
      <c r="S48" s="3385"/>
      <c r="T48" s="3385">
        <f>G48</f>
        <v>1950</v>
      </c>
      <c r="U48" s="3385"/>
      <c r="V48" s="3385">
        <f>I48</f>
        <v>2104</v>
      </c>
      <c r="W48" s="3385"/>
      <c r="X48" s="1546"/>
      <c r="Y48" s="1568"/>
      <c r="Z48" s="1546"/>
      <c r="AA48" s="1546"/>
      <c r="AB48" s="1546"/>
      <c r="AC48" s="1546"/>
    </row>
    <row r="49" spans="1:29" ht="20.5" thickBot="1">
      <c r="A49" s="615" t="s">
        <v>2690</v>
      </c>
      <c r="B49" s="616"/>
      <c r="C49" s="617">
        <f>R50</f>
        <v>2156</v>
      </c>
      <c r="D49" s="618"/>
      <c r="E49" s="617">
        <f>R49</f>
        <v>2352</v>
      </c>
      <c r="F49" s="619"/>
      <c r="G49" s="620">
        <f>T49</f>
        <v>1980</v>
      </c>
      <c r="H49" s="618"/>
      <c r="I49" s="617">
        <f>V49</f>
        <v>2137</v>
      </c>
      <c r="J49" s="618"/>
      <c r="K49" s="1337"/>
      <c r="L49" s="2130"/>
      <c r="M49" s="2118"/>
      <c r="N49" s="2118"/>
      <c r="O49" s="2131"/>
      <c r="P49" s="3371" t="str">
        <f>A49</f>
        <v>比较价格（元/平方米）</v>
      </c>
      <c r="Q49" s="3371"/>
      <c r="R49" s="3395">
        <f>ROUND(PRODUCT(R48,AA9:AA47),0)</f>
        <v>2352</v>
      </c>
      <c r="S49" s="3395"/>
      <c r="T49" s="3395">
        <f>ROUND(PRODUCT(T48,AB9:AB47),0)</f>
        <v>1980</v>
      </c>
      <c r="U49" s="3395"/>
      <c r="V49" s="3395">
        <f>ROUND(PRODUCT(V48,AC9:AC47),0)</f>
        <v>2137</v>
      </c>
      <c r="W49" s="3395"/>
      <c r="X49" s="1546"/>
      <c r="Y49" s="1546"/>
      <c r="Z49" s="1546"/>
      <c r="AA49" s="1546"/>
      <c r="AB49" s="1546"/>
      <c r="AC49" s="1546"/>
    </row>
    <row r="50" spans="1:29" ht="20.5" thickBot="1">
      <c r="A50" s="621" t="s">
        <v>2934</v>
      </c>
      <c r="B50" s="622"/>
      <c r="C50" s="623">
        <f>R50</f>
        <v>2156</v>
      </c>
      <c r="D50" s="623"/>
      <c r="E50" s="623"/>
      <c r="F50" s="623"/>
      <c r="G50" s="623"/>
      <c r="H50" s="623"/>
      <c r="I50" s="623"/>
      <c r="J50" s="623"/>
      <c r="K50" s="1338"/>
      <c r="L50" s="2130"/>
      <c r="M50" s="2118"/>
      <c r="N50" s="2118"/>
      <c r="O50" s="2131"/>
      <c r="P50" s="3392" t="str">
        <f>A50</f>
        <v>估价对象XX用房的比较价格（楼面单价，元/平方米）</v>
      </c>
      <c r="Q50" s="3393"/>
      <c r="R50" s="3394">
        <f>ROUND(AVERAGE(R49:V49),0)</f>
        <v>2156</v>
      </c>
      <c r="S50" s="3394"/>
      <c r="T50" s="3394"/>
      <c r="U50" s="3394"/>
      <c r="V50" s="3394"/>
      <c r="W50" s="3394"/>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v>
      </c>
      <c r="F53" s="627" t="str">
        <f>IF(OR(E53&gt;=0.3,E53&lt;=-0.3),"超过30%","")</f>
        <v/>
      </c>
      <c r="G53" s="626">
        <f>IF(G48&lt;G49,G49/G48-1,G48/G49-1)</f>
        <v>1.538461538461533E-2</v>
      </c>
      <c r="H53" s="627" t="str">
        <f>IF(OR(G53&gt;=0.3,G53&lt;=-0.3),"超过30%","")</f>
        <v/>
      </c>
      <c r="I53" s="626">
        <f>IF(I48&lt;I49,I49/I48-1,I48/I49-1)</f>
        <v>1.5684410646387814E-2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0.18787878787878798</v>
      </c>
      <c r="F54" s="627" t="str">
        <f>IF(OR(E54&gt;=0.2,E54&lt;=-0.2),"超过20%","")</f>
        <v/>
      </c>
      <c r="G54" s="626">
        <f>IF(G49&lt;I49,I49/G49-1,G49/I49-1)</f>
        <v>7.9292929292929193E-2</v>
      </c>
      <c r="H54" s="627" t="str">
        <f>IF(OR(G54&gt;=0.2,G54&lt;=-0.2),"超过20%","")</f>
        <v/>
      </c>
      <c r="I54" s="626">
        <f>IF(I49&lt;E49,E49/I49-1,I49/E49-1)</f>
        <v>0.10060832943378561</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0.20615384615384613</v>
      </c>
      <c r="F55" s="627" t="str">
        <f>IF(OR(E55&gt;=0.3,E55&lt;=-0.3),"超过30%","")</f>
        <v/>
      </c>
      <c r="G55" s="626">
        <f>IF(G48&lt;I48,I48/G48-1,G48/I48-1)</f>
        <v>7.8974358974359005E-2</v>
      </c>
      <c r="H55" s="627" t="str">
        <f>IF(OR(G55&gt;=0.3,G55&lt;=-0.3),"超过30%","")</f>
        <v/>
      </c>
      <c r="I55" s="626">
        <f>IF(I48&lt;E48,E48/I48-1,I48/E48-1)</f>
        <v>0.11787072243346008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0.5"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55" t="s">
        <v>2279</v>
      </c>
      <c r="H57" s="3356"/>
      <c r="I57" s="1542" t="s">
        <v>1722</v>
      </c>
      <c r="J57" s="1542" t="str">
        <f>项目基本情况!F41</f>
        <v>安徽省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
      <c r="A58" s="633" t="s">
        <v>564</v>
      </c>
      <c r="B58" s="634">
        <f>C50</f>
        <v>2156</v>
      </c>
      <c r="C58" s="635">
        <v>1</v>
      </c>
      <c r="D58" s="2214">
        <v>1</v>
      </c>
      <c r="E58" s="635">
        <f>'数据-汇总表'!E8+'数据-汇总表'!E9</f>
        <v>300432.67</v>
      </c>
      <c r="F58" s="636">
        <f t="shared" ref="F58:F67" si="15">ROUND(B58*E58/10000,0)</f>
        <v>64773</v>
      </c>
      <c r="G58" s="3357"/>
      <c r="H58" s="335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565</v>
      </c>
      <c r="B59" s="638">
        <f>ROUND($C$50*C59*D59,0)</f>
        <v>0</v>
      </c>
      <c r="C59" s="378">
        <f t="shared" ref="C59:C67" si="16">IF($C$57="北京市系数",I59,J59)</f>
        <v>0</v>
      </c>
      <c r="D59" s="2215">
        <v>0.25</v>
      </c>
      <c r="E59" s="639">
        <v>0</v>
      </c>
      <c r="F59" s="636">
        <f t="shared" si="15"/>
        <v>0</v>
      </c>
      <c r="G59" s="3359"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566</v>
      </c>
      <c r="B60" s="638">
        <f t="shared" ref="B60:B67" si="17">ROUND($C$50*C60*D60,0)</f>
        <v>0</v>
      </c>
      <c r="C60" s="378">
        <f t="shared" si="16"/>
        <v>0</v>
      </c>
      <c r="D60" s="2215">
        <v>0.25</v>
      </c>
      <c r="E60" s="639">
        <v>0</v>
      </c>
      <c r="F60" s="636">
        <f t="shared" si="15"/>
        <v>0</v>
      </c>
      <c r="G60" s="335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567</v>
      </c>
      <c r="B61" s="638">
        <f t="shared" si="17"/>
        <v>0</v>
      </c>
      <c r="C61" s="378">
        <f t="shared" si="16"/>
        <v>0</v>
      </c>
      <c r="D61" s="2215">
        <v>0.25</v>
      </c>
      <c r="E61" s="639">
        <v>0</v>
      </c>
      <c r="F61" s="636">
        <f t="shared" si="15"/>
        <v>0</v>
      </c>
      <c r="G61" s="335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
      <c r="A62" s="637" t="s">
        <v>568</v>
      </c>
      <c r="B62" s="638">
        <f t="shared" si="17"/>
        <v>0</v>
      </c>
      <c r="C62" s="378">
        <f t="shared" si="16"/>
        <v>0</v>
      </c>
      <c r="D62" s="2215">
        <v>0.25</v>
      </c>
      <c r="E62" s="639">
        <v>0</v>
      </c>
      <c r="F62" s="636">
        <f t="shared" si="15"/>
        <v>0</v>
      </c>
      <c r="G62" s="335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2292</v>
      </c>
      <c r="E68" s="643">
        <f>IF(B48="楼面地价",SUM(E58:E67),'数据-汇总表'!D3)</f>
        <v>300432.67</v>
      </c>
      <c r="F68" s="644">
        <f>IF(B48="楼面地价",SUM(F58:F67),ROUND(C50*E68/10000,0))</f>
        <v>64773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北京市平均增长率1.92%</v>
      </c>
      <c r="C73" s="894">
        <v>100</v>
      </c>
      <c r="D73" s="730">
        <v>99.5</v>
      </c>
      <c r="E73" s="730">
        <v>99</v>
      </c>
      <c r="F73" s="730">
        <v>98.5</v>
      </c>
      <c r="G73" s="730">
        <v>98</v>
      </c>
      <c r="H73" s="730">
        <v>97.5</v>
      </c>
      <c r="I73" s="730">
        <v>97</v>
      </c>
      <c r="J73" s="730">
        <v>96.5</v>
      </c>
      <c r="K73" s="730">
        <v>96</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8" t="s">
        <v>3071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8.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4.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4.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4.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4.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4.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4.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8.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4.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5" t="str">
        <f t="shared" si="25"/>
        <v>140000(含)-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v>120000</v>
      </c>
      <c r="J119" s="2332">
        <v>140000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5" thickBot="1">
      <c r="A120" s="669"/>
      <c r="B120" s="678"/>
      <c r="C120" s="700">
        <v>97</v>
      </c>
      <c r="D120" s="726">
        <v>98</v>
      </c>
      <c r="E120" s="726">
        <v>99</v>
      </c>
      <c r="F120" s="726">
        <v>100</v>
      </c>
      <c r="G120" s="726">
        <v>99</v>
      </c>
      <c r="H120" s="726">
        <v>98</v>
      </c>
      <c r="I120" s="726">
        <v>97</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4.5" thickTop="1">
      <c r="A121" s="735"/>
      <c r="B121" s="673" t="s">
        <v>594</v>
      </c>
      <c r="C121" s="3487" t="s">
        <v>3090</v>
      </c>
      <c r="D121" s="3487" t="s">
        <v>3092</v>
      </c>
      <c r="E121" s="3487" t="s">
        <v>3094</v>
      </c>
      <c r="F121" s="3487" t="s">
        <v>3093</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4.5" thickTop="1">
      <c r="A123" s="735"/>
      <c r="B123" s="673" t="s">
        <v>595</v>
      </c>
      <c r="C123" s="3488" t="s">
        <v>3095</v>
      </c>
      <c r="D123" s="3488" t="s">
        <v>3097</v>
      </c>
      <c r="E123" s="3488" t="s">
        <v>3098</v>
      </c>
      <c r="F123" s="3487" t="s">
        <v>3099</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4.5" thickTop="1">
      <c r="A125" s="728"/>
      <c r="B125" s="1882" t="s">
        <v>2423</v>
      </c>
      <c r="C125" s="1372" t="s">
        <v>3100</v>
      </c>
      <c r="D125" s="1372" t="s">
        <v>3101</v>
      </c>
      <c r="E125" s="1372" t="s">
        <v>3102</v>
      </c>
      <c r="F125" s="1372" t="s">
        <v>3103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4.5" thickTop="1">
      <c r="A127" s="735"/>
      <c r="B127" s="673" t="s">
        <v>596</v>
      </c>
      <c r="C127" s="3488" t="s">
        <v>3104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4.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89B61-A8A2-4874-B201-47013E459147}">
  <dimension ref="A1:L16"/>
  <sheetViews>
    <sheetView topLeftCell="A10" workbookViewId="0">
      <selection activeCell="E9" sqref="E9"/>
    </sheetView>
  </sheetViews>
  <sheetFormatPr defaultRowHeight="14"/>
  <cols>
    <col min="1" max="1" width="18" customWidth="1"/>
    <col min="5" max="5" width="16.6328125" customWidth="1"/>
  </cols>
  <sheetData>
    <row r="1" spans="1:12">
      <c r="A1" s="3183" t="s">
        <v>3013</v>
      </c>
      <c r="B1" s="3183" t="s">
        <v>3014</v>
      </c>
      <c r="C1" s="3183" t="s">
        <v>3015</v>
      </c>
      <c r="D1" s="3183" t="s">
        <v>3016</v>
      </c>
      <c r="E1" s="3183" t="s">
        <v>2030</v>
      </c>
      <c r="F1" s="3183" t="s">
        <v>3017</v>
      </c>
      <c r="G1" s="3183" t="s">
        <v>3018</v>
      </c>
      <c r="H1" s="3183" t="s">
        <v>3019</v>
      </c>
      <c r="I1" s="3183" t="s">
        <v>3020</v>
      </c>
      <c r="J1" s="3183" t="s">
        <v>3021</v>
      </c>
      <c r="K1" s="3183" t="s">
        <v>3022</v>
      </c>
      <c r="L1" s="3183" t="s">
        <v>3023</v>
      </c>
    </row>
    <row r="2" spans="1:12" s="3185" customFormat="1">
      <c r="A2" s="3184" t="s">
        <v>3024</v>
      </c>
      <c r="B2" s="3184" t="s">
        <v>3025</v>
      </c>
      <c r="C2" s="3184">
        <v>130622.9</v>
      </c>
      <c r="D2" s="3184">
        <v>300432.67</v>
      </c>
      <c r="E2" s="3184" t="s">
        <v>3026</v>
      </c>
      <c r="F2" s="3184" t="s">
        <v>3027</v>
      </c>
      <c r="G2" s="3184" t="s">
        <v>3028</v>
      </c>
      <c r="H2" s="3184">
        <v>39240</v>
      </c>
      <c r="I2" s="3184">
        <v>60750</v>
      </c>
      <c r="J2" s="3184">
        <v>2022.07</v>
      </c>
      <c r="K2" s="3184">
        <v>54.82</v>
      </c>
      <c r="L2" s="3184" t="s">
        <v>3029</v>
      </c>
    </row>
    <row r="3" spans="1:12" s="3187" customFormat="1">
      <c r="A3" s="3189" t="s">
        <v>3082</v>
      </c>
      <c r="B3" s="3186" t="s">
        <v>3025</v>
      </c>
      <c r="C3" s="3186">
        <v>29595.38</v>
      </c>
      <c r="D3" s="3186">
        <v>68069.37</v>
      </c>
      <c r="E3" s="3186" t="s">
        <v>3030</v>
      </c>
      <c r="F3" s="3186" t="s">
        <v>3031</v>
      </c>
      <c r="G3" s="3186" t="s">
        <v>3032</v>
      </c>
      <c r="H3" s="3186" t="s">
        <v>2815</v>
      </c>
      <c r="I3" s="3186">
        <v>16010</v>
      </c>
      <c r="J3" s="3186">
        <v>2352.0100000000002</v>
      </c>
      <c r="K3" s="3186" t="s">
        <v>2815</v>
      </c>
      <c r="L3" s="3186" t="s">
        <v>3033</v>
      </c>
    </row>
    <row r="4" spans="1:12" s="3187" customFormat="1">
      <c r="A4" s="3186" t="s">
        <v>3034</v>
      </c>
      <c r="B4" s="3186" t="s">
        <v>3025</v>
      </c>
      <c r="C4" s="3186">
        <v>135993.20000000001</v>
      </c>
      <c r="D4" s="3186">
        <v>353582.3</v>
      </c>
      <c r="E4" s="3186" t="s">
        <v>3035</v>
      </c>
      <c r="F4" s="3186" t="s">
        <v>3036</v>
      </c>
      <c r="G4" s="3186" t="s">
        <v>3037</v>
      </c>
      <c r="H4" s="3186">
        <v>37690</v>
      </c>
      <c r="I4" s="3186">
        <v>68950</v>
      </c>
      <c r="J4" s="3186">
        <v>1950.03</v>
      </c>
      <c r="K4" s="3186">
        <v>82.94</v>
      </c>
      <c r="L4" s="3186" t="s">
        <v>3038</v>
      </c>
    </row>
    <row r="5" spans="1:12">
      <c r="A5" s="3183" t="s">
        <v>3039</v>
      </c>
      <c r="B5" s="3183" t="s">
        <v>3025</v>
      </c>
      <c r="C5" s="3183">
        <v>29438.18</v>
      </c>
      <c r="D5" s="3183">
        <v>85370.72</v>
      </c>
      <c r="E5" s="3183" t="s">
        <v>3040</v>
      </c>
      <c r="F5" s="3183" t="s">
        <v>3036</v>
      </c>
      <c r="G5" s="3183" t="s">
        <v>3037</v>
      </c>
      <c r="H5" s="3183">
        <v>9200</v>
      </c>
      <c r="I5" s="3183">
        <v>13250</v>
      </c>
      <c r="J5" s="3183">
        <v>1552.04</v>
      </c>
      <c r="K5" s="3183">
        <v>44.02</v>
      </c>
      <c r="L5" s="3183" t="s">
        <v>3041</v>
      </c>
    </row>
    <row r="6" spans="1:12">
      <c r="A6" s="3183" t="s">
        <v>3042</v>
      </c>
      <c r="B6" s="3183" t="s">
        <v>3025</v>
      </c>
      <c r="C6" s="3183">
        <v>42214.47</v>
      </c>
      <c r="D6" s="3183">
        <v>105536.2</v>
      </c>
      <c r="E6" s="3183" t="s">
        <v>3043</v>
      </c>
      <c r="F6" s="3183" t="s">
        <v>3036</v>
      </c>
      <c r="G6" s="3183" t="s">
        <v>3044</v>
      </c>
      <c r="H6" s="3183">
        <v>17410</v>
      </c>
      <c r="I6" s="3183">
        <v>18050</v>
      </c>
      <c r="J6" s="3183">
        <v>1710.3</v>
      </c>
      <c r="K6" s="3183">
        <v>3.68</v>
      </c>
      <c r="L6" s="3183" t="s">
        <v>3045</v>
      </c>
    </row>
    <row r="7" spans="1:12">
      <c r="A7" s="3183" t="s">
        <v>3046</v>
      </c>
      <c r="B7" s="3183" t="s">
        <v>3047</v>
      </c>
      <c r="C7" s="3183">
        <v>68879.149999999994</v>
      </c>
      <c r="D7" s="3183">
        <v>172197.9</v>
      </c>
      <c r="E7" s="3183" t="s">
        <v>3043</v>
      </c>
      <c r="F7" s="3183" t="s">
        <v>3036</v>
      </c>
      <c r="G7" s="3183" t="s">
        <v>3044</v>
      </c>
      <c r="H7" s="3183">
        <v>28410</v>
      </c>
      <c r="I7" s="3183">
        <v>29350</v>
      </c>
      <c r="J7" s="3183">
        <v>1704.43</v>
      </c>
      <c r="K7" s="3183">
        <v>3.31</v>
      </c>
      <c r="L7" s="3183" t="s">
        <v>3045</v>
      </c>
    </row>
    <row r="8" spans="1:12">
      <c r="A8" s="3183" t="s">
        <v>3048</v>
      </c>
      <c r="B8" s="3183" t="s">
        <v>3025</v>
      </c>
      <c r="C8" s="3183">
        <v>126121.5</v>
      </c>
      <c r="D8" s="3183">
        <v>315303.7</v>
      </c>
      <c r="E8" s="3183" t="s">
        <v>3043</v>
      </c>
      <c r="F8" s="3183" t="s">
        <v>3036</v>
      </c>
      <c r="G8" s="3183" t="s">
        <v>3044</v>
      </c>
      <c r="H8" s="3183">
        <v>52030</v>
      </c>
      <c r="I8" s="3183">
        <v>53350</v>
      </c>
      <c r="J8" s="3183">
        <v>1692.01</v>
      </c>
      <c r="K8" s="3183">
        <v>2.54</v>
      </c>
      <c r="L8" s="3183" t="s">
        <v>3045</v>
      </c>
    </row>
    <row r="9" spans="1:12">
      <c r="A9" s="3183" t="s">
        <v>3049</v>
      </c>
      <c r="B9" s="3183" t="s">
        <v>3025</v>
      </c>
      <c r="C9" s="3183">
        <v>57603.49</v>
      </c>
      <c r="D9" s="3183">
        <v>126727.7</v>
      </c>
      <c r="E9" s="3183" t="s">
        <v>3050</v>
      </c>
      <c r="F9" s="3183" t="s">
        <v>3027</v>
      </c>
      <c r="G9" s="3183" t="s">
        <v>3051</v>
      </c>
      <c r="H9" s="3183">
        <v>14200</v>
      </c>
      <c r="I9" s="3183">
        <v>14800</v>
      </c>
      <c r="J9" s="3183">
        <v>1167.8499999999999</v>
      </c>
      <c r="K9" s="3183">
        <v>4.2300000000000004</v>
      </c>
      <c r="L9" s="3183" t="s">
        <v>3052</v>
      </c>
    </row>
    <row r="10" spans="1:12">
      <c r="A10" s="3183" t="s">
        <v>3053</v>
      </c>
      <c r="B10" s="3183" t="s">
        <v>3047</v>
      </c>
      <c r="C10" s="3183">
        <v>132095.4</v>
      </c>
      <c r="D10" s="3183">
        <v>198143.1</v>
      </c>
      <c r="E10" s="3183" t="s">
        <v>3054</v>
      </c>
      <c r="F10" s="3183" t="s">
        <v>3027</v>
      </c>
      <c r="G10" s="3183" t="s">
        <v>3051</v>
      </c>
      <c r="H10" s="3183">
        <v>40770</v>
      </c>
      <c r="I10" s="3183">
        <v>59830</v>
      </c>
      <c r="J10" s="3183">
        <v>3019.53</v>
      </c>
      <c r="K10" s="3183">
        <v>46.75</v>
      </c>
      <c r="L10" s="3183" t="s">
        <v>3052</v>
      </c>
    </row>
    <row r="11" spans="1:12">
      <c r="A11" s="3183" t="s">
        <v>3055</v>
      </c>
      <c r="B11" s="3183" t="s">
        <v>3047</v>
      </c>
      <c r="C11" s="3183">
        <v>114207.7</v>
      </c>
      <c r="D11" s="3183">
        <v>171311.5</v>
      </c>
      <c r="E11" s="3183" t="s">
        <v>3054</v>
      </c>
      <c r="F11" s="3183" t="s">
        <v>3027</v>
      </c>
      <c r="G11" s="3183" t="s">
        <v>3051</v>
      </c>
      <c r="H11" s="3183">
        <v>34990</v>
      </c>
      <c r="I11" s="3183">
        <v>51740</v>
      </c>
      <c r="J11" s="3183">
        <v>3020.23</v>
      </c>
      <c r="K11" s="3183">
        <v>47.87</v>
      </c>
      <c r="L11" s="3183" t="s">
        <v>3052</v>
      </c>
    </row>
    <row r="12" spans="1:12">
      <c r="A12" s="3183" t="s">
        <v>3056</v>
      </c>
      <c r="B12" s="3183" t="s">
        <v>3025</v>
      </c>
      <c r="C12" s="3183">
        <v>18929.62</v>
      </c>
      <c r="D12" s="3183">
        <v>47324.05</v>
      </c>
      <c r="E12" s="3183" t="s">
        <v>3043</v>
      </c>
      <c r="F12" s="3183" t="s">
        <v>3027</v>
      </c>
      <c r="G12" s="3183" t="s">
        <v>3051</v>
      </c>
      <c r="H12" s="3183">
        <v>3050</v>
      </c>
      <c r="I12" s="3183">
        <v>3410</v>
      </c>
      <c r="J12" s="3183">
        <v>720.55</v>
      </c>
      <c r="K12" s="3183">
        <v>11.8</v>
      </c>
      <c r="L12" s="3183" t="s">
        <v>3057</v>
      </c>
    </row>
    <row r="13" spans="1:12" s="3187" customFormat="1">
      <c r="A13" s="3186" t="s">
        <v>3058</v>
      </c>
      <c r="B13" s="3186" t="s">
        <v>3025</v>
      </c>
      <c r="C13" s="3186">
        <v>25480.74</v>
      </c>
      <c r="D13" s="3186">
        <v>63701.85</v>
      </c>
      <c r="E13" s="3186" t="s">
        <v>3043</v>
      </c>
      <c r="F13" s="3186" t="s">
        <v>3027</v>
      </c>
      <c r="G13" s="3186" t="s">
        <v>3059</v>
      </c>
      <c r="H13" s="3186">
        <v>5290</v>
      </c>
      <c r="I13" s="3186">
        <v>13400</v>
      </c>
      <c r="J13" s="3186">
        <v>2103.5500000000002</v>
      </c>
      <c r="K13" s="3186">
        <v>153.31</v>
      </c>
      <c r="L13" s="3186" t="s">
        <v>3060</v>
      </c>
    </row>
    <row r="14" spans="1:12">
      <c r="A14" s="3183" t="s">
        <v>3061</v>
      </c>
      <c r="B14" s="3183" t="s">
        <v>3047</v>
      </c>
      <c r="C14" s="3183">
        <v>57530.38</v>
      </c>
      <c r="D14" s="3183">
        <v>92048.61</v>
      </c>
      <c r="E14" s="3183" t="s">
        <v>3062</v>
      </c>
      <c r="F14" s="3183" t="s">
        <v>3036</v>
      </c>
      <c r="G14" s="3183" t="s">
        <v>3063</v>
      </c>
      <c r="H14" s="3183">
        <v>4310</v>
      </c>
      <c r="I14" s="3183">
        <v>5420</v>
      </c>
      <c r="J14" s="3183">
        <v>588.82000000000005</v>
      </c>
      <c r="K14" s="3183">
        <v>25.75</v>
      </c>
      <c r="L14" s="3183" t="s">
        <v>3064</v>
      </c>
    </row>
    <row r="15" spans="1:12">
      <c r="A15" s="3183" t="s">
        <v>3065</v>
      </c>
      <c r="B15" s="3183" t="s">
        <v>3025</v>
      </c>
      <c r="C15" s="3183">
        <v>1125.42</v>
      </c>
      <c r="D15" s="3183">
        <v>1350.5</v>
      </c>
      <c r="E15" s="3183" t="s">
        <v>3066</v>
      </c>
      <c r="F15" s="3183" t="s">
        <v>3036</v>
      </c>
      <c r="G15" s="3183" t="s">
        <v>3063</v>
      </c>
      <c r="H15" s="3183">
        <v>170</v>
      </c>
      <c r="I15" s="3183">
        <v>1030</v>
      </c>
      <c r="J15" s="3183">
        <v>7626.8</v>
      </c>
      <c r="K15" s="3183">
        <v>505.88</v>
      </c>
      <c r="L15" s="3183" t="s">
        <v>3067</v>
      </c>
    </row>
    <row r="16" spans="1:12" s="3187" customFormat="1">
      <c r="A16" s="3186" t="s">
        <v>3068</v>
      </c>
      <c r="B16" s="3186" t="s">
        <v>3047</v>
      </c>
      <c r="C16" s="3186">
        <v>110260.4</v>
      </c>
      <c r="D16" s="3186">
        <v>275650.90000000002</v>
      </c>
      <c r="E16" s="3186" t="s">
        <v>3043</v>
      </c>
      <c r="F16" s="3186" t="s">
        <v>3036</v>
      </c>
      <c r="G16" s="3186" t="s">
        <v>3069</v>
      </c>
      <c r="H16" s="3186">
        <v>30780</v>
      </c>
      <c r="I16" s="3186">
        <v>50900</v>
      </c>
      <c r="J16" s="3186">
        <v>1846.53</v>
      </c>
      <c r="K16" s="3186">
        <v>65.37</v>
      </c>
      <c r="L16" s="3186" t="s">
        <v>3070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
    </sheetView>
  </sheetViews>
  <sheetFormatPr defaultColWidth="9" defaultRowHeight="14"/>
  <cols>
    <col min="1" max="1" width="3.453125" style="1641" customWidth="1"/>
    <col min="2" max="2" width="10.81640625" style="1641" customWidth="1"/>
    <col min="3" max="4" width="11.6328125" style="1641" customWidth="1"/>
    <col min="5" max="5" width="6.6328125" style="1641" customWidth="1"/>
    <col min="6" max="16384" width="9" style="1641"/>
  </cols>
  <sheetData>
    <row r="36" spans="1:9">
      <c r="A36" s="1640" t="s">
        <v>1901</v>
      </c>
      <c r="B36" s="1640" t="s">
        <v>1902</v>
      </c>
    </row>
    <row r="37" spans="1:9" ht="28.5" customHeight="1">
      <c r="A37" s="1640"/>
      <c r="B37" s="3190" t="str">
        <f>项目基本情况!B1</f>
        <v>安徽省淮北市相山区规划古城东路南、泉山路东出让国有建设用地使用权抵押价格预评估</v>
      </c>
      <c r="C37" s="3190"/>
      <c r="D37" s="3190"/>
      <c r="E37" s="3190"/>
      <c r="F37" s="3190"/>
      <c r="G37" s="3190"/>
      <c r="H37" s="3190"/>
      <c r="I37" s="3190"/>
    </row>
    <row r="38" spans="1:9">
      <c r="A38" s="1642"/>
      <c r="B38" s="1642"/>
    </row>
    <row r="39" spans="1:9">
      <c r="A39" s="1640" t="s">
        <v>1901</v>
      </c>
      <c r="B39" s="1640" t="s">
        <v>2044</v>
      </c>
    </row>
    <row r="40" spans="1:9">
      <c r="A40" s="1640"/>
      <c r="B40" s="1640" t="str">
        <f>项目基本情况!B5</f>
        <v>淮北世茂房地产开发有限公司</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3.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4" workbookViewId="0">
      <selection activeCell="C11" sqref="C11"/>
    </sheetView>
  </sheetViews>
  <sheetFormatPr defaultColWidth="6.6328125" defaultRowHeight="12.5"/>
  <cols>
    <col min="1" max="1" width="9.81640625" style="2110" customWidth="1"/>
    <col min="2" max="2" width="25.81640625" style="2100" customWidth="1"/>
    <col min="3" max="3" width="10.36328125" style="2111" customWidth="1"/>
    <col min="4" max="4" width="12" style="2100" customWidth="1"/>
    <col min="5" max="5" width="9.453125" style="2110" customWidth="1"/>
    <col min="6" max="6" width="10.08984375" style="2100" customWidth="1"/>
    <col min="7" max="7" width="11.6328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65229</v>
      </c>
      <c r="C2" s="2090"/>
      <c r="D2" s="2090"/>
      <c r="E2" s="2090"/>
      <c r="F2" s="2090"/>
      <c r="G2" s="2090"/>
      <c r="H2" s="2090"/>
      <c r="I2" s="2090"/>
      <c r="J2" s="2090"/>
      <c r="K2" s="2090"/>
    </row>
    <row r="3" spans="1:31" s="2027" customFormat="1" ht="18" customHeight="1">
      <c r="A3" s="2092" t="s">
        <v>1684</v>
      </c>
      <c r="B3" s="2093">
        <f ca="1">ROUND(B2*10000/IF(B1="",'数据-汇总表'!E3,INDIRECT("'数据-取费表'!K"&amp;$K$1)),0)</f>
        <v>2171</v>
      </c>
      <c r="C3" s="2090"/>
      <c r="D3" s="2090"/>
      <c r="E3" s="2090"/>
      <c r="F3" s="2090"/>
      <c r="G3" s="2090"/>
      <c r="H3" s="2090"/>
      <c r="I3" s="2090"/>
      <c r="J3" s="2090"/>
      <c r="K3" s="2090"/>
    </row>
    <row r="4" spans="1:31" s="2027" customFormat="1" ht="18" customHeight="1">
      <c r="A4" s="426" t="s">
        <v>468</v>
      </c>
      <c r="B4" s="427">
        <f ca="1">ROUND(B2*10000/IF(B1="",'数据-汇总表'!D3,INDIRECT("'数据-取费表'!R"&amp;$K$1)),0)</f>
        <v>4994</v>
      </c>
      <c r="C4" s="428"/>
      <c r="D4" s="422"/>
      <c r="E4" s="422"/>
      <c r="F4" s="422"/>
      <c r="G4" s="422"/>
      <c r="H4" s="422"/>
      <c r="I4" s="422"/>
      <c r="J4" s="422"/>
      <c r="K4" s="422"/>
    </row>
    <row r="5" spans="1:31" s="2027" customFormat="1" ht="18" customHeight="1" thickBot="1">
      <c r="A5" s="429"/>
      <c r="B5" s="430">
        <f ca="1">ROUND(B2/(IF(B1="",'数据-汇总表'!D3,INDIRECT("'数据-取费表'!R"&amp;$K$1))/666.67),0)</f>
        <v>333</v>
      </c>
      <c r="C5" s="431" t="s">
        <v>469</v>
      </c>
      <c r="D5" s="422"/>
      <c r="E5" s="422"/>
      <c r="F5" s="422"/>
      <c r="G5" s="422"/>
      <c r="H5" s="422"/>
      <c r="I5" s="422"/>
      <c r="J5" s="422"/>
      <c r="K5" s="422"/>
    </row>
    <row r="6" spans="1:31" s="2097" customFormat="1" ht="16.5" customHeight="1">
      <c r="A6" s="2784" t="s">
        <v>1842</v>
      </c>
      <c r="B6" s="2785"/>
      <c r="C6" s="2786">
        <f ca="1">SUM(C10:K10)</f>
        <v>235947</v>
      </c>
      <c r="D6" s="2785"/>
      <c r="E6" s="2785"/>
      <c r="F6" s="2785"/>
      <c r="G6" s="2785"/>
      <c r="H6" s="2785"/>
      <c r="I6" s="2785"/>
      <c r="J6" s="2785"/>
      <c r="K6" s="2787"/>
    </row>
    <row r="7" spans="1:31" s="2099" customFormat="1" ht="14">
      <c r="A7" s="2788" t="s">
        <v>470</v>
      </c>
      <c r="B7" s="2789" t="s">
        <v>471</v>
      </c>
      <c r="C7" s="436" t="s">
        <v>923</v>
      </c>
      <c r="D7" s="436" t="s">
        <v>3006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7021</v>
      </c>
      <c r="D8" s="2790">
        <f ca="1">不动产收益法!B3</f>
        <v>12571</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255367.77</v>
      </c>
      <c r="D9" s="441">
        <f>SUMIF('数据-汇总表'!$C19:$C33,'剩余法-待开发'!D7,'数据-汇总表'!$E19:$E33)</f>
        <v>45064.9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179294</v>
      </c>
      <c r="D10" s="2982">
        <f ca="1">不动产收益法!B2</f>
        <v>56653</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96139</v>
      </c>
      <c r="D13" s="2800"/>
      <c r="E13" s="2801"/>
      <c r="F13" s="2802"/>
      <c r="G13" s="2768"/>
      <c r="H13" s="2769"/>
      <c r="I13" s="2769"/>
      <c r="J13" s="2769"/>
      <c r="K13" s="2770"/>
    </row>
    <row r="14" spans="1:31" s="2102" customFormat="1" ht="13.5" customHeight="1">
      <c r="A14" s="2798" t="s">
        <v>1849</v>
      </c>
      <c r="B14" s="2799" t="s">
        <v>480</v>
      </c>
      <c r="C14" s="53">
        <f ca="1">ROUND(C13*F14,0)</f>
        <v>2884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2452</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6009</v>
      </c>
      <c r="D16" s="2800">
        <f ca="1">IF(B1="",'数据-汇总表'!E3,INDIRECT("'数据-取费表'!K"&amp;$K$1)+INDIRECT("'数据-取费表'!S"&amp;$K$1))</f>
        <v>300432.67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1442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108926</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300432.67</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1592</v>
      </c>
      <c r="D20" s="2810"/>
      <c r="E20" s="2764"/>
      <c r="F20" s="2811"/>
      <c r="G20" s="3041"/>
      <c r="H20" s="2766"/>
      <c r="I20" s="2767" t="s">
        <v>2648</v>
      </c>
      <c r="J20" s="2773"/>
      <c r="K20" s="2774"/>
    </row>
    <row r="21" spans="1:14" s="2102" customFormat="1" ht="13.5" customHeight="1">
      <c r="A21" s="2798" t="s">
        <v>1856</v>
      </c>
      <c r="B21" s="2799" t="s">
        <v>491</v>
      </c>
      <c r="C21" s="53">
        <f ca="1">ROUND(D21*E21/10000,0)</f>
        <v>1277</v>
      </c>
      <c r="D21" s="2800">
        <f ca="1">IF(B1="",'数据-汇总表'!E5,IF(INDIRECT("'数据-取费表'!c"&amp;$K$1)="住宅",INDIRECT("'数据-取费表'!k"&amp;$K$1),0))</f>
        <v>255367.77</v>
      </c>
      <c r="E21" s="53">
        <f>'数据-取费表'!B27</f>
        <v>50</v>
      </c>
      <c r="F21" s="2803"/>
      <c r="G21" s="26"/>
      <c r="H21" s="51"/>
      <c r="I21" s="51"/>
      <c r="J21" s="51"/>
      <c r="K21" s="2775"/>
    </row>
    <row r="22" spans="1:14" s="2102" customFormat="1" ht="13.5" customHeight="1">
      <c r="A22" s="2798" t="s">
        <v>1857</v>
      </c>
      <c r="B22" s="2799" t="s">
        <v>492</v>
      </c>
      <c r="C22" s="53">
        <f ca="1">ROUND(D22*E22/10000,0)</f>
        <v>315</v>
      </c>
      <c r="D22" s="2800">
        <f ca="1">IF(B1="",'数据-汇总表'!E6,IF(INDIRECT("'数据-取费表'!c"&amp;$K$1)="住宅",INDIRECT("'数据-取费表'!s"&amp;$K$1),INDIRECT("'数据-取费表'!k"&amp;$K$1)+INDIRECT("'数据-取费表'!s"&amp;$K$1)))</f>
        <v>45064.899999999994</v>
      </c>
      <c r="E22" s="53">
        <f>'数据-取费表'!B28</f>
        <v>70</v>
      </c>
      <c r="F22" s="2803"/>
      <c r="G22" s="26"/>
      <c r="H22" s="51"/>
      <c r="I22" s="51"/>
      <c r="J22" s="51"/>
      <c r="K22" s="2775"/>
    </row>
    <row r="23" spans="1:14" s="2102" customFormat="1" ht="13.5" customHeight="1">
      <c r="A23" s="2806" t="s">
        <v>1858</v>
      </c>
      <c r="B23" s="2988" t="s">
        <v>2831</v>
      </c>
      <c r="C23" s="2808">
        <f ca="1">ROUND((C18+C19+C20)*F23,0)</f>
        <v>2210</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4719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8467</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8467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12584</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138498</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138498</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12919</v>
      </c>
      <c r="D33" s="467">
        <f ca="1">C34</f>
        <v>0.1132</v>
      </c>
      <c r="E33" s="469" t="s">
        <v>495</v>
      </c>
      <c r="F33" s="479">
        <f ca="1">IF(B1="",'数据-取费表'!Q16,INDIRECT("'数据-取费表'!q"&amp;$K$1))</f>
        <v>0.11</v>
      </c>
      <c r="G33" s="2772"/>
      <c r="H33" s="2773"/>
      <c r="I33" s="2773"/>
      <c r="J33" s="2773"/>
      <c r="K33" s="2774"/>
    </row>
    <row r="34" spans="1:11" s="2109" customFormat="1" ht="13.5" customHeight="1">
      <c r="A34" s="375" t="s">
        <v>1856</v>
      </c>
      <c r="B34" s="2819" t="s">
        <v>501</v>
      </c>
      <c r="C34" s="472">
        <f ca="1">ROUND((1+C25)*F33,4)</f>
        <v>0.1132</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12919</v>
      </c>
      <c r="D35" s="1615"/>
      <c r="E35" s="2820"/>
      <c r="F35" s="1616"/>
      <c r="G35" s="2778"/>
      <c r="H35" s="2779"/>
      <c r="I35" s="2779"/>
      <c r="J35" s="2779"/>
      <c r="K35" s="2780"/>
    </row>
    <row r="36" spans="1:11" s="2071" customFormat="1" ht="13.5" customHeight="1" thickBot="1">
      <c r="A36" s="284" t="s">
        <v>1844</v>
      </c>
      <c r="B36" s="2782"/>
      <c r="C36" s="2821">
        <f ca="1">ROUND((C6-C30-C33)/(1+D30+D33),0)</f>
        <v>65229</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10" customWidth="1"/>
    <col min="2" max="2" width="25.81640625" style="2100" customWidth="1"/>
    <col min="3" max="3" width="10.36328125" style="2111" customWidth="1"/>
    <col min="4" max="4" width="12" style="2100" customWidth="1"/>
    <col min="5" max="5" width="9.453125" style="2110" customWidth="1"/>
    <col min="6" max="6" width="10.08984375" style="2100" customWidth="1"/>
    <col min="7" max="7" width="9.453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96139</v>
      </c>
      <c r="D13" s="451"/>
      <c r="E13" s="365"/>
      <c r="F13" s="452"/>
      <c r="G13" s="444"/>
      <c r="H13" s="447"/>
      <c r="I13" s="447"/>
      <c r="J13" s="447"/>
      <c r="K13" s="448"/>
    </row>
    <row r="14" spans="1:41" s="2102" customFormat="1" ht="13.5" customHeight="1">
      <c r="A14" s="1619" t="s">
        <v>1849</v>
      </c>
      <c r="B14" s="449" t="s">
        <v>480</v>
      </c>
      <c r="C14" s="53">
        <f ca="1">ROUND(C13*F14,0)</f>
        <v>2884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2452</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6009</v>
      </c>
      <c r="D16" s="451">
        <f ca="1">IF(B1="",'数据-汇总表'!E3,INDIRECT("'数据-取费表'!K"&amp;$K$1)+INDIRECT("'数据-取费表'!S"&amp;$K$1))</f>
        <v>300432.67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1442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108926</v>
      </c>
      <c r="D18" s="461"/>
      <c r="E18" s="462"/>
      <c r="F18" s="462"/>
      <c r="G18" s="1323" t="s">
        <v>2430</v>
      </c>
      <c r="H18" s="447"/>
      <c r="I18" s="447"/>
      <c r="J18" s="447"/>
      <c r="K18" s="448"/>
    </row>
    <row r="19" spans="1:14" s="2105" customFormat="1" ht="13.5" customHeight="1">
      <c r="A19" s="1620" t="s">
        <v>1854</v>
      </c>
      <c r="B19" s="459" t="s">
        <v>493</v>
      </c>
      <c r="C19" s="460">
        <f ca="1">ROUND(C18*F19,0)</f>
        <v>2179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8010</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8010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12222</v>
      </c>
      <c r="D24" s="489">
        <f ca="1">C26</f>
        <v>2.2000000000000001E-3</v>
      </c>
      <c r="E24" s="469" t="s">
        <v>507</v>
      </c>
      <c r="F24" s="479">
        <f ca="1">IF(B1="",'数据-取费表'!Q16,INDIRECT("'数据-取费表'!q"&amp;$K$1))</f>
        <v>0.11</v>
      </c>
      <c r="G24" s="444"/>
      <c r="H24" s="447"/>
      <c r="I24" s="447"/>
      <c r="J24" s="447"/>
      <c r="K24" s="448"/>
    </row>
    <row r="25" spans="1:14" s="2106" customFormat="1" ht="13.5" customHeight="1">
      <c r="A25" s="1619" t="s">
        <v>1848</v>
      </c>
      <c r="B25" s="1324" t="s">
        <v>2434</v>
      </c>
      <c r="C25" s="490">
        <f ca="1">ROUND((C18+C19)*F24,0)</f>
        <v>12222</v>
      </c>
      <c r="D25" s="472"/>
      <c r="E25" s="473"/>
      <c r="F25" s="480"/>
      <c r="G25" s="1322" t="s">
        <v>2431</v>
      </c>
      <c r="H25" s="457"/>
      <c r="I25" s="457"/>
      <c r="J25" s="457"/>
      <c r="K25" s="458"/>
    </row>
    <row r="26" spans="1:14" s="2106" customFormat="1" ht="13.5" customHeight="1">
      <c r="A26" s="1619" t="s">
        <v>1849</v>
      </c>
      <c r="B26" s="1324" t="s">
        <v>509</v>
      </c>
      <c r="C26" s="491">
        <f ca="1">ROUND(F20*F24,4)</f>
        <v>2.2000000000000001E-3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142278</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c r="A6" s="512" t="s">
        <v>521</v>
      </c>
      <c r="B6" s="513"/>
      <c r="C6" s="3377" t="s">
        <v>522</v>
      </c>
      <c r="D6" s="3378"/>
      <c r="E6" s="3401" t="s">
        <v>523</v>
      </c>
      <c r="F6" s="3402"/>
      <c r="G6" s="3377" t="s">
        <v>524</v>
      </c>
      <c r="H6" s="3378"/>
      <c r="I6" s="3377" t="s">
        <v>525</v>
      </c>
      <c r="J6" s="3378"/>
      <c r="K6" s="514" t="s">
        <v>526</v>
      </c>
      <c r="L6" s="2119"/>
      <c r="M6" s="2120"/>
      <c r="N6" s="2120"/>
      <c r="O6" s="2120"/>
      <c r="P6" s="3379" t="s">
        <v>527</v>
      </c>
      <c r="Q6" s="3380"/>
      <c r="R6" s="3365" t="s">
        <v>523</v>
      </c>
      <c r="S6" s="3366"/>
      <c r="T6" s="3365" t="s">
        <v>524</v>
      </c>
      <c r="U6" s="3366"/>
      <c r="V6" s="3385" t="s">
        <v>525</v>
      </c>
      <c r="W6" s="3385"/>
      <c r="X6" s="1554"/>
      <c r="Y6" s="3365" t="s">
        <v>527</v>
      </c>
      <c r="Z6" s="3366"/>
      <c r="AA6" s="3360" t="s">
        <v>523</v>
      </c>
      <c r="AB6" s="3361" t="s">
        <v>524</v>
      </c>
      <c r="AC6" s="3360" t="s">
        <v>525</v>
      </c>
    </row>
    <row r="7" spans="1:29">
      <c r="A7" s="515"/>
      <c r="B7" s="516"/>
      <c r="C7" s="3388" t="s">
        <v>2928</v>
      </c>
      <c r="D7" s="3389"/>
      <c r="E7" s="3403" t="s">
        <v>2929</v>
      </c>
      <c r="F7" s="3404"/>
      <c r="G7" s="3388" t="s">
        <v>2930</v>
      </c>
      <c r="H7" s="3389"/>
      <c r="I7" s="3388" t="s">
        <v>2931</v>
      </c>
      <c r="J7" s="3389"/>
      <c r="K7" s="514"/>
      <c r="L7" s="2119"/>
      <c r="M7" s="2120"/>
      <c r="N7" s="2120"/>
      <c r="O7" s="2120"/>
      <c r="P7" s="3381"/>
      <c r="Q7" s="3382"/>
      <c r="R7" s="3367"/>
      <c r="S7" s="3368"/>
      <c r="T7" s="3367"/>
      <c r="U7" s="3368"/>
      <c r="V7" s="3385"/>
      <c r="W7" s="3385"/>
      <c r="X7" s="1554"/>
      <c r="Y7" s="3367"/>
      <c r="Z7" s="3368"/>
      <c r="AA7" s="3361"/>
      <c r="AB7" s="3361"/>
      <c r="AC7" s="3361"/>
    </row>
    <row r="8" spans="1:29" ht="15" thickBot="1">
      <c r="A8" s="517"/>
      <c r="B8" s="518"/>
      <c r="C8" s="3386" t="s">
        <v>2932</v>
      </c>
      <c r="D8" s="3387"/>
      <c r="E8" s="3405" t="s">
        <v>2932</v>
      </c>
      <c r="F8" s="3406"/>
      <c r="G8" s="3386" t="s">
        <v>2932</v>
      </c>
      <c r="H8" s="3387"/>
      <c r="I8" s="3386" t="s">
        <v>2932</v>
      </c>
      <c r="J8" s="3387"/>
      <c r="K8" s="514" t="s">
        <v>528</v>
      </c>
      <c r="L8" s="2119"/>
      <c r="M8" s="2120"/>
      <c r="N8" s="2120"/>
      <c r="O8" s="2120"/>
      <c r="P8" s="3383"/>
      <c r="Q8" s="3384"/>
      <c r="R8" s="3367"/>
      <c r="S8" s="3368"/>
      <c r="T8" s="3369"/>
      <c r="U8" s="3370"/>
      <c r="V8" s="3385"/>
      <c r="W8" s="3385"/>
      <c r="X8" s="1554"/>
      <c r="Y8" s="3369"/>
      <c r="Z8" s="3370"/>
      <c r="AA8" s="3362"/>
      <c r="AB8" s="3362"/>
      <c r="AC8" s="3362"/>
    </row>
    <row r="9" spans="1:29" s="1216" customFormat="1" ht="14.5" thickBot="1">
      <c r="A9" s="2868"/>
      <c r="B9" s="2875"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3" t="s">
        <v>530</v>
      </c>
      <c r="Q9" s="3372"/>
      <c r="R9" s="1555" t="s">
        <v>8</v>
      </c>
      <c r="S9" s="1556">
        <f t="shared" ref="S9:S17" si="0">F9</f>
        <v>0</v>
      </c>
      <c r="T9" s="1555" t="s">
        <v>8</v>
      </c>
      <c r="U9" s="1556">
        <f t="shared" ref="U9:U17" si="1">H9</f>
        <v>0</v>
      </c>
      <c r="V9" s="1555" t="s">
        <v>8</v>
      </c>
      <c r="W9" s="1556">
        <f t="shared" ref="W9:W17" si="2">J9</f>
        <v>0</v>
      </c>
      <c r="X9" s="1557"/>
      <c r="Y9" s="3363" t="s">
        <v>530</v>
      </c>
      <c r="Z9" s="3364"/>
      <c r="AA9" s="1558" t="e">
        <f>D9/F9</f>
        <v>#DIV/0!</v>
      </c>
      <c r="AB9" s="1558" t="e">
        <f>D9/H9</f>
        <v>#DIV/0!</v>
      </c>
      <c r="AC9" s="1558" t="e">
        <f>D9/J9</f>
        <v>#DIV/0!</v>
      </c>
    </row>
    <row r="10" spans="1:29" s="1216" customFormat="1" ht="14.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3" t="s">
        <v>533</v>
      </c>
      <c r="Q10" s="3364"/>
      <c r="R10" s="1555" t="s">
        <v>8</v>
      </c>
      <c r="S10" s="1556">
        <f t="shared" si="0"/>
        <v>0</v>
      </c>
      <c r="T10" s="1555" t="s">
        <v>8</v>
      </c>
      <c r="U10" s="1556">
        <f t="shared" si="1"/>
        <v>0</v>
      </c>
      <c r="V10" s="1555" t="s">
        <v>8</v>
      </c>
      <c r="W10" s="1556">
        <f t="shared" si="2"/>
        <v>0</v>
      </c>
      <c r="X10" s="1557"/>
      <c r="Y10" s="3363" t="s">
        <v>533</v>
      </c>
      <c r="Z10" s="3364"/>
      <c r="AA10" s="1558" t="e">
        <f t="shared" ref="AA10:AA42" si="3">D10/F10</f>
        <v>#DIV/0!</v>
      </c>
      <c r="AB10" s="1558" t="e">
        <f t="shared" ref="AB10:AB42" si="4">D10/H10</f>
        <v>#DIV/0!</v>
      </c>
      <c r="AC10" s="1558" t="e">
        <f t="shared" ref="AC10:AC42" si="5">D10/J10</f>
        <v>#DIV/0!</v>
      </c>
    </row>
    <row r="11" spans="1:29" s="1216" customFormat="1">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1" t="s">
        <v>535</v>
      </c>
      <c r="Q11" s="1147" t="str">
        <f t="shared" ref="Q11:Q17" si="6">B11</f>
        <v>用途</v>
      </c>
      <c r="R11" s="1555" t="s">
        <v>8</v>
      </c>
      <c r="S11" s="1556">
        <f t="shared" si="0"/>
        <v>100</v>
      </c>
      <c r="T11" s="1555" t="s">
        <v>8</v>
      </c>
      <c r="U11" s="1556">
        <f t="shared" si="1"/>
        <v>100</v>
      </c>
      <c r="V11" s="1555" t="s">
        <v>8</v>
      </c>
      <c r="W11" s="1556">
        <f t="shared" si="2"/>
        <v>100</v>
      </c>
      <c r="X11" s="1557"/>
      <c r="Y11" s="3328" t="s">
        <v>536</v>
      </c>
      <c r="Z11" s="1146" t="str">
        <f t="shared" ref="Z11:Z17" si="7">Q11</f>
        <v>用途</v>
      </c>
      <c r="AA11" s="1558">
        <f t="shared" si="3"/>
        <v>1</v>
      </c>
      <c r="AB11" s="1558">
        <f t="shared" si="4"/>
        <v>1</v>
      </c>
      <c r="AC11" s="1558">
        <f t="shared" si="5"/>
        <v>1</v>
      </c>
    </row>
    <row r="12" spans="1:29" s="1334" customFormat="1" ht="28">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71"/>
      <c r="Q12" s="1147" t="str">
        <f t="shared" si="6"/>
        <v>土地使用年限（年）</v>
      </c>
      <c r="R12" s="1555" t="s">
        <v>8</v>
      </c>
      <c r="S12" s="1556">
        <f t="shared" si="0"/>
        <v>100</v>
      </c>
      <c r="T12" s="1555" t="s">
        <v>8</v>
      </c>
      <c r="U12" s="1556">
        <f t="shared" si="1"/>
        <v>100</v>
      </c>
      <c r="V12" s="1555" t="s">
        <v>8</v>
      </c>
      <c r="W12" s="1556">
        <f t="shared" si="2"/>
        <v>100</v>
      </c>
      <c r="X12" s="1557"/>
      <c r="Y12" s="3328"/>
      <c r="Z12" s="1146" t="str">
        <f t="shared" si="7"/>
        <v>土地使用年限（年）</v>
      </c>
      <c r="AA12" s="1558">
        <f t="shared" si="3"/>
        <v>1</v>
      </c>
      <c r="AB12" s="1558">
        <f t="shared" si="4"/>
        <v>1</v>
      </c>
      <c r="AC12" s="1558">
        <f t="shared" si="5"/>
        <v>1</v>
      </c>
    </row>
    <row r="13" spans="1:29" ht="15.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1"/>
      <c r="Q13" s="1147" t="str">
        <f t="shared" si="6"/>
        <v>容积率</v>
      </c>
      <c r="R13" s="1555" t="s">
        <v>8</v>
      </c>
      <c r="S13" s="1556" t="e">
        <f t="shared" si="0"/>
        <v>#N/A</v>
      </c>
      <c r="T13" s="1555" t="s">
        <v>8</v>
      </c>
      <c r="U13" s="1556" t="e">
        <f t="shared" si="1"/>
        <v>#N/A</v>
      </c>
      <c r="V13" s="1555" t="s">
        <v>8</v>
      </c>
      <c r="W13" s="1556" t="e">
        <f t="shared" si="2"/>
        <v>#N/A</v>
      </c>
      <c r="X13" s="1557"/>
      <c r="Y13" s="3328"/>
      <c r="Z13" s="1146" t="str">
        <f t="shared" si="7"/>
        <v>容积率</v>
      </c>
      <c r="AA13" s="1558" t="e">
        <f t="shared" si="3"/>
        <v>#N/A</v>
      </c>
      <c r="AB13" s="1558" t="e">
        <f t="shared" si="4"/>
        <v>#N/A</v>
      </c>
      <c r="AC13" s="1558" t="e">
        <f t="shared" si="5"/>
        <v>#N/A</v>
      </c>
    </row>
    <row r="14" spans="1:29" s="1216" customFormat="1" ht="15.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D14/F14</f>
        <v>1</v>
      </c>
      <c r="AB14" s="1558">
        <f>D14/H14</f>
        <v>1</v>
      </c>
      <c r="AC14" s="1558">
        <f>D14/J14</f>
        <v>1</v>
      </c>
    </row>
    <row r="15" spans="1:29" ht="15.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1"/>
      <c r="Q15" s="1147">
        <f t="shared" si="6"/>
        <v>111</v>
      </c>
      <c r="R15" s="1555" t="s">
        <v>8</v>
      </c>
      <c r="S15" s="1556">
        <f t="shared" si="0"/>
        <v>100</v>
      </c>
      <c r="T15" s="1555" t="s">
        <v>8</v>
      </c>
      <c r="U15" s="1556">
        <f t="shared" si="1"/>
        <v>100</v>
      </c>
      <c r="V15" s="1555" t="s">
        <v>8</v>
      </c>
      <c r="W15" s="1556">
        <f t="shared" si="2"/>
        <v>100</v>
      </c>
      <c r="X15" s="1557"/>
      <c r="Y15" s="3328"/>
      <c r="Z15" s="1146">
        <f t="shared" si="7"/>
        <v>111</v>
      </c>
      <c r="AA15" s="1558">
        <f t="shared" si="3"/>
        <v>1</v>
      </c>
      <c r="AB15" s="1558">
        <f t="shared" si="4"/>
        <v>1</v>
      </c>
      <c r="AC15" s="1558">
        <f t="shared" si="5"/>
        <v>1</v>
      </c>
    </row>
    <row r="16" spans="1:29" ht="1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1"/>
      <c r="Q16" s="1147">
        <f t="shared" si="6"/>
        <v>111</v>
      </c>
      <c r="R16" s="1555" t="s">
        <v>8</v>
      </c>
      <c r="S16" s="1556">
        <f t="shared" si="0"/>
        <v>100</v>
      </c>
      <c r="T16" s="1555" t="s">
        <v>8</v>
      </c>
      <c r="U16" s="1556">
        <f t="shared" si="1"/>
        <v>100</v>
      </c>
      <c r="V16" s="1555" t="s">
        <v>8</v>
      </c>
      <c r="W16" s="1556">
        <f t="shared" si="2"/>
        <v>100</v>
      </c>
      <c r="X16" s="1557"/>
      <c r="Y16" s="3328"/>
      <c r="Z16" s="1146">
        <f t="shared" si="7"/>
        <v>111</v>
      </c>
      <c r="AA16" s="1558">
        <f t="shared" si="3"/>
        <v>1</v>
      </c>
      <c r="AB16" s="1558">
        <f t="shared" si="4"/>
        <v>1</v>
      </c>
      <c r="AC16" s="1558">
        <f t="shared" si="5"/>
        <v>1</v>
      </c>
    </row>
    <row r="17" spans="1:29" ht="70">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3" t="s">
        <v>540</v>
      </c>
      <c r="Q17" s="1559" t="str">
        <f t="shared" si="6"/>
        <v>产业集聚程度</v>
      </c>
      <c r="R17" s="1560" t="s">
        <v>8</v>
      </c>
      <c r="S17" s="1561">
        <f t="shared" si="0"/>
        <v>100</v>
      </c>
      <c r="T17" s="1560" t="s">
        <v>8</v>
      </c>
      <c r="U17" s="1561">
        <f t="shared" si="1"/>
        <v>100</v>
      </c>
      <c r="V17" s="1560" t="s">
        <v>8</v>
      </c>
      <c r="W17" s="1561">
        <f t="shared" si="2"/>
        <v>100</v>
      </c>
      <c r="X17" s="1554"/>
      <c r="Y17" s="3373" t="s">
        <v>540</v>
      </c>
      <c r="Z17" s="1562" t="str">
        <f t="shared" si="7"/>
        <v>产业集聚程度</v>
      </c>
      <c r="AA17" s="1563">
        <f t="shared" si="3"/>
        <v>1</v>
      </c>
      <c r="AB17" s="1563">
        <f t="shared" si="4"/>
        <v>1</v>
      </c>
      <c r="AC17" s="1563">
        <f t="shared" si="5"/>
        <v>1</v>
      </c>
    </row>
    <row r="18" spans="1:29" ht="15.5">
      <c r="A18" s="532"/>
      <c r="B18" s="869"/>
      <c r="C18" s="576"/>
      <c r="D18" s="555"/>
      <c r="E18" s="554"/>
      <c r="F18" s="555"/>
      <c r="G18" s="554"/>
      <c r="H18" s="559"/>
      <c r="I18" s="554"/>
      <c r="J18" s="555"/>
      <c r="K18" s="531"/>
      <c r="L18" s="2128"/>
      <c r="M18" s="2120"/>
      <c r="N18" s="2120"/>
      <c r="O18" s="2127"/>
      <c r="P18" s="3374"/>
      <c r="Q18" s="1559"/>
      <c r="R18" s="1560"/>
      <c r="S18" s="1561"/>
      <c r="T18" s="1560"/>
      <c r="U18" s="1561"/>
      <c r="V18" s="1560"/>
      <c r="W18" s="1561"/>
      <c r="X18" s="1554"/>
      <c r="Y18" s="3374"/>
      <c r="Z18" s="1562"/>
      <c r="AA18" s="1563">
        <v>1</v>
      </c>
      <c r="AB18" s="1563">
        <v>1</v>
      </c>
      <c r="AC18" s="1563">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4"/>
      <c r="Q19" s="1559" t="str">
        <f>B19</f>
        <v>交通便捷度</v>
      </c>
      <c r="R19" s="1560" t="s">
        <v>8</v>
      </c>
      <c r="S19" s="1561">
        <f>F19</f>
        <v>100</v>
      </c>
      <c r="T19" s="1560" t="s">
        <v>8</v>
      </c>
      <c r="U19" s="1561">
        <f>H19</f>
        <v>100</v>
      </c>
      <c r="V19" s="1560" t="s">
        <v>8</v>
      </c>
      <c r="W19" s="1561">
        <f>J19</f>
        <v>100</v>
      </c>
      <c r="X19" s="1554"/>
      <c r="Y19" s="3374"/>
      <c r="Z19" s="1562" t="str">
        <f>Q19</f>
        <v>交通便捷度</v>
      </c>
      <c r="AA19" s="1563">
        <f t="shared" si="3"/>
        <v>1</v>
      </c>
      <c r="AB19" s="1563">
        <f t="shared" si="4"/>
        <v>1</v>
      </c>
      <c r="AC19" s="1563">
        <f t="shared" si="5"/>
        <v>1</v>
      </c>
    </row>
    <row r="20" spans="1:29" ht="15.5">
      <c r="A20" s="532"/>
      <c r="B20" s="922"/>
      <c r="C20" s="576"/>
      <c r="D20" s="555"/>
      <c r="E20" s="556"/>
      <c r="F20" s="555"/>
      <c r="G20" s="556"/>
      <c r="H20" s="555"/>
      <c r="I20" s="558"/>
      <c r="J20" s="555"/>
      <c r="K20" s="531"/>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4"/>
      <c r="Q21" s="1559" t="str">
        <f t="shared" ref="Q21:Q35" si="8">B21</f>
        <v>区域土地利用方向</v>
      </c>
      <c r="R21" s="1560" t="s">
        <v>8</v>
      </c>
      <c r="S21" s="1561">
        <f>F21</f>
        <v>100</v>
      </c>
      <c r="T21" s="1560" t="s">
        <v>8</v>
      </c>
      <c r="U21" s="1561">
        <f>H21</f>
        <v>100</v>
      </c>
      <c r="V21" s="1560" t="s">
        <v>8</v>
      </c>
      <c r="W21" s="1561">
        <f>J21</f>
        <v>100</v>
      </c>
      <c r="X21" s="1554"/>
      <c r="Y21" s="3374"/>
      <c r="Z21" s="1562" t="str">
        <f>Q21</f>
        <v>区域土地利用方向</v>
      </c>
      <c r="AA21" s="1563">
        <f t="shared" si="3"/>
        <v>1</v>
      </c>
      <c r="AB21" s="1563">
        <f t="shared" si="4"/>
        <v>1</v>
      </c>
      <c r="AC21" s="1563">
        <f t="shared" si="5"/>
        <v>1</v>
      </c>
    </row>
    <row r="22" spans="1:29" ht="15.5">
      <c r="A22" s="515"/>
      <c r="B22" s="595"/>
      <c r="C22" s="576"/>
      <c r="D22" s="555"/>
      <c r="E22" s="556"/>
      <c r="F22" s="557"/>
      <c r="G22" s="558"/>
      <c r="H22" s="557"/>
      <c r="I22" s="558"/>
      <c r="J22" s="557"/>
      <c r="K22" s="1344"/>
      <c r="L22" s="2128"/>
      <c r="M22" s="2120"/>
      <c r="N22" s="2120"/>
      <c r="O22" s="2127"/>
      <c r="P22" s="3374"/>
      <c r="Q22" s="1559"/>
      <c r="R22" s="1560"/>
      <c r="S22" s="1561"/>
      <c r="T22" s="1560"/>
      <c r="U22" s="1561"/>
      <c r="V22" s="1560"/>
      <c r="W22" s="1561"/>
      <c r="X22" s="1554"/>
      <c r="Y22" s="3374"/>
      <c r="Z22" s="1562"/>
      <c r="AA22" s="1563"/>
      <c r="AB22" s="1563"/>
      <c r="AC22" s="1563"/>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4"/>
      <c r="Q23" s="1559" t="str">
        <f t="shared" si="8"/>
        <v>环境状况</v>
      </c>
      <c r="R23" s="1560" t="s">
        <v>8</v>
      </c>
      <c r="S23" s="1561">
        <f>F23</f>
        <v>100</v>
      </c>
      <c r="T23" s="1560" t="s">
        <v>8</v>
      </c>
      <c r="U23" s="1561">
        <f>H23</f>
        <v>100</v>
      </c>
      <c r="V23" s="1560" t="s">
        <v>8</v>
      </c>
      <c r="W23" s="1561">
        <f>J23</f>
        <v>100</v>
      </c>
      <c r="X23" s="1554"/>
      <c r="Y23" s="3374"/>
      <c r="Z23" s="1562" t="str">
        <f>Q23</f>
        <v>环境状况</v>
      </c>
      <c r="AA23" s="1563">
        <f t="shared" si="3"/>
        <v>1</v>
      </c>
      <c r="AB23" s="1563">
        <f t="shared" si="4"/>
        <v>1</v>
      </c>
      <c r="AC23" s="1563">
        <f t="shared" si="5"/>
        <v>1</v>
      </c>
    </row>
    <row r="24" spans="1:29" ht="15.5">
      <c r="A24" s="515"/>
      <c r="B24" s="595"/>
      <c r="C24" s="576"/>
      <c r="D24" s="555"/>
      <c r="E24" s="554"/>
      <c r="F24" s="555"/>
      <c r="G24" s="554"/>
      <c r="H24" s="555"/>
      <c r="I24" s="576"/>
      <c r="J24" s="555"/>
      <c r="K24" s="531"/>
      <c r="L24" s="2128"/>
      <c r="M24" s="2120"/>
      <c r="N24" s="2120"/>
      <c r="O24" s="2127"/>
      <c r="P24" s="3374"/>
      <c r="Q24" s="1559"/>
      <c r="R24" s="1560"/>
      <c r="S24" s="1561"/>
      <c r="T24" s="1560"/>
      <c r="U24" s="1561"/>
      <c r="V24" s="1560"/>
      <c r="W24" s="1561"/>
      <c r="X24" s="1554"/>
      <c r="Y24" s="3374"/>
      <c r="Z24" s="1562"/>
      <c r="AA24" s="1563">
        <v>1</v>
      </c>
      <c r="AB24" s="1563">
        <v>1</v>
      </c>
      <c r="AC24" s="1563">
        <v>1</v>
      </c>
    </row>
    <row r="25" spans="1:29" s="1216" customFormat="1" ht="42">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4"/>
      <c r="Q25" s="1147" t="str">
        <f t="shared" si="8"/>
        <v>公共配套设施</v>
      </c>
      <c r="R25" s="1555" t="s">
        <v>8</v>
      </c>
      <c r="S25" s="1556">
        <f>F25</f>
        <v>100</v>
      </c>
      <c r="T25" s="1555" t="s">
        <v>8</v>
      </c>
      <c r="U25" s="1556">
        <f>H25</f>
        <v>100</v>
      </c>
      <c r="V25" s="1555" t="s">
        <v>8</v>
      </c>
      <c r="W25" s="1556">
        <f>J25</f>
        <v>100</v>
      </c>
      <c r="X25" s="1557"/>
      <c r="Y25" s="3374"/>
      <c r="Z25" s="1146" t="str">
        <f>Q25</f>
        <v>公共配套设施</v>
      </c>
      <c r="AA25" s="1563">
        <f>D25/F25</f>
        <v>1</v>
      </c>
      <c r="AB25" s="1563">
        <f>D25/H25</f>
        <v>1</v>
      </c>
      <c r="AC25" s="1563">
        <f>D25/J25</f>
        <v>1</v>
      </c>
    </row>
    <row r="26" spans="1:29" s="1216" customFormat="1" ht="15.5">
      <c r="A26" s="577"/>
      <c r="B26" s="595"/>
      <c r="C26" s="2557"/>
      <c r="D26" s="555"/>
      <c r="E26" s="554"/>
      <c r="F26" s="555"/>
      <c r="G26" s="554"/>
      <c r="H26" s="555"/>
      <c r="I26" s="576"/>
      <c r="J26" s="555"/>
      <c r="K26" s="531"/>
      <c r="L26" s="2121"/>
      <c r="M26" s="2122"/>
      <c r="N26" s="2122"/>
      <c r="O26" s="2123"/>
      <c r="P26" s="3374"/>
      <c r="Q26" s="1147"/>
      <c r="R26" s="1555"/>
      <c r="S26" s="1556"/>
      <c r="T26" s="1555"/>
      <c r="U26" s="1556"/>
      <c r="V26" s="1555"/>
      <c r="W26" s="1556"/>
      <c r="X26" s="1557"/>
      <c r="Y26" s="3374"/>
      <c r="Z26" s="1146"/>
      <c r="AA26" s="1558">
        <v>1</v>
      </c>
      <c r="AB26" s="1558">
        <v>1</v>
      </c>
      <c r="AC26" s="1558">
        <v>1</v>
      </c>
    </row>
    <row r="27" spans="1:29" s="1216" customFormat="1" ht="42">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4"/>
      <c r="Q27" s="2543" t="str">
        <f t="shared" ref="Q27" si="9">B27</f>
        <v>基础设施水平</v>
      </c>
      <c r="R27" s="1555" t="s">
        <v>8</v>
      </c>
      <c r="S27" s="1556">
        <f>F27</f>
        <v>100</v>
      </c>
      <c r="T27" s="1555" t="s">
        <v>8</v>
      </c>
      <c r="U27" s="1556">
        <f>H27</f>
        <v>100</v>
      </c>
      <c r="V27" s="1555" t="s">
        <v>8</v>
      </c>
      <c r="W27" s="1556">
        <f>J27</f>
        <v>100</v>
      </c>
      <c r="X27" s="1557"/>
      <c r="Y27" s="3374"/>
      <c r="Z27" s="2540" t="str">
        <f>Q27</f>
        <v>基础设施水平</v>
      </c>
      <c r="AA27" s="1563">
        <f>D27/F27</f>
        <v>1</v>
      </c>
      <c r="AB27" s="1563">
        <f>D27/H27</f>
        <v>1</v>
      </c>
      <c r="AC27" s="1563">
        <f>D27/J27</f>
        <v>1</v>
      </c>
    </row>
    <row r="28" spans="1:29" s="1216" customFormat="1" ht="15.5">
      <c r="A28" s="577"/>
      <c r="B28" s="595"/>
      <c r="C28" s="2557"/>
      <c r="D28" s="555"/>
      <c r="E28" s="579"/>
      <c r="F28" s="555"/>
      <c r="G28" s="579"/>
      <c r="H28" s="555"/>
      <c r="I28" s="579"/>
      <c r="J28" s="555"/>
      <c r="K28" s="531"/>
      <c r="L28" s="2121"/>
      <c r="M28" s="2122"/>
      <c r="N28" s="2122"/>
      <c r="O28" s="2123"/>
      <c r="P28" s="3374"/>
      <c r="Q28" s="2543"/>
      <c r="R28" s="1555"/>
      <c r="S28" s="1556"/>
      <c r="T28" s="1555"/>
      <c r="U28" s="1556"/>
      <c r="V28" s="1555"/>
      <c r="W28" s="1556"/>
      <c r="X28" s="1557"/>
      <c r="Y28" s="3374"/>
      <c r="Z28" s="2540"/>
      <c r="AA28" s="1558">
        <v>1</v>
      </c>
      <c r="AB28" s="1558">
        <v>1</v>
      </c>
      <c r="AC28" s="1558">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4"/>
      <c r="Z29" s="1562" t="str">
        <f t="shared" ref="Z29:Z42" si="13">Q29</f>
        <v>临街状况</v>
      </c>
      <c r="AA29" s="1563">
        <f t="shared" si="3"/>
        <v>1</v>
      </c>
      <c r="AB29" s="1563">
        <f t="shared" si="4"/>
        <v>1</v>
      </c>
      <c r="AC29" s="1563">
        <f t="shared" si="5"/>
        <v>1</v>
      </c>
    </row>
    <row r="30" spans="1:29" ht="2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4"/>
      <c r="Q30" s="1559" t="str">
        <f t="shared" si="8"/>
        <v>毗邻道路的类型与等级</v>
      </c>
      <c r="R30" s="1560" t="s">
        <v>8</v>
      </c>
      <c r="S30" s="1561">
        <f t="shared" si="10"/>
        <v>100</v>
      </c>
      <c r="T30" s="1560" t="s">
        <v>8</v>
      </c>
      <c r="U30" s="1561">
        <f t="shared" si="11"/>
        <v>100</v>
      </c>
      <c r="V30" s="1560" t="s">
        <v>8</v>
      </c>
      <c r="W30" s="1561">
        <f t="shared" si="12"/>
        <v>100</v>
      </c>
      <c r="X30" s="1554"/>
      <c r="Y30" s="3374"/>
      <c r="Z30" s="1562" t="str">
        <f t="shared" si="13"/>
        <v>毗邻道路的类型与等级</v>
      </c>
      <c r="AA30" s="1563">
        <f t="shared" si="3"/>
        <v>1</v>
      </c>
      <c r="AB30" s="1563">
        <f t="shared" si="4"/>
        <v>1</v>
      </c>
      <c r="AC30" s="1563">
        <f t="shared" si="5"/>
        <v>1</v>
      </c>
    </row>
    <row r="31" spans="1:29" ht="15.5">
      <c r="A31" s="532"/>
      <c r="B31" s="595"/>
      <c r="C31" s="576"/>
      <c r="D31" s="555"/>
      <c r="E31" s="576"/>
      <c r="F31" s="555"/>
      <c r="G31" s="576"/>
      <c r="H31" s="555"/>
      <c r="I31" s="576"/>
      <c r="J31" s="555"/>
      <c r="K31" s="581"/>
      <c r="L31" s="2128"/>
      <c r="M31" s="2120"/>
      <c r="N31" s="2120"/>
      <c r="O31" s="2127"/>
      <c r="P31" s="3374"/>
      <c r="Q31" s="1559"/>
      <c r="R31" s="1560"/>
      <c r="S31" s="1561"/>
      <c r="T31" s="1560"/>
      <c r="U31" s="1561"/>
      <c r="V31" s="1560"/>
      <c r="W31" s="1561"/>
      <c r="X31" s="1554"/>
      <c r="Y31" s="3374"/>
      <c r="Z31" s="1562"/>
      <c r="AA31" s="1563">
        <v>1</v>
      </c>
      <c r="AB31" s="1563">
        <v>1</v>
      </c>
      <c r="AC31" s="1563">
        <v>1</v>
      </c>
    </row>
    <row r="32" spans="1:29" ht="15.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4"/>
      <c r="Q32" s="1559" t="str">
        <f t="shared" si="8"/>
        <v>土地级别</v>
      </c>
      <c r="R32" s="1560" t="s">
        <v>8</v>
      </c>
      <c r="S32" s="1561">
        <f t="shared" si="10"/>
        <v>100</v>
      </c>
      <c r="T32" s="1560" t="s">
        <v>8</v>
      </c>
      <c r="U32" s="1561">
        <f t="shared" si="11"/>
        <v>100</v>
      </c>
      <c r="V32" s="1560" t="s">
        <v>8</v>
      </c>
      <c r="W32" s="1561">
        <f t="shared" si="12"/>
        <v>100</v>
      </c>
      <c r="X32" s="1554"/>
      <c r="Y32" s="3374"/>
      <c r="Z32" s="1562" t="str">
        <f t="shared" si="13"/>
        <v>土地级别</v>
      </c>
      <c r="AA32" s="1563">
        <f t="shared" si="3"/>
        <v>1</v>
      </c>
      <c r="AB32" s="1563">
        <f t="shared" si="4"/>
        <v>1</v>
      </c>
      <c r="AC32" s="1563">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4"/>
      <c r="Q33" s="1559">
        <f t="shared" si="8"/>
        <v>111</v>
      </c>
      <c r="R33" s="1560" t="s">
        <v>8</v>
      </c>
      <c r="S33" s="1561">
        <f t="shared" si="10"/>
        <v>100</v>
      </c>
      <c r="T33" s="1560" t="s">
        <v>8</v>
      </c>
      <c r="U33" s="1561">
        <f t="shared" si="11"/>
        <v>100</v>
      </c>
      <c r="V33" s="1560" t="s">
        <v>8</v>
      </c>
      <c r="W33" s="1561">
        <f t="shared" si="12"/>
        <v>100</v>
      </c>
      <c r="X33" s="1554"/>
      <c r="Y33" s="3374"/>
      <c r="Z33" s="1562">
        <f t="shared" si="13"/>
        <v>111</v>
      </c>
      <c r="AA33" s="1563">
        <f t="shared" si="3"/>
        <v>1</v>
      </c>
      <c r="AB33" s="1563">
        <f t="shared" si="4"/>
        <v>1</v>
      </c>
      <c r="AC33" s="1563">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5" t="s">
        <v>550</v>
      </c>
      <c r="Q34" s="1559">
        <f t="shared" si="8"/>
        <v>111</v>
      </c>
      <c r="R34" s="1560" t="s">
        <v>8</v>
      </c>
      <c r="S34" s="1561">
        <f t="shared" si="10"/>
        <v>100</v>
      </c>
      <c r="T34" s="1560" t="s">
        <v>8</v>
      </c>
      <c r="U34" s="1561">
        <f t="shared" si="11"/>
        <v>100</v>
      </c>
      <c r="V34" s="1560" t="s">
        <v>8</v>
      </c>
      <c r="W34" s="1561">
        <f t="shared" si="12"/>
        <v>100</v>
      </c>
      <c r="X34" s="1554"/>
      <c r="Y34" s="3376" t="s">
        <v>550</v>
      </c>
      <c r="Z34" s="1562">
        <f t="shared" si="13"/>
        <v>111</v>
      </c>
      <c r="AA34" s="1563">
        <f t="shared" si="3"/>
        <v>1</v>
      </c>
      <c r="AB34" s="1563">
        <f t="shared" si="4"/>
        <v>1</v>
      </c>
      <c r="AC34" s="1563">
        <f t="shared" si="5"/>
        <v>1</v>
      </c>
    </row>
    <row r="35" spans="1:29" s="1335" customFormat="1" ht="1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6"/>
      <c r="Q35" s="1559">
        <f t="shared" si="8"/>
        <v>111</v>
      </c>
      <c r="R35" s="1564" t="s">
        <v>8</v>
      </c>
      <c r="S35" s="1565">
        <f t="shared" si="10"/>
        <v>100</v>
      </c>
      <c r="T35" s="1564" t="s">
        <v>8</v>
      </c>
      <c r="U35" s="1565">
        <f t="shared" si="11"/>
        <v>100</v>
      </c>
      <c r="V35" s="1564" t="s">
        <v>8</v>
      </c>
      <c r="W35" s="1565">
        <f t="shared" si="12"/>
        <v>100</v>
      </c>
      <c r="X35" s="1566"/>
      <c r="Y35" s="3376"/>
      <c r="Z35" s="1567">
        <f t="shared" si="13"/>
        <v>111</v>
      </c>
      <c r="AA35" s="1563">
        <f t="shared" si="3"/>
        <v>1</v>
      </c>
      <c r="AB35" s="1563">
        <f t="shared" si="4"/>
        <v>1</v>
      </c>
      <c r="AC35" s="1563">
        <f t="shared" si="5"/>
        <v>1</v>
      </c>
    </row>
    <row r="36" spans="1:29" ht="15.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6"/>
      <c r="Q36" s="1559" t="str">
        <f>B36</f>
        <v>宗地面积</v>
      </c>
      <c r="R36" s="1560" t="s">
        <v>8</v>
      </c>
      <c r="S36" s="1561" t="e">
        <f t="shared" si="10"/>
        <v>#N/A</v>
      </c>
      <c r="T36" s="1560" t="s">
        <v>8</v>
      </c>
      <c r="U36" s="1561" t="e">
        <f t="shared" si="11"/>
        <v>#N/A</v>
      </c>
      <c r="V36" s="1560" t="s">
        <v>8</v>
      </c>
      <c r="W36" s="1561" t="e">
        <f t="shared" si="12"/>
        <v>#N/A</v>
      </c>
      <c r="X36" s="1554"/>
      <c r="Y36" s="3376"/>
      <c r="Z36" s="1562" t="str">
        <f t="shared" si="13"/>
        <v>宗地面积</v>
      </c>
      <c r="AA36" s="1563" t="e">
        <f t="shared" si="3"/>
        <v>#N/A</v>
      </c>
      <c r="AB36" s="1563" t="e">
        <f t="shared" si="4"/>
        <v>#N/A</v>
      </c>
      <c r="AC36" s="1563"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6"/>
      <c r="Q37" s="1559" t="str">
        <f t="shared" ref="Q37:Q42" si="14">B37</f>
        <v>宗地形状</v>
      </c>
      <c r="R37" s="1560" t="s">
        <v>8</v>
      </c>
      <c r="S37" s="1561">
        <f t="shared" si="10"/>
        <v>100</v>
      </c>
      <c r="T37" s="1560" t="s">
        <v>8</v>
      </c>
      <c r="U37" s="1561">
        <f t="shared" si="11"/>
        <v>100</v>
      </c>
      <c r="V37" s="1560" t="s">
        <v>8</v>
      </c>
      <c r="W37" s="1561">
        <f t="shared" si="12"/>
        <v>100</v>
      </c>
      <c r="X37" s="1554"/>
      <c r="Y37" s="3376"/>
      <c r="Z37" s="1562" t="str">
        <f t="shared" si="13"/>
        <v>宗地形状</v>
      </c>
      <c r="AA37" s="1563">
        <f t="shared" si="3"/>
        <v>1</v>
      </c>
      <c r="AB37" s="1563">
        <f t="shared" si="4"/>
        <v>1</v>
      </c>
      <c r="AC37" s="1563">
        <f t="shared" si="5"/>
        <v>1</v>
      </c>
    </row>
    <row r="38" spans="1:29" s="1216" customFormat="1" ht="15.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6"/>
      <c r="Q38" s="1559" t="str">
        <f t="shared" si="14"/>
        <v>宗地开发程度</v>
      </c>
      <c r="R38" s="1555" t="s">
        <v>8</v>
      </c>
      <c r="S38" s="1556">
        <f t="shared" si="10"/>
        <v>100</v>
      </c>
      <c r="T38" s="1555" t="s">
        <v>8</v>
      </c>
      <c r="U38" s="1556">
        <f t="shared" si="11"/>
        <v>100</v>
      </c>
      <c r="V38" s="1555" t="s">
        <v>8</v>
      </c>
      <c r="W38" s="1556">
        <f t="shared" si="12"/>
        <v>100</v>
      </c>
      <c r="X38" s="1557"/>
      <c r="Y38" s="3376"/>
      <c r="Z38" s="1146" t="str">
        <f t="shared" si="13"/>
        <v>宗地开发程度</v>
      </c>
      <c r="AA38" s="1558">
        <f t="shared" si="3"/>
        <v>1</v>
      </c>
      <c r="AB38" s="1558">
        <f t="shared" si="4"/>
        <v>1</v>
      </c>
      <c r="AC38" s="1558">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t="s">
        <v>601</v>
      </c>
      <c r="Q39" s="1559" t="str">
        <f t="shared" si="14"/>
        <v>工程地质条件</v>
      </c>
      <c r="R39" s="1560" t="s">
        <v>8</v>
      </c>
      <c r="S39" s="1561">
        <f t="shared" si="10"/>
        <v>100</v>
      </c>
      <c r="T39" s="1560" t="s">
        <v>8</v>
      </c>
      <c r="U39" s="1561">
        <f t="shared" si="11"/>
        <v>100</v>
      </c>
      <c r="V39" s="1560" t="s">
        <v>8</v>
      </c>
      <c r="W39" s="1561">
        <f t="shared" si="12"/>
        <v>100</v>
      </c>
      <c r="X39" s="1554"/>
      <c r="Y39" s="3376" t="s">
        <v>601</v>
      </c>
      <c r="Z39" s="1562" t="str">
        <f t="shared" si="13"/>
        <v>工程地质条件</v>
      </c>
      <c r="AA39" s="1563">
        <f t="shared" si="3"/>
        <v>1</v>
      </c>
      <c r="AB39" s="1563">
        <f t="shared" si="4"/>
        <v>1</v>
      </c>
      <c r="AC39" s="1563">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6"/>
      <c r="Q40" s="1559">
        <f t="shared" si="14"/>
        <v>111</v>
      </c>
      <c r="R40" s="1560" t="s">
        <v>8</v>
      </c>
      <c r="S40" s="1561">
        <f t="shared" si="10"/>
        <v>100</v>
      </c>
      <c r="T40" s="1560" t="s">
        <v>8</v>
      </c>
      <c r="U40" s="1561">
        <f t="shared" si="11"/>
        <v>100</v>
      </c>
      <c r="V40" s="1560" t="s">
        <v>8</v>
      </c>
      <c r="W40" s="1561">
        <f t="shared" si="12"/>
        <v>100</v>
      </c>
      <c r="X40" s="1554"/>
      <c r="Y40" s="3376"/>
      <c r="Z40" s="1562">
        <f t="shared" si="13"/>
        <v>111</v>
      </c>
      <c r="AA40" s="1563">
        <f t="shared" si="3"/>
        <v>1</v>
      </c>
      <c r="AB40" s="1563">
        <f t="shared" si="4"/>
        <v>1</v>
      </c>
      <c r="AC40" s="1563">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6"/>
      <c r="Q41" s="1559">
        <f t="shared" si="14"/>
        <v>111</v>
      </c>
      <c r="R41" s="1560" t="s">
        <v>8</v>
      </c>
      <c r="S41" s="1561">
        <f t="shared" si="10"/>
        <v>100</v>
      </c>
      <c r="T41" s="1560" t="s">
        <v>8</v>
      </c>
      <c r="U41" s="1561">
        <f t="shared" si="11"/>
        <v>100</v>
      </c>
      <c r="V41" s="1560" t="s">
        <v>8</v>
      </c>
      <c r="W41" s="1561">
        <f t="shared" si="12"/>
        <v>100</v>
      </c>
      <c r="X41" s="1554"/>
      <c r="Y41" s="3376"/>
      <c r="Z41" s="1562">
        <f t="shared" si="13"/>
        <v>111</v>
      </c>
      <c r="AA41" s="1563">
        <f t="shared" si="3"/>
        <v>1</v>
      </c>
      <c r="AB41" s="1563">
        <f t="shared" si="4"/>
        <v>1</v>
      </c>
      <c r="AC41" s="1563">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6"/>
      <c r="Q42" s="1559">
        <f t="shared" si="14"/>
        <v>111</v>
      </c>
      <c r="R42" s="1564" t="s">
        <v>8</v>
      </c>
      <c r="S42" s="1565">
        <f t="shared" si="10"/>
        <v>100</v>
      </c>
      <c r="T42" s="1564" t="s">
        <v>8</v>
      </c>
      <c r="U42" s="1565">
        <f t="shared" si="11"/>
        <v>100</v>
      </c>
      <c r="V42" s="1564" t="s">
        <v>8</v>
      </c>
      <c r="W42" s="1565">
        <f t="shared" si="12"/>
        <v>100</v>
      </c>
      <c r="X42" s="1566"/>
      <c r="Y42" s="3376"/>
      <c r="Z42" s="1567">
        <f t="shared" si="13"/>
        <v>111</v>
      </c>
      <c r="AA42" s="1563">
        <f t="shared" si="3"/>
        <v>1</v>
      </c>
      <c r="AB42" s="1563">
        <f t="shared" si="4"/>
        <v>1</v>
      </c>
      <c r="AC42" s="1563">
        <f t="shared" si="5"/>
        <v>1</v>
      </c>
    </row>
    <row r="43" spans="1:29">
      <c r="A43" s="607" t="s">
        <v>556</v>
      </c>
      <c r="B43" s="608" t="s">
        <v>2933</v>
      </c>
      <c r="C43" s="609" t="s">
        <v>1</v>
      </c>
      <c r="D43" s="610"/>
      <c r="E43" s="611"/>
      <c r="F43" s="612"/>
      <c r="G43" s="613"/>
      <c r="H43" s="614"/>
      <c r="I43" s="611"/>
      <c r="J43" s="614"/>
      <c r="K43" s="1336"/>
      <c r="L43" s="2130"/>
      <c r="M43" s="2120"/>
      <c r="N43" s="2120"/>
      <c r="O43" s="2131"/>
      <c r="P43" s="3371" t="str">
        <f>A43</f>
        <v>成交单价</v>
      </c>
      <c r="Q43" s="3371"/>
      <c r="R43" s="3385">
        <f>E43</f>
        <v>0</v>
      </c>
      <c r="S43" s="3385"/>
      <c r="T43" s="3385">
        <f>G43</f>
        <v>0</v>
      </c>
      <c r="U43" s="3385"/>
      <c r="V43" s="3385">
        <f>I43</f>
        <v>0</v>
      </c>
      <c r="W43" s="3385"/>
      <c r="X43" s="1546"/>
      <c r="Y43" s="1568"/>
      <c r="Z43" s="1546"/>
      <c r="AA43" s="1546"/>
      <c r="AB43" s="1546"/>
      <c r="AC43" s="1546"/>
    </row>
    <row r="44" spans="1:29" ht="14.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1" t="str">
        <f>A44</f>
        <v>比较价格（元/平方米）</v>
      </c>
      <c r="Q44" s="3371"/>
      <c r="R44" s="3395" t="e">
        <f>ROUND(PRODUCT(R43,AA9:AA42),0)</f>
        <v>#DIV/0!</v>
      </c>
      <c r="S44" s="3395"/>
      <c r="T44" s="3395" t="e">
        <f>ROUND(PRODUCT(T43,AB9:AB42),0)</f>
        <v>#DIV/0!</v>
      </c>
      <c r="U44" s="3395"/>
      <c r="V44" s="3395" t="e">
        <f>ROUND(PRODUCT(V43,AC9:AC42),0)</f>
        <v>#DIV/0!</v>
      </c>
      <c r="W44" s="3395"/>
      <c r="X44" s="1546"/>
      <c r="Y44" s="1546"/>
      <c r="Z44" s="1546"/>
      <c r="AA44" s="1546"/>
      <c r="AB44" s="1546"/>
      <c r="AC44" s="1546"/>
    </row>
    <row r="45" spans="1:29" ht="14.5" thickBot="1">
      <c r="A45" s="621" t="s">
        <v>2934</v>
      </c>
      <c r="B45" s="622"/>
      <c r="C45" s="623" t="e">
        <f>R45</f>
        <v>#DIV/0!</v>
      </c>
      <c r="D45" s="623"/>
      <c r="E45" s="623"/>
      <c r="F45" s="623"/>
      <c r="G45" s="623"/>
      <c r="H45" s="623"/>
      <c r="I45" s="623"/>
      <c r="J45" s="623"/>
      <c r="K45" s="1338"/>
      <c r="L45" s="2130"/>
      <c r="M45" s="2120"/>
      <c r="N45" s="2120"/>
      <c r="O45" s="2131"/>
      <c r="P45" s="3392" t="str">
        <f>A45</f>
        <v>估价对象XX用房的比较价格（楼面单价，元/平方米）</v>
      </c>
      <c r="Q45" s="3393"/>
      <c r="R45" s="3394" t="e">
        <f>ROUND(AVERAGE(R44:V44),0)</f>
        <v>#DIV/0!</v>
      </c>
      <c r="S45" s="3394"/>
      <c r="T45" s="3394"/>
      <c r="U45" s="3394"/>
      <c r="V45" s="3394"/>
      <c r="W45" s="339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
      <c r="A52" s="629" t="s">
        <v>560</v>
      </c>
      <c r="B52" s="630" t="s">
        <v>561</v>
      </c>
      <c r="C52" s="1547" t="s">
        <v>1724</v>
      </c>
      <c r="D52" s="2213" t="s">
        <v>2291</v>
      </c>
      <c r="E52" s="631" t="s">
        <v>562</v>
      </c>
      <c r="F52" s="1937" t="s">
        <v>563</v>
      </c>
      <c r="G52" s="3396" t="s">
        <v>2282</v>
      </c>
      <c r="H52" s="3397"/>
      <c r="I52" s="1938" t="s">
        <v>1943</v>
      </c>
      <c r="J52" s="1542" t="str">
        <f>项目基本情况!F41</f>
        <v>安徽省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
      <c r="A53" s="633" t="s">
        <v>564</v>
      </c>
      <c r="B53" s="634" t="e">
        <f>C45</f>
        <v>#DIV/0!</v>
      </c>
      <c r="C53" s="635">
        <v>1</v>
      </c>
      <c r="D53" s="2214">
        <v>1</v>
      </c>
      <c r="E53" s="635">
        <f>'数据-汇总表'!E8+'数据-汇总表'!E9</f>
        <v>300432.67</v>
      </c>
      <c r="F53" s="1936" t="e">
        <f t="shared" ref="F53:F62" si="15">ROUND(B53*E53/10000,0)</f>
        <v>#DIV/0!</v>
      </c>
      <c r="G53" s="3398"/>
      <c r="H53" s="339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
      <c r="A54" s="637" t="s">
        <v>565</v>
      </c>
      <c r="B54" s="638" t="e">
        <f>ROUND($C$45*C54*D54,0)</f>
        <v>#DIV/0!</v>
      </c>
      <c r="C54" s="378">
        <f t="shared" ref="C54:C62" si="16">IF($C$52="北京市系数",I54,J54)</f>
        <v>0</v>
      </c>
      <c r="D54" s="2215">
        <v>0.25</v>
      </c>
      <c r="E54" s="639"/>
      <c r="F54" s="1936" t="e">
        <f t="shared" si="15"/>
        <v>#DIV/0!</v>
      </c>
      <c r="G54" s="3400"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
      <c r="A55" s="637" t="s">
        <v>566</v>
      </c>
      <c r="B55" s="638" t="e">
        <f t="shared" ref="B55:B62" si="17">ROUND($C$45*C55*D55,0)</f>
        <v>#DIV/0!</v>
      </c>
      <c r="C55" s="378">
        <f t="shared" si="16"/>
        <v>0</v>
      </c>
      <c r="D55" s="2215">
        <v>0.25</v>
      </c>
      <c r="E55" s="639"/>
      <c r="F55" s="1936" t="e">
        <f t="shared" si="15"/>
        <v>#DIV/0!</v>
      </c>
      <c r="G55" s="340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
      <c r="A56" s="637" t="s">
        <v>567</v>
      </c>
      <c r="B56" s="638" t="e">
        <f t="shared" si="17"/>
        <v>#DIV/0!</v>
      </c>
      <c r="C56" s="378">
        <f t="shared" si="16"/>
        <v>0</v>
      </c>
      <c r="D56" s="2215">
        <v>0.25</v>
      </c>
      <c r="E56" s="639"/>
      <c r="F56" s="1936" t="e">
        <f t="shared" si="15"/>
        <v>#DIV/0!</v>
      </c>
      <c r="G56" s="340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
      <c r="A57" s="637" t="s">
        <v>568</v>
      </c>
      <c r="B57" s="638" t="e">
        <f t="shared" si="17"/>
        <v>#DIV/0!</v>
      </c>
      <c r="C57" s="378">
        <f t="shared" si="16"/>
        <v>0</v>
      </c>
      <c r="D57" s="2215">
        <v>0.25</v>
      </c>
      <c r="E57" s="639"/>
      <c r="F57" s="1936" t="e">
        <f t="shared" si="15"/>
        <v>#DIV/0!</v>
      </c>
      <c r="G57" s="340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2292</v>
      </c>
      <c r="E63" s="643">
        <f>IF(B43="楼面地价",SUM(E53:E62),'数据-汇总表'!D3)</f>
        <v>130622.9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北京市平均增长率1.35%</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4.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8.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4.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4.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4.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4.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8.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4.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4.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4.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39" sqref="I39"/>
    </sheetView>
  </sheetViews>
  <sheetFormatPr defaultColWidth="12" defaultRowHeight="13"/>
  <cols>
    <col min="1" max="1" width="9.81640625" style="1401" customWidth="1"/>
    <col min="2" max="2" width="20.90625" style="1516" customWidth="1"/>
    <col min="3" max="4" width="12" style="1402"/>
    <col min="5" max="5" width="14.6328125" style="1402" customWidth="1"/>
    <col min="6" max="8" width="12" style="1402"/>
    <col min="9" max="9" width="12.1796875" style="1402" bestFit="1" customWidth="1"/>
    <col min="10" max="10" width="12" style="1402"/>
    <col min="11" max="11" width="9.6328125" style="1399" customWidth="1"/>
    <col min="12" max="12" width="12" style="1402"/>
    <col min="13" max="14" width="10.6328125" style="1402" customWidth="1"/>
    <col min="15" max="17" width="12" style="1402"/>
    <col min="18" max="18" width="12" style="1401"/>
    <col min="19" max="22" width="15.453125" style="1401" customWidth="1"/>
    <col min="23" max="28" width="12" style="1402"/>
    <col min="29" max="29" width="9.36328125" style="1401" customWidth="1"/>
    <col min="30" max="35" width="9.36328125" style="1400" customWidth="1"/>
    <col min="36" max="39" width="9.36328125" style="1401" customWidth="1"/>
    <col min="40" max="41" width="9.36328125" style="1402" customWidth="1"/>
    <col min="42" max="16384" width="12" style="1402"/>
  </cols>
  <sheetData>
    <row r="1" spans="1:39" ht="21">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0">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6"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6"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6">
      <c r="A7" s="3408"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5">
      <c r="A8" s="3409"/>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9" t="s">
        <v>2780</v>
      </c>
      <c r="X8" s="3420"/>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5">
      <c r="A9" s="3409"/>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8"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5">
      <c r="A10" s="3409"/>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09"/>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8"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6.5" thickBot="1">
      <c r="A12" s="3408"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8"/>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6">
      <c r="A13" s="3410"/>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8"/>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0"/>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1"/>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5" customHeight="1">
      <c r="A16" s="3408" t="s">
        <v>1838</v>
      </c>
      <c r="B16" s="1424" t="s">
        <v>950</v>
      </c>
      <c r="C16" s="1052" t="e">
        <f>ROUND(IF(F17="与级别开发程度一致",0,(G17-E17)/C17),0)</f>
        <v>#DIV/0!</v>
      </c>
      <c r="D16" s="3426" t="s">
        <v>954</v>
      </c>
      <c r="E16" s="3427"/>
      <c r="F16" s="3426" t="s">
        <v>951</v>
      </c>
      <c r="G16" s="342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2"/>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4.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8.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43875</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8.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1.34E-2</v>
      </c>
      <c r="Q21" s="2881"/>
      <c r="R21" s="2181"/>
      <c r="S21" s="2181"/>
      <c r="T21" s="2181"/>
      <c r="U21" s="2181"/>
      <c r="V21" s="2181"/>
      <c r="W21" s="2181"/>
      <c r="X21" s="2181"/>
      <c r="Y21" s="1400"/>
      <c r="Z21" s="1400"/>
      <c r="AA21" s="1400"/>
      <c r="AB21" s="1400"/>
      <c r="AC21" s="1461"/>
      <c r="AD21" s="1461"/>
    </row>
    <row r="22" spans="1:40" s="1418" customFormat="1" ht="14.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1.34E-2</v>
      </c>
      <c r="Q22" s="2881"/>
      <c r="R22" s="2181"/>
      <c r="S22" s="2181"/>
      <c r="T22" s="2181"/>
      <c r="U22" s="2181"/>
      <c r="V22" s="2181"/>
      <c r="W22" s="2181"/>
      <c r="X22" s="2181"/>
      <c r="Y22" s="1461"/>
      <c r="Z22" s="1461"/>
      <c r="AA22" s="1461"/>
      <c r="AB22" s="1461"/>
      <c r="AC22" s="1461"/>
      <c r="AD22" s="1461"/>
    </row>
    <row r="23" spans="1:40" ht="14.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2.1000000000000001E-2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4.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1.35E-2</v>
      </c>
      <c r="Q24" s="2881"/>
      <c r="R24" s="2181"/>
      <c r="S24" s="2181"/>
      <c r="T24" s="2181"/>
      <c r="U24" s="2181"/>
      <c r="V24" s="2181"/>
      <c r="W24" s="2181"/>
      <c r="X24" s="2181"/>
      <c r="Y24" s="1461"/>
      <c r="Z24" s="1461"/>
      <c r="AA24" s="1461"/>
      <c r="AB24" s="1461"/>
      <c r="AC24" s="1461"/>
      <c r="AD24" s="1461"/>
    </row>
    <row r="25" spans="1:40" ht="14.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1.9199999999999998E-2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4.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4.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6.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c r="A33" s="3415"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c r="A34" s="3416"/>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c r="A35" s="3416"/>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7"/>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4.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6">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9">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52">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6">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9">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6">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6">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6">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6">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9.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6">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9">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52">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6">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9">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6">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6">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6">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6">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9.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6">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52">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52">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6">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6">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6">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6">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9">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6.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6">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9">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52">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6">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6">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6">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6">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9.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3" t="s">
        <v>1633</v>
      </c>
      <c r="B90" s="3413"/>
      <c r="C90" s="3413"/>
      <c r="D90" s="3413"/>
      <c r="E90" s="3413"/>
      <c r="F90" s="3413"/>
      <c r="G90" s="3413"/>
      <c r="H90" s="3413"/>
      <c r="I90" s="3413"/>
      <c r="J90" s="3413"/>
      <c r="K90" s="2415"/>
      <c r="L90" s="2415"/>
      <c r="M90" s="2415"/>
      <c r="N90" s="2415"/>
    </row>
    <row r="91" spans="1:40">
      <c r="A91" s="3414" t="s">
        <v>1443</v>
      </c>
      <c r="B91" s="3414" t="s">
        <v>1634</v>
      </c>
      <c r="C91" s="1136" t="s">
        <v>1635</v>
      </c>
      <c r="D91" s="1137"/>
      <c r="E91" s="1137"/>
      <c r="F91" s="1137"/>
      <c r="G91" s="1137"/>
      <c r="H91" s="1137"/>
      <c r="I91" s="1137"/>
      <c r="J91" s="1138"/>
      <c r="K91" s="1130"/>
      <c r="L91" s="1130"/>
      <c r="M91" s="1130"/>
      <c r="N91" s="1130"/>
    </row>
    <row r="92" spans="1:40">
      <c r="A92" s="3414"/>
      <c r="B92" s="3414"/>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1"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2"/>
      <c r="B108" s="342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3"/>
      <c r="B109" s="342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7" t="s">
        <v>1639</v>
      </c>
      <c r="B110" s="3407"/>
      <c r="C110" s="3407"/>
      <c r="D110" s="3407"/>
      <c r="E110" s="3407"/>
      <c r="F110" s="3407"/>
      <c r="G110" s="3407"/>
      <c r="H110" s="3407"/>
      <c r="I110" s="3407"/>
      <c r="J110" s="3407"/>
      <c r="K110" s="2413"/>
      <c r="L110" s="2413"/>
      <c r="M110" s="2413"/>
      <c r="N110" s="2413"/>
    </row>
    <row r="112" spans="1:14" ht="13.5" thickBot="1"/>
    <row r="113" spans="1:13" ht="26"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1796875" defaultRowHeight="19.5" customHeight="1"/>
  <cols>
    <col min="1" max="1" width="13.6328125" style="1062" customWidth="1"/>
    <col min="2" max="9" width="8.1796875" style="1101" customWidth="1"/>
    <col min="10" max="13" width="8.1796875" style="1062"/>
    <col min="14" max="14" width="10" style="1062" customWidth="1"/>
    <col min="15" max="16" width="8.1796875" style="1062"/>
    <col min="17" max="17" width="34.08984375" style="1062" customWidth="1"/>
    <col min="18" max="18" width="8.1796875" style="1062" customWidth="1"/>
    <col min="19" max="19" width="8.1796875" style="1062"/>
    <col min="20" max="20" width="11.6328125" style="1062" customWidth="1"/>
    <col min="21" max="16384" width="8.1796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4" t="s">
        <v>1007</v>
      </c>
      <c r="B18" s="1150" t="s">
        <v>1446</v>
      </c>
      <c r="C18" s="1127" t="s">
        <v>1447</v>
      </c>
      <c r="D18" s="1128"/>
      <c r="E18" s="1150">
        <v>1</v>
      </c>
      <c r="F18" s="1129" t="s">
        <v>1448</v>
      </c>
      <c r="G18" s="1130"/>
      <c r="H18" s="1101"/>
      <c r="I18" s="1101"/>
    </row>
    <row r="19" spans="1:9" s="1585" customFormat="1" ht="19.5" customHeight="1">
      <c r="A19" s="3414"/>
      <c r="B19" s="3414" t="s">
        <v>1449</v>
      </c>
      <c r="C19" s="1127" t="s">
        <v>1450</v>
      </c>
      <c r="D19" s="1128"/>
      <c r="E19" s="1150">
        <v>0.9</v>
      </c>
      <c r="F19" s="1129" t="s">
        <v>1451</v>
      </c>
      <c r="G19" s="1130"/>
      <c r="H19" s="1101"/>
      <c r="I19" s="1101"/>
    </row>
    <row r="20" spans="1:9" s="1585" customFormat="1" ht="19.5" customHeight="1">
      <c r="A20" s="3414"/>
      <c r="B20" s="3414"/>
      <c r="C20" s="1127" t="s">
        <v>1452</v>
      </c>
      <c r="D20" s="1128"/>
      <c r="E20" s="1150">
        <v>1.1000000000000001</v>
      </c>
      <c r="F20" s="1129" t="s">
        <v>1453</v>
      </c>
      <c r="G20" s="1130"/>
      <c r="H20" s="1101"/>
      <c r="I20" s="1101"/>
    </row>
    <row r="21" spans="1:9" s="1585" customFormat="1" ht="19.5" customHeight="1">
      <c r="A21" s="3414"/>
      <c r="B21" s="3414"/>
      <c r="C21" s="1127" t="s">
        <v>1454</v>
      </c>
      <c r="D21" s="1128"/>
      <c r="E21" s="1150">
        <v>0.8</v>
      </c>
      <c r="F21" s="1129" t="s">
        <v>1455</v>
      </c>
      <c r="G21" s="1130"/>
      <c r="H21" s="1101"/>
      <c r="I21" s="1101"/>
    </row>
    <row r="22" spans="1:9" s="1585" customFormat="1" ht="19.5" customHeight="1">
      <c r="A22" s="3414"/>
      <c r="B22" s="3414"/>
      <c r="C22" s="1127" t="s">
        <v>1456</v>
      </c>
      <c r="D22" s="1128"/>
      <c r="E22" s="1150">
        <v>0.5</v>
      </c>
      <c r="F22" s="1129"/>
      <c r="G22" s="1130"/>
      <c r="H22" s="1101"/>
      <c r="I22" s="1101"/>
    </row>
    <row r="23" spans="1:9" s="1585" customFormat="1" ht="19.5" customHeight="1">
      <c r="A23" s="3414" t="s">
        <v>1029</v>
      </c>
      <c r="B23" s="1150" t="s">
        <v>1446</v>
      </c>
      <c r="C23" s="1127" t="s">
        <v>1457</v>
      </c>
      <c r="D23" s="1128"/>
      <c r="E23" s="1150">
        <v>1</v>
      </c>
      <c r="F23" s="1129" t="s">
        <v>1458</v>
      </c>
      <c r="G23" s="1130"/>
      <c r="H23" s="1101"/>
      <c r="I23" s="1101"/>
    </row>
    <row r="24" spans="1:9" s="1585" customFormat="1" ht="19.5" customHeight="1">
      <c r="A24" s="3414"/>
      <c r="B24" s="3414" t="s">
        <v>1449</v>
      </c>
      <c r="C24" s="1127" t="s">
        <v>1459</v>
      </c>
      <c r="D24" s="1128"/>
      <c r="E24" s="1150">
        <v>0.5</v>
      </c>
      <c r="F24" s="1129"/>
      <c r="G24" s="1130"/>
      <c r="H24" s="1101"/>
      <c r="I24" s="1101"/>
    </row>
    <row r="25" spans="1:9" s="1585" customFormat="1" ht="19.5" customHeight="1">
      <c r="A25" s="3414"/>
      <c r="B25" s="3414"/>
      <c r="C25" s="1127" t="s">
        <v>1460</v>
      </c>
      <c r="D25" s="1128"/>
      <c r="E25" s="1150">
        <v>1.1000000000000001</v>
      </c>
      <c r="F25" s="1129"/>
      <c r="G25" s="1130"/>
      <c r="H25" s="1101"/>
      <c r="I25" s="1101"/>
    </row>
    <row r="26" spans="1:9" s="1585" customFormat="1" ht="19.5" customHeight="1">
      <c r="A26" s="3414"/>
      <c r="B26" s="3414"/>
      <c r="C26" s="1127" t="s">
        <v>1461</v>
      </c>
      <c r="D26" s="1128"/>
      <c r="E26" s="1150">
        <v>1.1000000000000001</v>
      </c>
      <c r="F26" s="1129"/>
      <c r="G26" s="1130"/>
      <c r="H26" s="1101"/>
      <c r="I26" s="1101"/>
    </row>
    <row r="27" spans="1:9" s="1585" customFormat="1" ht="19.5" customHeight="1">
      <c r="A27" s="3414"/>
      <c r="B27" s="3414"/>
      <c r="C27" s="1127" t="s">
        <v>1462</v>
      </c>
      <c r="D27" s="1128"/>
      <c r="E27" s="1150">
        <v>0.9</v>
      </c>
      <c r="F27" s="1129" t="s">
        <v>1463</v>
      </c>
      <c r="G27" s="1130"/>
      <c r="H27" s="1101"/>
      <c r="I27" s="1101"/>
    </row>
    <row r="28" spans="1:9" s="1585" customFormat="1" ht="19.5" customHeight="1">
      <c r="A28" s="3414"/>
      <c r="B28" s="3414"/>
      <c r="C28" s="1127" t="s">
        <v>1464</v>
      </c>
      <c r="D28" s="1128"/>
      <c r="E28" s="1150">
        <v>0.9</v>
      </c>
      <c r="F28" s="1129" t="s">
        <v>1465</v>
      </c>
      <c r="G28" s="1130"/>
      <c r="H28" s="1101"/>
      <c r="I28" s="1101"/>
    </row>
    <row r="29" spans="1:9" s="1585" customFormat="1" ht="19.5" customHeight="1">
      <c r="A29" s="3414"/>
      <c r="B29" s="3414"/>
      <c r="C29" s="1127" t="s">
        <v>1466</v>
      </c>
      <c r="D29" s="1128"/>
      <c r="E29" s="1150">
        <v>0.9</v>
      </c>
      <c r="F29" s="1129" t="s">
        <v>1467</v>
      </c>
      <c r="G29" s="1130"/>
      <c r="H29" s="1101"/>
      <c r="I29" s="1101"/>
    </row>
    <row r="30" spans="1:9" s="1585" customFormat="1" ht="19.5" customHeight="1">
      <c r="A30" s="3414"/>
      <c r="B30" s="3414"/>
      <c r="C30" s="1127" t="s">
        <v>1468</v>
      </c>
      <c r="D30" s="1128"/>
      <c r="E30" s="1150">
        <v>0.9</v>
      </c>
      <c r="F30" s="1129" t="s">
        <v>1469</v>
      </c>
      <c r="G30" s="1130"/>
      <c r="H30" s="1101"/>
      <c r="I30" s="1101"/>
    </row>
    <row r="31" spans="1:9" s="1585" customFormat="1" ht="19.5" customHeight="1">
      <c r="A31" s="3414"/>
      <c r="B31" s="3414"/>
      <c r="C31" s="1127" t="s">
        <v>1470</v>
      </c>
      <c r="D31" s="1128"/>
      <c r="E31" s="1150">
        <v>0.8</v>
      </c>
      <c r="F31" s="1129" t="s">
        <v>1471</v>
      </c>
      <c r="G31" s="1130"/>
      <c r="H31" s="1101"/>
      <c r="I31" s="1101"/>
    </row>
    <row r="32" spans="1:9" s="1585" customFormat="1" ht="19.5" customHeight="1">
      <c r="A32" s="3414"/>
      <c r="B32" s="3414"/>
      <c r="C32" s="1127" t="s">
        <v>1472</v>
      </c>
      <c r="D32" s="1128"/>
      <c r="E32" s="1150">
        <v>0.8</v>
      </c>
      <c r="F32" s="1129" t="s">
        <v>1473</v>
      </c>
      <c r="G32" s="1130"/>
      <c r="H32" s="1101"/>
      <c r="I32" s="1101"/>
    </row>
    <row r="33" spans="1:9" s="1585" customFormat="1" ht="19.5" customHeight="1">
      <c r="A33" s="3414" t="s">
        <v>1474</v>
      </c>
      <c r="B33" s="1150" t="s">
        <v>1446</v>
      </c>
      <c r="C33" s="1127" t="s">
        <v>1475</v>
      </c>
      <c r="D33" s="1128"/>
      <c r="E33" s="1150">
        <v>1</v>
      </c>
      <c r="F33" s="1129" t="s">
        <v>1476</v>
      </c>
      <c r="G33" s="1130"/>
      <c r="H33" s="1101"/>
      <c r="I33" s="1101"/>
    </row>
    <row r="34" spans="1:9" s="1585" customFormat="1" ht="19.5" customHeight="1">
      <c r="A34" s="3414"/>
      <c r="B34" s="1150" t="s">
        <v>1449</v>
      </c>
      <c r="C34" s="1127" t="s">
        <v>1477</v>
      </c>
      <c r="D34" s="1128"/>
      <c r="E34" s="1150">
        <v>1.5</v>
      </c>
      <c r="F34" s="1129" t="s">
        <v>1478</v>
      </c>
      <c r="G34" s="1130"/>
      <c r="H34" s="1101"/>
      <c r="I34" s="1101"/>
    </row>
    <row r="35" spans="1:9" s="1585" customFormat="1" ht="19.5" customHeight="1">
      <c r="A35" s="3414" t="s">
        <v>1432</v>
      </c>
      <c r="B35" s="1150" t="s">
        <v>1446</v>
      </c>
      <c r="C35" s="1127" t="s">
        <v>1479</v>
      </c>
      <c r="D35" s="1128"/>
      <c r="E35" s="1150">
        <v>1</v>
      </c>
      <c r="F35" s="1129" t="s">
        <v>1480</v>
      </c>
      <c r="G35" s="1130"/>
      <c r="H35" s="1101"/>
      <c r="I35" s="1101"/>
    </row>
    <row r="36" spans="1:9" s="1585" customFormat="1" ht="19.5" customHeight="1">
      <c r="A36" s="3414"/>
      <c r="B36" s="3414" t="s">
        <v>1449</v>
      </c>
      <c r="C36" s="1127" t="s">
        <v>1481</v>
      </c>
      <c r="D36" s="1128"/>
      <c r="E36" s="1150">
        <v>1</v>
      </c>
      <c r="F36" s="1129" t="s">
        <v>1482</v>
      </c>
      <c r="G36" s="1130"/>
      <c r="H36" s="1101"/>
      <c r="I36" s="1101"/>
    </row>
    <row r="37" spans="1:9" s="1585" customFormat="1" ht="19.5" customHeight="1">
      <c r="A37" s="3414"/>
      <c r="B37" s="3414"/>
      <c r="C37" s="1127" t="s">
        <v>1483</v>
      </c>
      <c r="D37" s="1128"/>
      <c r="E37" s="1150">
        <v>1.5</v>
      </c>
      <c r="F37" s="1129" t="s">
        <v>1484</v>
      </c>
      <c r="G37" s="1130"/>
      <c r="H37" s="1101"/>
      <c r="I37" s="1101"/>
    </row>
    <row r="38" spans="1:9" s="1585" customFormat="1" ht="19.5" customHeight="1">
      <c r="A38" s="3414"/>
      <c r="B38" s="3414"/>
      <c r="C38" s="1127" t="s">
        <v>1485</v>
      </c>
      <c r="D38" s="1128"/>
      <c r="E38" s="1150">
        <v>1</v>
      </c>
      <c r="F38" s="1129" t="s">
        <v>1486</v>
      </c>
      <c r="G38" s="1130"/>
      <c r="H38" s="1101"/>
      <c r="I38" s="1101"/>
    </row>
    <row r="39" spans="1:9" s="1585" customFormat="1" ht="19.5" customHeight="1">
      <c r="A39" s="3414"/>
      <c r="B39" s="3414"/>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14" t="s">
        <v>1501</v>
      </c>
      <c r="C61" s="1064" t="s">
        <v>1502</v>
      </c>
      <c r="D61" s="1064" t="s">
        <v>1503</v>
      </c>
      <c r="E61" s="1135">
        <v>0.5</v>
      </c>
      <c r="F61" s="1150">
        <v>80</v>
      </c>
      <c r="H61" s="1101">
        <f>SUMIF(C59:C119,基准地价!C8,E59:E119)</f>
        <v>0</v>
      </c>
    </row>
    <row r="62" spans="1:8" s="1101" customFormat="1" ht="26">
      <c r="A62" s="1150">
        <v>2</v>
      </c>
      <c r="B62" s="3414"/>
      <c r="C62" s="1064" t="s">
        <v>1504</v>
      </c>
      <c r="D62" s="1064" t="s">
        <v>1505</v>
      </c>
      <c r="E62" s="1135">
        <v>0.5</v>
      </c>
      <c r="F62" s="1150">
        <v>80</v>
      </c>
    </row>
    <row r="63" spans="1:8" s="1101" customFormat="1" ht="39">
      <c r="A63" s="1150">
        <v>3</v>
      </c>
      <c r="B63" s="3414"/>
      <c r="C63" s="1064" t="s">
        <v>1506</v>
      </c>
      <c r="D63" s="1064" t="s">
        <v>1507</v>
      </c>
      <c r="E63" s="1135">
        <v>0.5</v>
      </c>
      <c r="F63" s="1150">
        <v>80</v>
      </c>
    </row>
    <row r="64" spans="1:8" s="1101" customFormat="1" ht="39">
      <c r="A64" s="1150">
        <v>4</v>
      </c>
      <c r="B64" s="3414"/>
      <c r="C64" s="1064" t="s">
        <v>1508</v>
      </c>
      <c r="D64" s="1064" t="s">
        <v>1509</v>
      </c>
      <c r="E64" s="1135">
        <v>0.4</v>
      </c>
      <c r="F64" s="1150">
        <v>60</v>
      </c>
    </row>
    <row r="65" spans="1:6" s="1101" customFormat="1" ht="39">
      <c r="A65" s="1150">
        <v>5</v>
      </c>
      <c r="B65" s="3414"/>
      <c r="C65" s="1064" t="s">
        <v>1510</v>
      </c>
      <c r="D65" s="1064" t="s">
        <v>1511</v>
      </c>
      <c r="E65" s="1135">
        <v>0.2</v>
      </c>
      <c r="F65" s="1150">
        <v>30</v>
      </c>
    </row>
    <row r="66" spans="1:6" s="1101" customFormat="1" ht="39">
      <c r="A66" s="1150">
        <v>6</v>
      </c>
      <c r="B66" s="3414"/>
      <c r="C66" s="1064" t="s">
        <v>1512</v>
      </c>
      <c r="D66" s="1064" t="s">
        <v>1513</v>
      </c>
      <c r="E66" s="1135">
        <v>0.3</v>
      </c>
      <c r="F66" s="1150">
        <v>50</v>
      </c>
    </row>
    <row r="67" spans="1:6" s="1101" customFormat="1" ht="39">
      <c r="A67" s="1150">
        <v>7</v>
      </c>
      <c r="B67" s="3414"/>
      <c r="C67" s="1064" t="s">
        <v>1514</v>
      </c>
      <c r="D67" s="1064" t="s">
        <v>1515</v>
      </c>
      <c r="E67" s="1135">
        <v>0.2</v>
      </c>
      <c r="F67" s="1150">
        <v>30</v>
      </c>
    </row>
    <row r="68" spans="1:6" s="1101" customFormat="1" ht="39">
      <c r="A68" s="1150">
        <v>8</v>
      </c>
      <c r="B68" s="3414"/>
      <c r="C68" s="1064" t="s">
        <v>1516</v>
      </c>
      <c r="D68" s="1064" t="s">
        <v>1517</v>
      </c>
      <c r="E68" s="1135">
        <v>0.2</v>
      </c>
      <c r="F68" s="1150">
        <v>30</v>
      </c>
    </row>
    <row r="69" spans="1:6" s="1101" customFormat="1" ht="39">
      <c r="A69" s="1150">
        <v>9</v>
      </c>
      <c r="B69" s="3414"/>
      <c r="C69" s="1064" t="s">
        <v>1518</v>
      </c>
      <c r="D69" s="1064" t="s">
        <v>1519</v>
      </c>
      <c r="E69" s="1135">
        <v>0.2</v>
      </c>
      <c r="F69" s="1150">
        <v>30</v>
      </c>
    </row>
    <row r="70" spans="1:6" s="1101" customFormat="1" ht="52">
      <c r="A70" s="1150">
        <v>10</v>
      </c>
      <c r="B70" s="3414"/>
      <c r="C70" s="1064" t="s">
        <v>1520</v>
      </c>
      <c r="D70" s="1064" t="s">
        <v>1521</v>
      </c>
      <c r="E70" s="1135">
        <v>0.2</v>
      </c>
      <c r="F70" s="1150">
        <v>30</v>
      </c>
    </row>
    <row r="71" spans="1:6" s="1101" customFormat="1" ht="52">
      <c r="A71" s="1150">
        <v>11</v>
      </c>
      <c r="B71" s="3414"/>
      <c r="C71" s="1064" t="s">
        <v>1522</v>
      </c>
      <c r="D71" s="1064" t="s">
        <v>1523</v>
      </c>
      <c r="E71" s="1135">
        <v>0.2</v>
      </c>
      <c r="F71" s="1150">
        <v>30</v>
      </c>
    </row>
    <row r="72" spans="1:6" s="1101" customFormat="1" ht="39">
      <c r="A72" s="1150">
        <v>12</v>
      </c>
      <c r="B72" s="3414"/>
      <c r="C72" s="1064" t="s">
        <v>1524</v>
      </c>
      <c r="D72" s="1064" t="s">
        <v>1525</v>
      </c>
      <c r="E72" s="1135">
        <v>0.5</v>
      </c>
      <c r="F72" s="1150">
        <v>80</v>
      </c>
    </row>
    <row r="73" spans="1:6" s="1101" customFormat="1" ht="26">
      <c r="A73" s="1150">
        <v>13</v>
      </c>
      <c r="B73" s="3414"/>
      <c r="C73" s="1064" t="s">
        <v>1526</v>
      </c>
      <c r="D73" s="1064" t="s">
        <v>1527</v>
      </c>
      <c r="E73" s="1135">
        <v>0.4</v>
      </c>
      <c r="F73" s="1150">
        <v>60</v>
      </c>
    </row>
    <row r="74" spans="1:6" s="1101" customFormat="1" ht="26">
      <c r="A74" s="1150">
        <v>14</v>
      </c>
      <c r="B74" s="3414"/>
      <c r="C74" s="1064" t="s">
        <v>1528</v>
      </c>
      <c r="D74" s="1064" t="s">
        <v>1529</v>
      </c>
      <c r="E74" s="1135">
        <v>0.2</v>
      </c>
      <c r="F74" s="1150">
        <v>30</v>
      </c>
    </row>
    <row r="75" spans="1:6" s="1101" customFormat="1" ht="26">
      <c r="A75" s="1150">
        <v>15</v>
      </c>
      <c r="B75" s="3414"/>
      <c r="C75" s="1064" t="s">
        <v>1530</v>
      </c>
      <c r="D75" s="1064" t="s">
        <v>1531</v>
      </c>
      <c r="E75" s="1135">
        <v>0.2</v>
      </c>
      <c r="F75" s="1150">
        <v>30</v>
      </c>
    </row>
    <row r="76" spans="1:6" s="1101" customFormat="1" ht="26">
      <c r="A76" s="1150">
        <v>16</v>
      </c>
      <c r="B76" s="3414" t="s">
        <v>1532</v>
      </c>
      <c r="C76" s="1064" t="s">
        <v>1533</v>
      </c>
      <c r="D76" s="1064" t="s">
        <v>1534</v>
      </c>
      <c r="E76" s="1135">
        <v>0.5</v>
      </c>
      <c r="F76" s="1150">
        <v>80</v>
      </c>
    </row>
    <row r="77" spans="1:6" s="1101" customFormat="1" ht="26">
      <c r="A77" s="1150">
        <v>17</v>
      </c>
      <c r="B77" s="3414"/>
      <c r="C77" s="1064" t="s">
        <v>1535</v>
      </c>
      <c r="D77" s="1064" t="s">
        <v>1536</v>
      </c>
      <c r="E77" s="1135">
        <v>0.5</v>
      </c>
      <c r="F77" s="1150">
        <v>80</v>
      </c>
    </row>
    <row r="78" spans="1:6" s="1101" customFormat="1" ht="26">
      <c r="A78" s="1150">
        <v>18</v>
      </c>
      <c r="B78" s="3414"/>
      <c r="C78" s="1064" t="s">
        <v>1537</v>
      </c>
      <c r="D78" s="1064" t="s">
        <v>1538</v>
      </c>
      <c r="E78" s="1135">
        <v>0.2</v>
      </c>
      <c r="F78" s="1150">
        <v>30</v>
      </c>
    </row>
    <row r="79" spans="1:6" s="1101" customFormat="1" ht="26">
      <c r="A79" s="1150">
        <v>19</v>
      </c>
      <c r="B79" s="3414"/>
      <c r="C79" s="1064" t="s">
        <v>1539</v>
      </c>
      <c r="D79" s="1064" t="s">
        <v>1540</v>
      </c>
      <c r="E79" s="1135">
        <v>0.5</v>
      </c>
      <c r="F79" s="1150">
        <v>80</v>
      </c>
    </row>
    <row r="80" spans="1:6" s="1101" customFormat="1" ht="39">
      <c r="A80" s="1150">
        <v>20</v>
      </c>
      <c r="B80" s="3414"/>
      <c r="C80" s="1064" t="s">
        <v>1541</v>
      </c>
      <c r="D80" s="1064" t="s">
        <v>1542</v>
      </c>
      <c r="E80" s="1135">
        <v>0.2</v>
      </c>
      <c r="F80" s="1150">
        <v>30</v>
      </c>
    </row>
    <row r="81" spans="1:6" s="1101" customFormat="1" ht="39">
      <c r="A81" s="1150">
        <v>21</v>
      </c>
      <c r="B81" s="3414"/>
      <c r="C81" s="1064" t="s">
        <v>1543</v>
      </c>
      <c r="D81" s="1064" t="s">
        <v>1544</v>
      </c>
      <c r="E81" s="1135">
        <v>0.2</v>
      </c>
      <c r="F81" s="1150">
        <v>30</v>
      </c>
    </row>
    <row r="82" spans="1:6" s="1101" customFormat="1" ht="52">
      <c r="A82" s="1150">
        <v>22</v>
      </c>
      <c r="B82" s="3414"/>
      <c r="C82" s="1064" t="s">
        <v>1545</v>
      </c>
      <c r="D82" s="1064" t="s">
        <v>1546</v>
      </c>
      <c r="E82" s="1135">
        <v>0.2</v>
      </c>
      <c r="F82" s="1150">
        <v>30</v>
      </c>
    </row>
    <row r="83" spans="1:6" s="1101" customFormat="1" ht="52">
      <c r="A83" s="1150">
        <v>23</v>
      </c>
      <c r="B83" s="3414"/>
      <c r="C83" s="1064" t="s">
        <v>1547</v>
      </c>
      <c r="D83" s="1064" t="s">
        <v>1548</v>
      </c>
      <c r="E83" s="1135">
        <v>0.2</v>
      </c>
      <c r="F83" s="1150">
        <v>30</v>
      </c>
    </row>
    <row r="84" spans="1:6" s="1101" customFormat="1" ht="39">
      <c r="A84" s="1150">
        <v>24</v>
      </c>
      <c r="B84" s="3414"/>
      <c r="C84" s="1064" t="s">
        <v>1549</v>
      </c>
      <c r="D84" s="1064" t="s">
        <v>1550</v>
      </c>
      <c r="E84" s="1135">
        <v>0.2</v>
      </c>
      <c r="F84" s="1150">
        <v>30</v>
      </c>
    </row>
    <row r="85" spans="1:6" s="1101" customFormat="1" ht="39">
      <c r="A85" s="1150">
        <v>25</v>
      </c>
      <c r="B85" s="3414"/>
      <c r="C85" s="1064" t="s">
        <v>1551</v>
      </c>
      <c r="D85" s="1064" t="s">
        <v>1552</v>
      </c>
      <c r="E85" s="1135">
        <v>0.5</v>
      </c>
      <c r="F85" s="1150">
        <v>80</v>
      </c>
    </row>
    <row r="86" spans="1:6" s="1101" customFormat="1" ht="39">
      <c r="A86" s="1150">
        <v>26</v>
      </c>
      <c r="B86" s="3414"/>
      <c r="C86" s="1064" t="s">
        <v>1553</v>
      </c>
      <c r="D86" s="1064" t="s">
        <v>1554</v>
      </c>
      <c r="E86" s="1135">
        <v>0.2</v>
      </c>
      <c r="F86" s="1150">
        <v>30</v>
      </c>
    </row>
    <row r="87" spans="1:6" s="1101" customFormat="1" ht="39">
      <c r="A87" s="1150">
        <v>27</v>
      </c>
      <c r="B87" s="3414"/>
      <c r="C87" s="1064" t="s">
        <v>1555</v>
      </c>
      <c r="D87" s="1064" t="s">
        <v>1556</v>
      </c>
      <c r="E87" s="1135">
        <v>0.2</v>
      </c>
      <c r="F87" s="1150">
        <v>30</v>
      </c>
    </row>
    <row r="88" spans="1:6" s="1101" customFormat="1" ht="39">
      <c r="A88" s="1150">
        <v>28</v>
      </c>
      <c r="B88" s="3414"/>
      <c r="C88" s="1064" t="s">
        <v>1557</v>
      </c>
      <c r="D88" s="1064" t="s">
        <v>1558</v>
      </c>
      <c r="E88" s="1135">
        <v>0.2</v>
      </c>
      <c r="F88" s="1150">
        <v>30</v>
      </c>
    </row>
    <row r="89" spans="1:6" s="1101" customFormat="1" ht="26">
      <c r="A89" s="1150">
        <v>29</v>
      </c>
      <c r="B89" s="3414"/>
      <c r="C89" s="1064" t="s">
        <v>1559</v>
      </c>
      <c r="D89" s="1064" t="s">
        <v>1560</v>
      </c>
      <c r="E89" s="1135">
        <v>0.2</v>
      </c>
      <c r="F89" s="1150">
        <v>30</v>
      </c>
    </row>
    <row r="90" spans="1:6" s="1101" customFormat="1" ht="26">
      <c r="A90" s="1150">
        <v>30</v>
      </c>
      <c r="B90" s="3414"/>
      <c r="C90" s="1064" t="s">
        <v>1561</v>
      </c>
      <c r="D90" s="1064" t="s">
        <v>1562</v>
      </c>
      <c r="E90" s="1135">
        <v>0.2</v>
      </c>
      <c r="F90" s="1150">
        <v>30</v>
      </c>
    </row>
    <row r="91" spans="1:6" s="1101" customFormat="1" ht="39">
      <c r="A91" s="1150">
        <v>31</v>
      </c>
      <c r="B91" s="3414"/>
      <c r="C91" s="1064" t="s">
        <v>1563</v>
      </c>
      <c r="D91" s="1064" t="s">
        <v>1564</v>
      </c>
      <c r="E91" s="1135">
        <v>0.2</v>
      </c>
      <c r="F91" s="1150">
        <v>30</v>
      </c>
    </row>
    <row r="92" spans="1:6" s="1101" customFormat="1" ht="26">
      <c r="A92" s="1150">
        <v>32</v>
      </c>
      <c r="B92" s="3414" t="s">
        <v>1565</v>
      </c>
      <c r="C92" s="1150" t="s">
        <v>1566</v>
      </c>
      <c r="D92" s="1064" t="s">
        <v>1567</v>
      </c>
      <c r="E92" s="1135">
        <v>0.2</v>
      </c>
      <c r="F92" s="1150">
        <v>30</v>
      </c>
    </row>
    <row r="93" spans="1:6" s="1101" customFormat="1" ht="39">
      <c r="A93" s="1150">
        <v>33</v>
      </c>
      <c r="B93" s="3414"/>
      <c r="C93" s="1150" t="s">
        <v>1568</v>
      </c>
      <c r="D93" s="1064" t="s">
        <v>1569</v>
      </c>
      <c r="E93" s="1135">
        <v>0.2</v>
      </c>
      <c r="F93" s="1150">
        <v>30</v>
      </c>
    </row>
    <row r="94" spans="1:6" s="1101" customFormat="1" ht="52">
      <c r="A94" s="1150">
        <v>34</v>
      </c>
      <c r="B94" s="3414"/>
      <c r="C94" s="1150" t="s">
        <v>1570</v>
      </c>
      <c r="D94" s="1064" t="s">
        <v>1571</v>
      </c>
      <c r="E94" s="1135">
        <v>0.2</v>
      </c>
      <c r="F94" s="1150">
        <v>30</v>
      </c>
    </row>
    <row r="95" spans="1:6" s="1101" customFormat="1" ht="39">
      <c r="A95" s="1150">
        <v>35</v>
      </c>
      <c r="B95" s="3414"/>
      <c r="C95" s="1150" t="s">
        <v>1572</v>
      </c>
      <c r="D95" s="1064" t="s">
        <v>1573</v>
      </c>
      <c r="E95" s="1135">
        <v>0.2</v>
      </c>
      <c r="F95" s="1150">
        <v>30</v>
      </c>
    </row>
    <row r="96" spans="1:6" s="1101" customFormat="1" ht="52">
      <c r="A96" s="1150">
        <v>36</v>
      </c>
      <c r="B96" s="3414"/>
      <c r="C96" s="1064" t="s">
        <v>1574</v>
      </c>
      <c r="D96" s="1064" t="s">
        <v>1575</v>
      </c>
      <c r="E96" s="1135">
        <v>0.2</v>
      </c>
      <c r="F96" s="1150">
        <v>30</v>
      </c>
    </row>
    <row r="97" spans="1:6" s="1101" customFormat="1" ht="39">
      <c r="A97" s="1150">
        <v>37</v>
      </c>
      <c r="B97" s="3414"/>
      <c r="C97" s="1150" t="s">
        <v>1576</v>
      </c>
      <c r="D97" s="1064" t="s">
        <v>1577</v>
      </c>
      <c r="E97" s="1135">
        <v>0.2</v>
      </c>
      <c r="F97" s="1150">
        <v>30</v>
      </c>
    </row>
    <row r="98" spans="1:6" s="1101" customFormat="1" ht="39">
      <c r="A98" s="1150">
        <v>38</v>
      </c>
      <c r="B98" s="3414"/>
      <c r="C98" s="1150" t="s">
        <v>1578</v>
      </c>
      <c r="D98" s="1064" t="s">
        <v>1579</v>
      </c>
      <c r="E98" s="1135">
        <v>0.2</v>
      </c>
      <c r="F98" s="1150">
        <v>30</v>
      </c>
    </row>
    <row r="99" spans="1:6" s="1101" customFormat="1" ht="39">
      <c r="A99" s="1150">
        <v>39</v>
      </c>
      <c r="B99" s="3414" t="s">
        <v>1580</v>
      </c>
      <c r="C99" s="1150" t="s">
        <v>1581</v>
      </c>
      <c r="D99" s="1064" t="s">
        <v>1582</v>
      </c>
      <c r="E99" s="1135">
        <v>0.3</v>
      </c>
      <c r="F99" s="1150">
        <v>50</v>
      </c>
    </row>
    <row r="100" spans="1:6" s="1101" customFormat="1" ht="26">
      <c r="A100" s="1150">
        <v>40</v>
      </c>
      <c r="B100" s="3414"/>
      <c r="C100" s="1150" t="s">
        <v>1583</v>
      </c>
      <c r="D100" s="1064" t="s">
        <v>1584</v>
      </c>
      <c r="E100" s="1135">
        <v>0.2</v>
      </c>
      <c r="F100" s="1150">
        <v>30</v>
      </c>
    </row>
    <row r="101" spans="1:6" s="1101" customFormat="1" ht="39">
      <c r="A101" s="1150">
        <v>41</v>
      </c>
      <c r="B101" s="3414"/>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14" t="s">
        <v>1595</v>
      </c>
      <c r="C105" s="1150" t="s">
        <v>1596</v>
      </c>
      <c r="D105" s="1064" t="s">
        <v>1597</v>
      </c>
      <c r="E105" s="1135">
        <v>0.2</v>
      </c>
      <c r="F105" s="1150">
        <v>30</v>
      </c>
    </row>
    <row r="106" spans="1:6" s="1101" customFormat="1" ht="39">
      <c r="A106" s="1150">
        <v>46</v>
      </c>
      <c r="B106" s="3414"/>
      <c r="C106" s="1150" t="s">
        <v>1598</v>
      </c>
      <c r="D106" s="1064" t="s">
        <v>1599</v>
      </c>
      <c r="E106" s="1135">
        <v>0.2</v>
      </c>
      <c r="F106" s="1150">
        <v>30</v>
      </c>
    </row>
    <row r="107" spans="1:6" s="1101" customFormat="1" ht="39">
      <c r="A107" s="1150">
        <v>47</v>
      </c>
      <c r="B107" s="3414" t="s">
        <v>1600</v>
      </c>
      <c r="C107" s="1150" t="s">
        <v>1601</v>
      </c>
      <c r="D107" s="1064" t="s">
        <v>1602</v>
      </c>
      <c r="E107" s="1135">
        <v>0.3</v>
      </c>
      <c r="F107" s="1150">
        <v>50</v>
      </c>
    </row>
    <row r="108" spans="1:6" s="1101" customFormat="1" ht="39">
      <c r="A108" s="1150">
        <v>48</v>
      </c>
      <c r="B108" s="3414"/>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14" t="s">
        <v>1611</v>
      </c>
      <c r="C111" s="1150" t="s">
        <v>1612</v>
      </c>
      <c r="D111" s="1064" t="s">
        <v>1613</v>
      </c>
      <c r="E111" s="1135">
        <v>0.2</v>
      </c>
      <c r="F111" s="1150">
        <v>30</v>
      </c>
    </row>
    <row r="112" spans="1:6" s="1101" customFormat="1" ht="26">
      <c r="A112" s="1150">
        <v>52</v>
      </c>
      <c r="B112" s="3414"/>
      <c r="C112" s="1150" t="s">
        <v>1614</v>
      </c>
      <c r="D112" s="1064" t="s">
        <v>1615</v>
      </c>
      <c r="E112" s="1135">
        <v>0.2</v>
      </c>
      <c r="F112" s="1150">
        <v>30</v>
      </c>
    </row>
    <row r="113" spans="1:14" s="1101" customFormat="1" ht="26">
      <c r="A113" s="1150">
        <v>53</v>
      </c>
      <c r="B113" s="3414"/>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14" t="s">
        <v>1624</v>
      </c>
      <c r="C116" s="1150" t="s">
        <v>1625</v>
      </c>
      <c r="D116" s="1064" t="s">
        <v>1626</v>
      </c>
      <c r="E116" s="1135">
        <v>0.2</v>
      </c>
      <c r="F116" s="1150">
        <v>30</v>
      </c>
    </row>
    <row r="117" spans="1:14" ht="39">
      <c r="A117" s="1150">
        <v>57</v>
      </c>
      <c r="B117" s="3414"/>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13" t="s">
        <v>1633</v>
      </c>
      <c r="B121" s="3413"/>
      <c r="C121" s="3413"/>
      <c r="D121" s="3413"/>
      <c r="E121" s="3413"/>
      <c r="F121" s="3413"/>
      <c r="G121" s="3413"/>
      <c r="H121" s="3413"/>
      <c r="I121" s="3413"/>
      <c r="J121" s="341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
  <cols>
    <col min="1" max="1" width="12.6328125" style="1101" customWidth="1"/>
    <col min="2" max="5" width="10.1796875" style="1062" customWidth="1"/>
    <col min="6" max="6" width="9" style="1062"/>
    <col min="7" max="7" width="9" style="1065"/>
    <col min="8" max="8" width="9" style="1062"/>
    <col min="9" max="9" width="9" style="1065"/>
    <col min="10" max="16384" width="9" style="1062"/>
  </cols>
  <sheetData>
    <row r="1" spans="1:20">
      <c r="A1" s="3428" t="s">
        <v>1039</v>
      </c>
      <c r="B1" s="3428"/>
      <c r="C1" s="3428"/>
      <c r="D1" s="3428"/>
      <c r="E1" s="3428"/>
      <c r="F1" s="342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29" t="s">
        <v>1052</v>
      </c>
      <c r="B2" s="3429"/>
      <c r="C2" s="3429"/>
      <c r="D2" s="3429"/>
      <c r="E2" s="3429"/>
      <c r="F2" s="342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
  <cols>
    <col min="1" max="1" width="12.6328125" style="1866" customWidth="1"/>
    <col min="2" max="2" width="10.1796875" style="1867" customWidth="1"/>
  </cols>
  <sheetData>
    <row r="1" spans="1:6">
      <c r="A1" s="3432" t="s">
        <v>2077</v>
      </c>
      <c r="B1" s="3432"/>
    </row>
    <row r="2" spans="1:6" ht="14.5" thickBot="1">
      <c r="A2" s="1837"/>
      <c r="B2" s="1837"/>
    </row>
    <row r="3" spans="1:6" ht="14.5" thickBot="1">
      <c r="A3" s="1837"/>
      <c r="B3" s="1837"/>
      <c r="C3" s="1838" t="s">
        <v>2078</v>
      </c>
      <c r="D3" s="1838" t="s">
        <v>2079</v>
      </c>
      <c r="E3" s="1838" t="s">
        <v>2080</v>
      </c>
      <c r="F3" s="1838" t="s">
        <v>2081</v>
      </c>
    </row>
    <row r="4" spans="1:6" ht="14.5" thickBot="1">
      <c r="A4" s="1839" t="s">
        <v>2082</v>
      </c>
      <c r="B4" s="1840" t="s">
        <v>2083</v>
      </c>
      <c r="C4" s="1838"/>
      <c r="D4" s="1838"/>
      <c r="E4" s="1838"/>
      <c r="F4" s="1838"/>
    </row>
    <row r="5" spans="1:6" ht="14.5" thickBot="1">
      <c r="A5" s="1841" t="s">
        <v>2084</v>
      </c>
      <c r="B5" s="1842" t="s">
        <v>2085</v>
      </c>
      <c r="C5" s="1843">
        <v>8.8999999999999996E-2</v>
      </c>
      <c r="D5" s="1843">
        <v>7.3999999999999996E-2</v>
      </c>
      <c r="E5" s="1843">
        <v>7.4999999999999997E-2</v>
      </c>
      <c r="F5" s="1844">
        <v>0.1</v>
      </c>
    </row>
    <row r="6" spans="1:6" ht="14.5" thickBot="1">
      <c r="A6" s="1841" t="s">
        <v>1096</v>
      </c>
      <c r="B6" s="1845" t="s">
        <v>2086</v>
      </c>
      <c r="C6" s="1846">
        <v>0.1</v>
      </c>
      <c r="D6" s="1846">
        <v>9.0999999999999998E-2</v>
      </c>
      <c r="E6" s="1846">
        <v>9.0999999999999998E-2</v>
      </c>
      <c r="F6" s="1847">
        <v>0.1</v>
      </c>
    </row>
    <row r="7" spans="1:6" ht="14.5" thickBot="1">
      <c r="A7" s="1841" t="s">
        <v>1096</v>
      </c>
      <c r="B7" s="1848" t="s">
        <v>1084</v>
      </c>
      <c r="C7" s="1846">
        <v>8.5999999999999993E-2</v>
      </c>
      <c r="D7" s="1846">
        <v>9.6000000000000002E-2</v>
      </c>
      <c r="E7" s="1846">
        <v>7.5999999999999998E-2</v>
      </c>
      <c r="F7" s="1847">
        <v>0.1</v>
      </c>
    </row>
    <row r="8" spans="1:6" ht="14.5" thickBot="1">
      <c r="A8" s="1841" t="s">
        <v>1096</v>
      </c>
      <c r="B8" s="1845" t="s">
        <v>1097</v>
      </c>
      <c r="C8" s="1846">
        <v>9.9000000000000005E-2</v>
      </c>
      <c r="D8" s="1846">
        <v>9.8000000000000004E-2</v>
      </c>
      <c r="E8" s="1846">
        <v>9.8000000000000004E-2</v>
      </c>
      <c r="F8" s="1847">
        <v>0.1</v>
      </c>
    </row>
    <row r="9" spans="1:6" ht="14.5" thickBot="1">
      <c r="A9" s="1849" t="s">
        <v>1096</v>
      </c>
      <c r="B9" s="1850" t="s">
        <v>1111</v>
      </c>
      <c r="C9" s="1851">
        <v>0.05</v>
      </c>
      <c r="D9" s="1852"/>
      <c r="E9" s="1852"/>
      <c r="F9" s="1853"/>
    </row>
    <row r="10" spans="1:6" ht="14.5" thickBot="1">
      <c r="A10" s="1841" t="s">
        <v>1155</v>
      </c>
      <c r="B10" s="1842" t="s">
        <v>2087</v>
      </c>
      <c r="C10" s="1843">
        <v>8.8999999999999996E-2</v>
      </c>
      <c r="D10" s="1843">
        <v>7.2999999999999995E-2</v>
      </c>
      <c r="E10" s="1843">
        <v>8.2000000000000003E-2</v>
      </c>
      <c r="F10" s="1844">
        <v>0.1</v>
      </c>
    </row>
    <row r="11" spans="1:6" ht="14.5" thickBot="1">
      <c r="A11" s="1841" t="s">
        <v>1155</v>
      </c>
      <c r="B11" s="1848" t="s">
        <v>1071</v>
      </c>
      <c r="C11" s="1846">
        <v>8.8999999999999996E-2</v>
      </c>
      <c r="D11" s="1846">
        <v>7.2999999999999995E-2</v>
      </c>
      <c r="E11" s="1846">
        <v>8.2000000000000003E-2</v>
      </c>
      <c r="F11" s="1847">
        <v>0.1</v>
      </c>
    </row>
    <row r="12" spans="1:6" ht="14.5" thickBot="1">
      <c r="A12" s="1841" t="s">
        <v>1155</v>
      </c>
      <c r="B12" s="1848" t="s">
        <v>1085</v>
      </c>
      <c r="C12" s="1846">
        <v>6.0999999999999999E-2</v>
      </c>
      <c r="D12" s="1846">
        <v>7.0999999999999994E-2</v>
      </c>
      <c r="E12" s="1846">
        <v>9.6000000000000002E-2</v>
      </c>
      <c r="F12" s="1847">
        <v>0.1</v>
      </c>
    </row>
    <row r="13" spans="1:6" ht="14.5" thickBot="1">
      <c r="A13" s="1841" t="s">
        <v>1155</v>
      </c>
      <c r="B13" s="1848" t="s">
        <v>1098</v>
      </c>
      <c r="C13" s="1846">
        <v>6.9000000000000006E-2</v>
      </c>
      <c r="D13" s="1846">
        <v>6.5000000000000002E-2</v>
      </c>
      <c r="E13" s="1846">
        <v>6.6000000000000003E-2</v>
      </c>
      <c r="F13" s="1847">
        <v>0.1</v>
      </c>
    </row>
    <row r="14" spans="1:6" ht="14.5" thickBot="1">
      <c r="A14" s="1841" t="s">
        <v>1155</v>
      </c>
      <c r="B14" s="1848" t="s">
        <v>1112</v>
      </c>
      <c r="C14" s="1846">
        <v>0.1</v>
      </c>
      <c r="D14" s="1846">
        <v>6.5000000000000002E-2</v>
      </c>
      <c r="E14" s="1846">
        <v>7.0000000000000007E-2</v>
      </c>
      <c r="F14" s="1847">
        <v>0.1</v>
      </c>
    </row>
    <row r="15" spans="1:6" ht="14.5" thickBot="1">
      <c r="A15" s="1841" t="s">
        <v>1155</v>
      </c>
      <c r="B15" s="1848" t="s">
        <v>1123</v>
      </c>
      <c r="C15" s="1846">
        <v>9.8000000000000004E-2</v>
      </c>
      <c r="D15" s="1846">
        <v>8.8999999999999996E-2</v>
      </c>
      <c r="E15" s="1846">
        <v>8.8999999999999996E-2</v>
      </c>
      <c r="F15" s="1847">
        <v>0.1</v>
      </c>
    </row>
    <row r="16" spans="1:6" ht="14.5" thickBot="1">
      <c r="A16" s="1841" t="s">
        <v>1155</v>
      </c>
      <c r="B16" s="1848" t="s">
        <v>1134</v>
      </c>
      <c r="C16" s="1846">
        <v>7.0000000000000007E-2</v>
      </c>
      <c r="D16" s="1846">
        <v>9.2999999999999999E-2</v>
      </c>
      <c r="E16" s="1846">
        <v>9.6000000000000002E-2</v>
      </c>
      <c r="F16" s="1847">
        <v>0.1</v>
      </c>
    </row>
    <row r="17" spans="1:6" ht="14.5" thickBot="1">
      <c r="A17" s="1841" t="s">
        <v>1155</v>
      </c>
      <c r="B17" s="1848" t="s">
        <v>1145</v>
      </c>
      <c r="C17" s="1846">
        <v>9.5000000000000001E-2</v>
      </c>
      <c r="D17" s="1846">
        <v>0.1</v>
      </c>
      <c r="E17" s="1846">
        <v>0.1</v>
      </c>
      <c r="F17" s="1854"/>
    </row>
    <row r="18" spans="1:6" ht="14.5" thickBot="1">
      <c r="A18" s="1841" t="s">
        <v>1155</v>
      </c>
      <c r="B18" s="1848" t="s">
        <v>1157</v>
      </c>
      <c r="C18" s="1846">
        <v>7.3999999999999996E-2</v>
      </c>
      <c r="D18" s="1846">
        <v>9.9000000000000005E-2</v>
      </c>
      <c r="E18" s="1846">
        <v>0.1</v>
      </c>
      <c r="F18" s="1854"/>
    </row>
    <row r="19" spans="1:6" ht="14.5" thickBot="1">
      <c r="A19" s="1841" t="s">
        <v>1155</v>
      </c>
      <c r="B19" s="1848" t="s">
        <v>1167</v>
      </c>
      <c r="C19" s="1846">
        <v>9.9000000000000005E-2</v>
      </c>
      <c r="D19" s="1846">
        <v>7.5999999999999998E-2</v>
      </c>
      <c r="E19" s="1846">
        <v>8.6999999999999994E-2</v>
      </c>
      <c r="F19" s="1854"/>
    </row>
    <row r="20" spans="1:6" ht="14.5" thickBot="1">
      <c r="A20" s="1841" t="s">
        <v>1155</v>
      </c>
      <c r="B20" s="1848" t="s">
        <v>1177</v>
      </c>
      <c r="C20" s="1846">
        <v>9.8000000000000004E-2</v>
      </c>
      <c r="D20" s="1846">
        <v>8.5000000000000006E-2</v>
      </c>
      <c r="E20" s="1846">
        <v>8.2000000000000003E-2</v>
      </c>
      <c r="F20" s="1854"/>
    </row>
    <row r="21" spans="1:6" ht="14.5" thickBot="1">
      <c r="A21" s="1841" t="s">
        <v>1155</v>
      </c>
      <c r="B21" s="1848" t="s">
        <v>1187</v>
      </c>
      <c r="C21" s="1846">
        <v>6.6000000000000003E-2</v>
      </c>
      <c r="D21" s="1846">
        <v>6.4000000000000001E-2</v>
      </c>
      <c r="E21" s="1846">
        <v>6.5000000000000002E-2</v>
      </c>
      <c r="F21" s="1854"/>
    </row>
    <row r="22" spans="1:6" ht="14.5" thickBot="1">
      <c r="A22" s="1841" t="s">
        <v>1155</v>
      </c>
      <c r="B22" s="1848" t="s">
        <v>2088</v>
      </c>
      <c r="C22" s="1846">
        <v>0.08</v>
      </c>
      <c r="D22" s="1846">
        <v>9.8000000000000004E-2</v>
      </c>
      <c r="E22" s="1846">
        <v>9.8000000000000004E-2</v>
      </c>
      <c r="F22" s="1854"/>
    </row>
    <row r="23" spans="1:6" ht="14.5" thickBot="1">
      <c r="A23" s="1841" t="s">
        <v>1155</v>
      </c>
      <c r="B23" s="1848" t="s">
        <v>1207</v>
      </c>
      <c r="C23" s="1846">
        <v>9.9000000000000005E-2</v>
      </c>
      <c r="D23" s="1846">
        <v>9.8000000000000004E-2</v>
      </c>
      <c r="E23" s="1846">
        <v>9.0999999999999998E-2</v>
      </c>
      <c r="F23" s="1854"/>
    </row>
    <row r="24" spans="1:6" ht="14.5" thickBot="1">
      <c r="A24" s="1841" t="s">
        <v>1155</v>
      </c>
      <c r="B24" s="1848" t="s">
        <v>1217</v>
      </c>
      <c r="C24" s="1846">
        <v>8.8999999999999996E-2</v>
      </c>
      <c r="D24" s="1846">
        <v>9.7000000000000003E-2</v>
      </c>
      <c r="E24" s="1846">
        <v>7.0000000000000007E-2</v>
      </c>
      <c r="F24" s="1854"/>
    </row>
    <row r="25" spans="1:6" ht="14.5" thickBot="1">
      <c r="A25" s="1841" t="s">
        <v>1155</v>
      </c>
      <c r="B25" s="1848" t="s">
        <v>1227</v>
      </c>
      <c r="C25" s="1846">
        <v>8.8999999999999996E-2</v>
      </c>
      <c r="D25" s="1846">
        <v>0.1</v>
      </c>
      <c r="E25" s="1846">
        <v>8.1000000000000003E-2</v>
      </c>
      <c r="F25" s="1854"/>
    </row>
    <row r="26" spans="1:6" ht="14.5" thickBot="1">
      <c r="A26" s="1841" t="s">
        <v>1155</v>
      </c>
      <c r="B26" s="1848" t="s">
        <v>1237</v>
      </c>
      <c r="C26" s="1855"/>
      <c r="D26" s="1846">
        <v>9.6000000000000002E-2</v>
      </c>
      <c r="E26" s="1846">
        <v>9.2999999999999999E-2</v>
      </c>
      <c r="F26" s="1854"/>
    </row>
    <row r="27" spans="1:6" ht="14.5" thickBot="1">
      <c r="A27" s="1841" t="s">
        <v>1155</v>
      </c>
      <c r="B27" s="1848" t="s">
        <v>1247</v>
      </c>
      <c r="C27" s="1855"/>
      <c r="D27" s="1846">
        <v>7.5999999999999998E-2</v>
      </c>
      <c r="E27" s="1846">
        <v>9.1999999999999998E-2</v>
      </c>
      <c r="F27" s="1854"/>
    </row>
    <row r="28" spans="1:6" ht="14.5" thickBot="1">
      <c r="A28" s="1849" t="s">
        <v>1155</v>
      </c>
      <c r="B28" s="1850" t="s">
        <v>1257</v>
      </c>
      <c r="C28" s="1852"/>
      <c r="D28" s="1851">
        <v>7.5999999999999998E-2</v>
      </c>
      <c r="E28" s="1851">
        <v>9.1999999999999998E-2</v>
      </c>
      <c r="F28" s="1853"/>
    </row>
    <row r="29" spans="1:6" ht="14.5" thickBot="1">
      <c r="A29" s="1841" t="s">
        <v>1326</v>
      </c>
      <c r="B29" s="1842" t="s">
        <v>2089</v>
      </c>
      <c r="C29" s="1843">
        <v>6.4000000000000001E-2</v>
      </c>
      <c r="D29" s="1843">
        <v>6.5000000000000002E-2</v>
      </c>
      <c r="E29" s="1843">
        <v>6.9000000000000006E-2</v>
      </c>
      <c r="F29" s="1844">
        <v>0.1</v>
      </c>
    </row>
    <row r="30" spans="1:6" ht="14.5" thickBot="1">
      <c r="A30" s="1841" t="s">
        <v>1326</v>
      </c>
      <c r="B30" s="1848" t="s">
        <v>1072</v>
      </c>
      <c r="C30" s="1846">
        <v>6.4000000000000001E-2</v>
      </c>
      <c r="D30" s="1846">
        <v>9.9000000000000005E-2</v>
      </c>
      <c r="E30" s="1846">
        <v>0.1</v>
      </c>
      <c r="F30" s="1847">
        <v>0.1</v>
      </c>
    </row>
    <row r="31" spans="1:6" ht="14.5" thickBot="1">
      <c r="A31" s="1841" t="s">
        <v>1326</v>
      </c>
      <c r="B31" s="1848" t="s">
        <v>1086</v>
      </c>
      <c r="C31" s="1846">
        <v>0.1</v>
      </c>
      <c r="D31" s="1846">
        <v>9.5000000000000001E-2</v>
      </c>
      <c r="E31" s="1846">
        <v>8.8999999999999996E-2</v>
      </c>
      <c r="F31" s="1847">
        <v>0.1</v>
      </c>
    </row>
    <row r="32" spans="1:6" ht="14.5" thickBot="1">
      <c r="A32" s="1841" t="s">
        <v>1326</v>
      </c>
      <c r="B32" s="1848" t="s">
        <v>1099</v>
      </c>
      <c r="C32" s="1846">
        <v>0.05</v>
      </c>
      <c r="D32" s="1846">
        <v>0.05</v>
      </c>
      <c r="E32" s="1846">
        <v>8.7999999999999995E-2</v>
      </c>
      <c r="F32" s="1847">
        <v>0.1</v>
      </c>
    </row>
    <row r="33" spans="1:6" ht="14.5" thickBot="1">
      <c r="A33" s="1841" t="s">
        <v>1326</v>
      </c>
      <c r="B33" s="1848" t="s">
        <v>1113</v>
      </c>
      <c r="C33" s="1846">
        <v>7.4999999999999997E-2</v>
      </c>
      <c r="D33" s="1846">
        <v>9.4E-2</v>
      </c>
      <c r="E33" s="1846">
        <v>9.7000000000000003E-2</v>
      </c>
      <c r="F33" s="1847">
        <v>0.1</v>
      </c>
    </row>
    <row r="34" spans="1:6" ht="14.5" thickBot="1">
      <c r="A34" s="1841" t="s">
        <v>1326</v>
      </c>
      <c r="B34" s="1848" t="s">
        <v>1124</v>
      </c>
      <c r="C34" s="1846">
        <v>9.8000000000000004E-2</v>
      </c>
      <c r="D34" s="1846">
        <v>8.5999999999999993E-2</v>
      </c>
      <c r="E34" s="1846">
        <v>9.7000000000000003E-2</v>
      </c>
      <c r="F34" s="1847">
        <v>0.1</v>
      </c>
    </row>
    <row r="35" spans="1:6" ht="14.5" thickBot="1">
      <c r="A35" s="1841" t="s">
        <v>1326</v>
      </c>
      <c r="B35" s="1848" t="s">
        <v>1135</v>
      </c>
      <c r="C35" s="1846">
        <v>5.8999999999999997E-2</v>
      </c>
      <c r="D35" s="1846">
        <v>6.5000000000000002E-2</v>
      </c>
      <c r="E35" s="1846">
        <v>7.0000000000000007E-2</v>
      </c>
      <c r="F35" s="1847">
        <v>0.1</v>
      </c>
    </row>
    <row r="36" spans="1:6" ht="14.5" thickBot="1">
      <c r="A36" s="1841" t="s">
        <v>1326</v>
      </c>
      <c r="B36" s="1848" t="s">
        <v>1146</v>
      </c>
      <c r="C36" s="1846">
        <v>6.3E-2</v>
      </c>
      <c r="D36" s="1846">
        <v>0.1</v>
      </c>
      <c r="E36" s="1846">
        <v>0.1</v>
      </c>
      <c r="F36" s="1847">
        <v>0.1</v>
      </c>
    </row>
    <row r="37" spans="1:6" ht="14.5" thickBot="1">
      <c r="A37" s="1841" t="s">
        <v>1326</v>
      </c>
      <c r="B37" s="1848" t="s">
        <v>1158</v>
      </c>
      <c r="C37" s="1846">
        <v>7.3999999999999996E-2</v>
      </c>
      <c r="D37" s="1846">
        <v>0.1</v>
      </c>
      <c r="E37" s="1846">
        <v>0.1</v>
      </c>
      <c r="F37" s="1847">
        <v>0.1</v>
      </c>
    </row>
    <row r="38" spans="1:6" ht="14.5" thickBot="1">
      <c r="A38" s="1841" t="s">
        <v>1326</v>
      </c>
      <c r="B38" s="1848" t="s">
        <v>1168</v>
      </c>
      <c r="C38" s="1846">
        <v>0.1</v>
      </c>
      <c r="D38" s="1846">
        <v>9.6000000000000002E-2</v>
      </c>
      <c r="E38" s="1846">
        <v>9.6000000000000002E-2</v>
      </c>
      <c r="F38" s="1854"/>
    </row>
    <row r="39" spans="1:6" ht="14.5" thickBot="1">
      <c r="A39" s="1841" t="s">
        <v>1326</v>
      </c>
      <c r="B39" s="1848" t="s">
        <v>1178</v>
      </c>
      <c r="C39" s="1846">
        <v>0.1</v>
      </c>
      <c r="D39" s="1846">
        <v>9.6000000000000002E-2</v>
      </c>
      <c r="E39" s="1846">
        <v>9.6000000000000002E-2</v>
      </c>
      <c r="F39" s="1854"/>
    </row>
    <row r="40" spans="1:6" ht="14.5" thickBot="1">
      <c r="A40" s="1841" t="s">
        <v>1326</v>
      </c>
      <c r="B40" s="1848" t="s">
        <v>1188</v>
      </c>
      <c r="C40" s="1846">
        <v>9.6000000000000002E-2</v>
      </c>
      <c r="D40" s="1846">
        <v>0.1</v>
      </c>
      <c r="E40" s="1846">
        <v>9.9000000000000005E-2</v>
      </c>
      <c r="F40" s="1854"/>
    </row>
    <row r="41" spans="1:6" ht="14.5" thickBot="1">
      <c r="A41" s="1841" t="s">
        <v>1326</v>
      </c>
      <c r="B41" s="1848" t="s">
        <v>1198</v>
      </c>
      <c r="C41" s="1846">
        <v>9.6000000000000002E-2</v>
      </c>
      <c r="D41" s="1846">
        <v>9.8000000000000004E-2</v>
      </c>
      <c r="E41" s="1846">
        <v>9.8000000000000004E-2</v>
      </c>
      <c r="F41" s="1854"/>
    </row>
    <row r="42" spans="1:6" ht="14.5" thickBot="1">
      <c r="A42" s="1841" t="s">
        <v>1326</v>
      </c>
      <c r="B42" s="1848" t="s">
        <v>1208</v>
      </c>
      <c r="C42" s="1846">
        <v>0.1</v>
      </c>
      <c r="D42" s="1846">
        <v>8.7999999999999995E-2</v>
      </c>
      <c r="E42" s="1846">
        <v>0.1</v>
      </c>
      <c r="F42" s="1854"/>
    </row>
    <row r="43" spans="1:6" ht="14.5" thickBot="1">
      <c r="A43" s="1841" t="s">
        <v>1326</v>
      </c>
      <c r="B43" s="1848" t="s">
        <v>1218</v>
      </c>
      <c r="C43" s="1846">
        <v>9.8000000000000004E-2</v>
      </c>
      <c r="D43" s="1846">
        <v>9.7000000000000003E-2</v>
      </c>
      <c r="E43" s="1846">
        <v>9.6000000000000002E-2</v>
      </c>
      <c r="F43" s="1854"/>
    </row>
    <row r="44" spans="1:6" ht="14.5" thickBot="1">
      <c r="A44" s="1841" t="s">
        <v>1326</v>
      </c>
      <c r="B44" s="1848" t="s">
        <v>1228</v>
      </c>
      <c r="C44" s="1846">
        <v>8.5999999999999993E-2</v>
      </c>
      <c r="D44" s="1846">
        <v>7.9000000000000001E-2</v>
      </c>
      <c r="E44" s="1846">
        <v>7.0999999999999994E-2</v>
      </c>
      <c r="F44" s="1854"/>
    </row>
    <row r="45" spans="1:6" ht="14.5" thickBot="1">
      <c r="A45" s="1841" t="s">
        <v>1326</v>
      </c>
      <c r="B45" s="1848" t="s">
        <v>1238</v>
      </c>
      <c r="C45" s="1846">
        <v>9.8000000000000004E-2</v>
      </c>
      <c r="D45" s="1846">
        <v>9.6000000000000002E-2</v>
      </c>
      <c r="E45" s="1846">
        <v>9.6000000000000002E-2</v>
      </c>
      <c r="F45" s="1854"/>
    </row>
    <row r="46" spans="1:6" ht="14.5" thickBot="1">
      <c r="A46" s="1841" t="s">
        <v>1326</v>
      </c>
      <c r="B46" s="1848" t="s">
        <v>1248</v>
      </c>
      <c r="C46" s="1846">
        <v>8.5999999999999993E-2</v>
      </c>
      <c r="D46" s="1846">
        <v>9.8000000000000004E-2</v>
      </c>
      <c r="E46" s="1846">
        <v>8.7999999999999995E-2</v>
      </c>
      <c r="F46" s="1854"/>
    </row>
    <row r="47" spans="1:6" ht="14.5" thickBot="1">
      <c r="A47" s="1841" t="s">
        <v>1326</v>
      </c>
      <c r="B47" s="1848" t="s">
        <v>1258</v>
      </c>
      <c r="C47" s="1846">
        <v>9.6000000000000002E-2</v>
      </c>
      <c r="D47" s="1855"/>
      <c r="E47" s="1846">
        <v>6.9000000000000006E-2</v>
      </c>
      <c r="F47" s="1854"/>
    </row>
    <row r="48" spans="1:6" ht="14.5" thickBot="1">
      <c r="A48" s="1849" t="s">
        <v>1326</v>
      </c>
      <c r="B48" s="1850" t="s">
        <v>1267</v>
      </c>
      <c r="C48" s="1851">
        <v>9.8000000000000004E-2</v>
      </c>
      <c r="D48" s="1852"/>
      <c r="E48" s="1851">
        <v>9.5000000000000001E-2</v>
      </c>
      <c r="F48" s="1853"/>
    </row>
    <row r="49" spans="1:6" ht="14.5" thickBot="1">
      <c r="A49" s="1841" t="s">
        <v>925</v>
      </c>
      <c r="B49" s="1842" t="s">
        <v>2090</v>
      </c>
      <c r="C49" s="1843">
        <v>9.7000000000000003E-2</v>
      </c>
      <c r="D49" s="1843">
        <v>9.5000000000000001E-2</v>
      </c>
      <c r="E49" s="1843">
        <v>9.7000000000000003E-2</v>
      </c>
      <c r="F49" s="1844">
        <v>0.1</v>
      </c>
    </row>
    <row r="50" spans="1:6" ht="14.5" thickBot="1">
      <c r="A50" s="1841" t="s">
        <v>925</v>
      </c>
      <c r="B50" s="1845" t="s">
        <v>1073</v>
      </c>
      <c r="C50" s="1846">
        <v>7.4999999999999997E-2</v>
      </c>
      <c r="D50" s="1846">
        <v>9.5000000000000001E-2</v>
      </c>
      <c r="E50" s="1846">
        <v>0.1</v>
      </c>
      <c r="F50" s="1847">
        <v>0.1</v>
      </c>
    </row>
    <row r="51" spans="1:6" ht="14.5" thickBot="1">
      <c r="A51" s="1841" t="s">
        <v>925</v>
      </c>
      <c r="B51" s="1845" t="s">
        <v>1087</v>
      </c>
      <c r="C51" s="1846">
        <v>9.8000000000000004E-2</v>
      </c>
      <c r="D51" s="1846">
        <v>8.8999999999999996E-2</v>
      </c>
      <c r="E51" s="1846">
        <v>0.1</v>
      </c>
      <c r="F51" s="1847">
        <v>0.1</v>
      </c>
    </row>
    <row r="52" spans="1:6" ht="14.5" thickBot="1">
      <c r="A52" s="1841" t="s">
        <v>925</v>
      </c>
      <c r="B52" s="1845" t="s">
        <v>1100</v>
      </c>
      <c r="C52" s="1846">
        <v>9.8000000000000004E-2</v>
      </c>
      <c r="D52" s="1846">
        <v>9.7000000000000003E-2</v>
      </c>
      <c r="E52" s="1846">
        <v>8.1000000000000003E-2</v>
      </c>
      <c r="F52" s="1847">
        <v>0.1</v>
      </c>
    </row>
    <row r="53" spans="1:6" ht="14.5" thickBot="1">
      <c r="A53" s="1841" t="s">
        <v>925</v>
      </c>
      <c r="B53" s="1845" t="s">
        <v>1114</v>
      </c>
      <c r="C53" s="1846">
        <v>9.7000000000000003E-2</v>
      </c>
      <c r="D53" s="1846">
        <v>7.5999999999999998E-2</v>
      </c>
      <c r="E53" s="1846">
        <v>7.0999999999999994E-2</v>
      </c>
      <c r="F53" s="1847">
        <v>0.1</v>
      </c>
    </row>
    <row r="54" spans="1:6" ht="14.5" thickBot="1">
      <c r="A54" s="1841" t="s">
        <v>925</v>
      </c>
      <c r="B54" s="1845" t="s">
        <v>1125</v>
      </c>
      <c r="C54" s="1846">
        <v>7.5999999999999998E-2</v>
      </c>
      <c r="D54" s="1846">
        <v>0.1</v>
      </c>
      <c r="E54" s="1846">
        <v>9.9000000000000005E-2</v>
      </c>
      <c r="F54" s="1847">
        <v>0.1</v>
      </c>
    </row>
    <row r="55" spans="1:6" ht="14.5" thickBot="1">
      <c r="A55" s="1841" t="s">
        <v>925</v>
      </c>
      <c r="B55" s="1845" t="s">
        <v>1136</v>
      </c>
      <c r="C55" s="1846">
        <v>0.1</v>
      </c>
      <c r="D55" s="1846">
        <v>0.1</v>
      </c>
      <c r="E55" s="1846">
        <v>9.6000000000000002E-2</v>
      </c>
      <c r="F55" s="1847">
        <v>0.1</v>
      </c>
    </row>
    <row r="56" spans="1:6" ht="14.5" thickBot="1">
      <c r="A56" s="1841" t="s">
        <v>925</v>
      </c>
      <c r="B56" s="1845" t="s">
        <v>1147</v>
      </c>
      <c r="C56" s="1846">
        <v>0.1</v>
      </c>
      <c r="D56" s="1846">
        <v>9.6000000000000002E-2</v>
      </c>
      <c r="E56" s="1846">
        <v>5.1999999999999998E-2</v>
      </c>
      <c r="F56" s="1847">
        <v>0.1</v>
      </c>
    </row>
    <row r="57" spans="1:6" ht="14.5" thickBot="1">
      <c r="A57" s="1841" t="s">
        <v>925</v>
      </c>
      <c r="B57" s="1845" t="s">
        <v>1159</v>
      </c>
      <c r="C57" s="1846">
        <v>9.7000000000000003E-2</v>
      </c>
      <c r="D57" s="1846">
        <v>9.6000000000000002E-2</v>
      </c>
      <c r="E57" s="1846">
        <v>9.6000000000000002E-2</v>
      </c>
      <c r="F57" s="1847">
        <v>0.1</v>
      </c>
    </row>
    <row r="58" spans="1:6" ht="14.5" thickBot="1">
      <c r="A58" s="1841" t="s">
        <v>925</v>
      </c>
      <c r="B58" s="1845" t="s">
        <v>1169</v>
      </c>
      <c r="C58" s="1846">
        <v>9.6000000000000002E-2</v>
      </c>
      <c r="D58" s="1846">
        <v>9.9000000000000005E-2</v>
      </c>
      <c r="E58" s="1846">
        <v>9.6000000000000002E-2</v>
      </c>
      <c r="F58" s="1847">
        <v>0.1</v>
      </c>
    </row>
    <row r="59" spans="1:6" ht="14.5" thickBot="1">
      <c r="A59" s="1841" t="s">
        <v>925</v>
      </c>
      <c r="B59" s="1845" t="s">
        <v>1179</v>
      </c>
      <c r="C59" s="1846">
        <v>7.1999999999999995E-2</v>
      </c>
      <c r="D59" s="1846">
        <v>9.6000000000000002E-2</v>
      </c>
      <c r="E59" s="1846">
        <v>7.0999999999999994E-2</v>
      </c>
      <c r="F59" s="1847">
        <v>0.1</v>
      </c>
    </row>
    <row r="60" spans="1:6" ht="14.5" thickBot="1">
      <c r="A60" s="1841" t="s">
        <v>925</v>
      </c>
      <c r="B60" s="1845" t="s">
        <v>1189</v>
      </c>
      <c r="C60" s="1846">
        <v>9.6000000000000002E-2</v>
      </c>
      <c r="D60" s="1846">
        <v>8.8999999999999996E-2</v>
      </c>
      <c r="E60" s="1846">
        <v>9.6000000000000002E-2</v>
      </c>
      <c r="F60" s="1847">
        <v>0.1</v>
      </c>
    </row>
    <row r="61" spans="1:6" ht="14.5" thickBot="1">
      <c r="A61" s="1841" t="s">
        <v>925</v>
      </c>
      <c r="B61" s="1845" t="s">
        <v>1199</v>
      </c>
      <c r="C61" s="1846">
        <v>8.8999999999999996E-2</v>
      </c>
      <c r="D61" s="1846">
        <v>9.8000000000000004E-2</v>
      </c>
      <c r="E61" s="1846">
        <v>8.7999999999999995E-2</v>
      </c>
      <c r="F61" s="1854"/>
    </row>
    <row r="62" spans="1:6" ht="14.5" thickBot="1">
      <c r="A62" s="1841" t="s">
        <v>925</v>
      </c>
      <c r="B62" s="1845" t="s">
        <v>1209</v>
      </c>
      <c r="C62" s="1846">
        <v>9.8000000000000004E-2</v>
      </c>
      <c r="D62" s="1846">
        <v>9.2999999999999999E-2</v>
      </c>
      <c r="E62" s="1846">
        <v>9.7000000000000003E-2</v>
      </c>
      <c r="F62" s="1854"/>
    </row>
    <row r="63" spans="1:6" ht="14.5" thickBot="1">
      <c r="A63" s="1841" t="s">
        <v>925</v>
      </c>
      <c r="B63" s="1845" t="s">
        <v>1219</v>
      </c>
      <c r="C63" s="1846">
        <v>9.6000000000000002E-2</v>
      </c>
      <c r="D63" s="1846">
        <v>9.8000000000000004E-2</v>
      </c>
      <c r="E63" s="1846">
        <v>0.09</v>
      </c>
      <c r="F63" s="1854"/>
    </row>
    <row r="64" spans="1:6" ht="14.5" thickBot="1">
      <c r="A64" s="1841" t="s">
        <v>925</v>
      </c>
      <c r="B64" s="1845" t="s">
        <v>1229</v>
      </c>
      <c r="C64" s="1846">
        <v>9.9000000000000005E-2</v>
      </c>
      <c r="D64" s="1846">
        <v>9.7000000000000003E-2</v>
      </c>
      <c r="E64" s="1846">
        <v>9.9000000000000005E-2</v>
      </c>
      <c r="F64" s="1854"/>
    </row>
    <row r="65" spans="1:6" ht="14.5" thickBot="1">
      <c r="A65" s="1841" t="s">
        <v>925</v>
      </c>
      <c r="B65" s="1845" t="s">
        <v>1239</v>
      </c>
      <c r="C65" s="1846">
        <v>9.8000000000000004E-2</v>
      </c>
      <c r="D65" s="1846">
        <v>9.6000000000000002E-2</v>
      </c>
      <c r="E65" s="1846">
        <v>9.6000000000000002E-2</v>
      </c>
      <c r="F65" s="1854"/>
    </row>
    <row r="66" spans="1:6" ht="14.5" thickBot="1">
      <c r="A66" s="1841" t="s">
        <v>925</v>
      </c>
      <c r="B66" s="1845" t="s">
        <v>1249</v>
      </c>
      <c r="C66" s="1846">
        <v>9.6000000000000002E-2</v>
      </c>
      <c r="D66" s="1846">
        <v>9.1999999999999998E-2</v>
      </c>
      <c r="E66" s="1846">
        <v>9.6000000000000002E-2</v>
      </c>
      <c r="F66" s="1854"/>
    </row>
    <row r="67" spans="1:6" ht="14.5" thickBot="1">
      <c r="A67" s="1841" t="s">
        <v>925</v>
      </c>
      <c r="B67" s="1845" t="s">
        <v>1259</v>
      </c>
      <c r="C67" s="1846">
        <v>9.4E-2</v>
      </c>
      <c r="D67" s="1846">
        <v>0.1</v>
      </c>
      <c r="E67" s="1846">
        <v>8.7999999999999995E-2</v>
      </c>
      <c r="F67" s="1854"/>
    </row>
    <row r="68" spans="1:6" ht="14.5" thickBot="1">
      <c r="A68" s="1841" t="s">
        <v>925</v>
      </c>
      <c r="B68" s="1845" t="s">
        <v>1268</v>
      </c>
      <c r="C68" s="1846">
        <v>0.1</v>
      </c>
      <c r="D68" s="1846">
        <v>8.7999999999999995E-2</v>
      </c>
      <c r="E68" s="1846">
        <v>9.7000000000000003E-2</v>
      </c>
      <c r="F68" s="1854"/>
    </row>
    <row r="69" spans="1:6" ht="14.5" thickBot="1">
      <c r="A69" s="1841" t="s">
        <v>925</v>
      </c>
      <c r="B69" s="1845" t="s">
        <v>1277</v>
      </c>
      <c r="C69" s="1846">
        <v>6.4000000000000001E-2</v>
      </c>
      <c r="D69" s="1846">
        <v>0.1</v>
      </c>
      <c r="E69" s="1846">
        <v>0.1</v>
      </c>
      <c r="F69" s="1854"/>
    </row>
    <row r="70" spans="1:6" ht="14.5" thickBot="1">
      <c r="A70" s="1841" t="s">
        <v>925</v>
      </c>
      <c r="B70" s="1845" t="s">
        <v>1285</v>
      </c>
      <c r="C70" s="1846">
        <v>9.0999999999999998E-2</v>
      </c>
      <c r="D70" s="1855"/>
      <c r="E70" s="1855"/>
      <c r="F70" s="1854"/>
    </row>
    <row r="71" spans="1:6" ht="14.5" thickBot="1">
      <c r="A71" s="1841" t="s">
        <v>925</v>
      </c>
      <c r="B71" s="1845" t="s">
        <v>1292</v>
      </c>
      <c r="C71" s="1846">
        <v>0.1</v>
      </c>
      <c r="D71" s="1855"/>
      <c r="E71" s="1855"/>
      <c r="F71" s="1854"/>
    </row>
    <row r="72" spans="1:6" ht="26.5" thickBot="1">
      <c r="A72" s="1841" t="s">
        <v>925</v>
      </c>
      <c r="B72" s="1845" t="s">
        <v>2091</v>
      </c>
      <c r="C72" s="1855"/>
      <c r="D72" s="1855"/>
      <c r="E72" s="1855"/>
      <c r="F72" s="1847">
        <v>0.05</v>
      </c>
    </row>
    <row r="73" spans="1:6" ht="26.5" thickBot="1">
      <c r="A73" s="1841" t="s">
        <v>925</v>
      </c>
      <c r="B73" s="1845" t="s">
        <v>2092</v>
      </c>
      <c r="C73" s="1855"/>
      <c r="D73" s="1855"/>
      <c r="E73" s="1855"/>
      <c r="F73" s="1847">
        <v>0.05</v>
      </c>
    </row>
    <row r="74" spans="1:6" ht="26.5" thickBot="1">
      <c r="A74" s="1841" t="s">
        <v>925</v>
      </c>
      <c r="B74" s="1845" t="s">
        <v>2093</v>
      </c>
      <c r="C74" s="1855"/>
      <c r="D74" s="1855"/>
      <c r="E74" s="1855"/>
      <c r="F74" s="1847">
        <v>0.05</v>
      </c>
    </row>
    <row r="75" spans="1:6" ht="26.5" thickBot="1">
      <c r="A75" s="1849" t="s">
        <v>925</v>
      </c>
      <c r="B75" s="1856" t="s">
        <v>2094</v>
      </c>
      <c r="C75" s="1852"/>
      <c r="D75" s="1852"/>
      <c r="E75" s="1852"/>
      <c r="F75" s="1857">
        <v>0.05</v>
      </c>
    </row>
    <row r="76" spans="1:6" ht="14.5" thickBot="1">
      <c r="A76" s="1841" t="s">
        <v>1407</v>
      </c>
      <c r="B76" s="1842" t="s">
        <v>2095</v>
      </c>
      <c r="C76" s="1843">
        <v>0.1</v>
      </c>
      <c r="D76" s="1843">
        <v>0.1</v>
      </c>
      <c r="E76" s="1843">
        <v>0.1</v>
      </c>
      <c r="F76" s="1844">
        <v>0.1</v>
      </c>
    </row>
    <row r="77" spans="1:6" ht="14.5" thickBot="1">
      <c r="A77" s="1841" t="s">
        <v>1407</v>
      </c>
      <c r="B77" s="1845" t="s">
        <v>1074</v>
      </c>
      <c r="C77" s="1846">
        <v>8.7999999999999995E-2</v>
      </c>
      <c r="D77" s="1846">
        <v>8.6999999999999994E-2</v>
      </c>
      <c r="E77" s="1846">
        <v>7.9000000000000001E-2</v>
      </c>
      <c r="F77" s="1847">
        <v>0.1</v>
      </c>
    </row>
    <row r="78" spans="1:6" ht="14.5" thickBot="1">
      <c r="A78" s="1841" t="s">
        <v>1407</v>
      </c>
      <c r="B78" s="1845" t="s">
        <v>1088</v>
      </c>
      <c r="C78" s="1846">
        <v>8.6999999999999994E-2</v>
      </c>
      <c r="D78" s="1846">
        <v>8.4000000000000005E-2</v>
      </c>
      <c r="E78" s="1846">
        <v>9.6000000000000002E-2</v>
      </c>
      <c r="F78" s="1847">
        <v>0.1</v>
      </c>
    </row>
    <row r="79" spans="1:6" ht="14.5" thickBot="1">
      <c r="A79" s="1841" t="s">
        <v>1407</v>
      </c>
      <c r="B79" s="1845" t="s">
        <v>1101</v>
      </c>
      <c r="C79" s="1846">
        <v>9.8000000000000004E-2</v>
      </c>
      <c r="D79" s="1846">
        <v>9.8000000000000004E-2</v>
      </c>
      <c r="E79" s="1846">
        <v>9.0999999999999998E-2</v>
      </c>
      <c r="F79" s="1847">
        <v>0.1</v>
      </c>
    </row>
    <row r="80" spans="1:6" ht="14.5" thickBot="1">
      <c r="A80" s="1841" t="s">
        <v>1407</v>
      </c>
      <c r="B80" s="1845" t="s">
        <v>1115</v>
      </c>
      <c r="C80" s="1846">
        <v>9.6000000000000002E-2</v>
      </c>
      <c r="D80" s="1846">
        <v>9.6000000000000002E-2</v>
      </c>
      <c r="E80" s="1846">
        <v>0.1</v>
      </c>
      <c r="F80" s="1847">
        <v>0.1</v>
      </c>
    </row>
    <row r="81" spans="1:6" ht="14.5" thickBot="1">
      <c r="A81" s="1841" t="s">
        <v>1407</v>
      </c>
      <c r="B81" s="1845" t="s">
        <v>1126</v>
      </c>
      <c r="C81" s="1846">
        <v>9.9000000000000005E-2</v>
      </c>
      <c r="D81" s="1846">
        <v>9.9000000000000005E-2</v>
      </c>
      <c r="E81" s="1846">
        <v>9.8000000000000004E-2</v>
      </c>
      <c r="F81" s="1847">
        <v>0.1</v>
      </c>
    </row>
    <row r="82" spans="1:6" ht="14.5" thickBot="1">
      <c r="A82" s="1841" t="s">
        <v>1407</v>
      </c>
      <c r="B82" s="1845" t="s">
        <v>1137</v>
      </c>
      <c r="C82" s="1846">
        <v>9.9000000000000005E-2</v>
      </c>
      <c r="D82" s="1846">
        <v>9.9000000000000005E-2</v>
      </c>
      <c r="E82" s="1846">
        <v>9.7000000000000003E-2</v>
      </c>
      <c r="F82" s="1847">
        <v>0.1</v>
      </c>
    </row>
    <row r="83" spans="1:6" ht="14.5" thickBot="1">
      <c r="A83" s="1841" t="s">
        <v>1407</v>
      </c>
      <c r="B83" s="1845" t="s">
        <v>1148</v>
      </c>
      <c r="C83" s="1846">
        <v>9.8000000000000004E-2</v>
      </c>
      <c r="D83" s="1846">
        <v>9.8000000000000004E-2</v>
      </c>
      <c r="E83" s="1846">
        <v>9.8000000000000004E-2</v>
      </c>
      <c r="F83" s="1847">
        <v>0.1</v>
      </c>
    </row>
    <row r="84" spans="1:6" ht="14.5" thickBot="1">
      <c r="A84" s="1841" t="s">
        <v>1407</v>
      </c>
      <c r="B84" s="1845" t="s">
        <v>1160</v>
      </c>
      <c r="C84" s="1846">
        <v>9.9000000000000005E-2</v>
      </c>
      <c r="D84" s="1846">
        <v>9.9000000000000005E-2</v>
      </c>
      <c r="E84" s="1846">
        <v>9.9000000000000005E-2</v>
      </c>
      <c r="F84" s="1847">
        <v>0.1</v>
      </c>
    </row>
    <row r="85" spans="1:6" ht="14.5" thickBot="1">
      <c r="A85" s="1841" t="s">
        <v>1407</v>
      </c>
      <c r="B85" s="1845" t="s">
        <v>1170</v>
      </c>
      <c r="C85" s="1846">
        <v>9.9000000000000005E-2</v>
      </c>
      <c r="D85" s="1846">
        <v>9.9000000000000005E-2</v>
      </c>
      <c r="E85" s="1846">
        <v>9.9000000000000005E-2</v>
      </c>
      <c r="F85" s="1847">
        <v>0.1</v>
      </c>
    </row>
    <row r="86" spans="1:6" ht="14.5" thickBot="1">
      <c r="A86" s="1841" t="s">
        <v>1407</v>
      </c>
      <c r="B86" s="1845" t="s">
        <v>1180</v>
      </c>
      <c r="C86" s="1846">
        <v>0.1</v>
      </c>
      <c r="D86" s="1846">
        <v>0.1</v>
      </c>
      <c r="E86" s="1846">
        <v>7.6999999999999999E-2</v>
      </c>
      <c r="F86" s="1847">
        <v>0.1</v>
      </c>
    </row>
    <row r="87" spans="1:6" ht="14.5" thickBot="1">
      <c r="A87" s="1841" t="s">
        <v>1407</v>
      </c>
      <c r="B87" s="1845" t="s">
        <v>1190</v>
      </c>
      <c r="C87" s="1846">
        <v>0.1</v>
      </c>
      <c r="D87" s="1846">
        <v>0.1</v>
      </c>
      <c r="E87" s="1846">
        <v>9.8000000000000004E-2</v>
      </c>
      <c r="F87" s="1854"/>
    </row>
    <row r="88" spans="1:6" ht="14.5" thickBot="1">
      <c r="A88" s="1841" t="s">
        <v>1407</v>
      </c>
      <c r="B88" s="1845" t="s">
        <v>1200</v>
      </c>
      <c r="C88" s="1846">
        <v>9.1999999999999998E-2</v>
      </c>
      <c r="D88" s="1846">
        <v>8.5000000000000006E-2</v>
      </c>
      <c r="E88" s="1846">
        <v>9.6000000000000002E-2</v>
      </c>
      <c r="F88" s="1854"/>
    </row>
    <row r="89" spans="1:6" ht="14.5" thickBot="1">
      <c r="A89" s="1841" t="s">
        <v>1407</v>
      </c>
      <c r="B89" s="1845" t="s">
        <v>1210</v>
      </c>
      <c r="C89" s="1846">
        <v>0.1</v>
      </c>
      <c r="D89" s="1846">
        <v>0.1</v>
      </c>
      <c r="E89" s="1846">
        <v>9.7000000000000003E-2</v>
      </c>
      <c r="F89" s="1854"/>
    </row>
    <row r="90" spans="1:6" ht="14.5" thickBot="1">
      <c r="A90" s="1841" t="s">
        <v>1407</v>
      </c>
      <c r="B90" s="1845" t="s">
        <v>1220</v>
      </c>
      <c r="C90" s="1846">
        <v>9.8000000000000004E-2</v>
      </c>
      <c r="D90" s="1846">
        <v>9.8000000000000004E-2</v>
      </c>
      <c r="E90" s="1846">
        <v>8.7999999999999995E-2</v>
      </c>
      <c r="F90" s="1854"/>
    </row>
    <row r="91" spans="1:6" ht="14.5" thickBot="1">
      <c r="A91" s="1841" t="s">
        <v>1407</v>
      </c>
      <c r="B91" s="1845" t="s">
        <v>1230</v>
      </c>
      <c r="C91" s="1846">
        <v>9.9000000000000005E-2</v>
      </c>
      <c r="D91" s="1846">
        <v>9.9000000000000005E-2</v>
      </c>
      <c r="E91" s="1846">
        <v>9.0999999999999998E-2</v>
      </c>
      <c r="F91" s="1854"/>
    </row>
    <row r="92" spans="1:6" ht="14.5" thickBot="1">
      <c r="A92" s="1841" t="s">
        <v>1407</v>
      </c>
      <c r="B92" s="1845" t="s">
        <v>1240</v>
      </c>
      <c r="C92" s="1846">
        <v>9.6000000000000002E-2</v>
      </c>
      <c r="D92" s="1846">
        <v>9.6000000000000002E-2</v>
      </c>
      <c r="E92" s="1846">
        <v>7.2999999999999995E-2</v>
      </c>
      <c r="F92" s="1854"/>
    </row>
    <row r="93" spans="1:6" ht="14.5" thickBot="1">
      <c r="A93" s="1841" t="s">
        <v>1407</v>
      </c>
      <c r="B93" s="1845" t="s">
        <v>1250</v>
      </c>
      <c r="C93" s="1846">
        <v>9.6000000000000002E-2</v>
      </c>
      <c r="D93" s="1846">
        <v>9.6000000000000002E-2</v>
      </c>
      <c r="E93" s="1846">
        <v>9.9000000000000005E-2</v>
      </c>
      <c r="F93" s="1854"/>
    </row>
    <row r="94" spans="1:6" ht="14.5" thickBot="1">
      <c r="A94" s="1841" t="s">
        <v>1407</v>
      </c>
      <c r="B94" s="1845" t="s">
        <v>1260</v>
      </c>
      <c r="C94" s="1846">
        <v>7.5999999999999998E-2</v>
      </c>
      <c r="D94" s="1846">
        <v>7.3999999999999996E-2</v>
      </c>
      <c r="E94" s="1846">
        <v>9.7000000000000003E-2</v>
      </c>
      <c r="F94" s="1854"/>
    </row>
    <row r="95" spans="1:6" ht="14.5" thickBot="1">
      <c r="A95" s="1841" t="s">
        <v>1407</v>
      </c>
      <c r="B95" s="1845" t="s">
        <v>1269</v>
      </c>
      <c r="C95" s="1846">
        <v>9.9000000000000005E-2</v>
      </c>
      <c r="D95" s="1846">
        <v>9.4E-2</v>
      </c>
      <c r="E95" s="1846">
        <v>9.6000000000000002E-2</v>
      </c>
      <c r="F95" s="1854"/>
    </row>
    <row r="96" spans="1:6" ht="14.5" thickBot="1">
      <c r="A96" s="1841" t="s">
        <v>1407</v>
      </c>
      <c r="B96" s="1845" t="s">
        <v>1278</v>
      </c>
      <c r="C96" s="1846">
        <v>9.9000000000000005E-2</v>
      </c>
      <c r="D96" s="1846">
        <v>9.9000000000000005E-2</v>
      </c>
      <c r="E96" s="1846">
        <v>9.9000000000000005E-2</v>
      </c>
      <c r="F96" s="1854"/>
    </row>
    <row r="97" spans="1:6" ht="14.5" thickBot="1">
      <c r="A97" s="1841" t="s">
        <v>1407</v>
      </c>
      <c r="B97" s="1845" t="s">
        <v>1286</v>
      </c>
      <c r="C97" s="1846">
        <v>9.8000000000000004E-2</v>
      </c>
      <c r="D97" s="1846">
        <v>9.8000000000000004E-2</v>
      </c>
      <c r="E97" s="1846">
        <v>9.7000000000000003E-2</v>
      </c>
      <c r="F97" s="1854"/>
    </row>
    <row r="98" spans="1:6" ht="14.5" thickBot="1">
      <c r="A98" s="1841" t="s">
        <v>1407</v>
      </c>
      <c r="B98" s="1845" t="s">
        <v>1293</v>
      </c>
      <c r="C98" s="1846">
        <v>0.1</v>
      </c>
      <c r="D98" s="1846">
        <v>0.1</v>
      </c>
      <c r="E98" s="1846">
        <v>9.7000000000000003E-2</v>
      </c>
      <c r="F98" s="1854"/>
    </row>
    <row r="99" spans="1:6" ht="14.5" thickBot="1">
      <c r="A99" s="1841" t="s">
        <v>1407</v>
      </c>
      <c r="B99" s="1845" t="s">
        <v>1300</v>
      </c>
      <c r="C99" s="1846">
        <v>0.1</v>
      </c>
      <c r="D99" s="1846">
        <v>0.1</v>
      </c>
      <c r="E99" s="1855"/>
      <c r="F99" s="1854"/>
    </row>
    <row r="100" spans="1:6" ht="14.5" thickBot="1">
      <c r="A100" s="1841" t="s">
        <v>1407</v>
      </c>
      <c r="B100" s="1845" t="s">
        <v>1307</v>
      </c>
      <c r="C100" s="1846">
        <v>0.09</v>
      </c>
      <c r="D100" s="1846">
        <v>8.8999999999999996E-2</v>
      </c>
      <c r="E100" s="1855"/>
      <c r="F100" s="1854"/>
    </row>
    <row r="101" spans="1:6" ht="14.5" thickBot="1">
      <c r="A101" s="1841" t="s">
        <v>1407</v>
      </c>
      <c r="B101" s="1845" t="s">
        <v>1314</v>
      </c>
      <c r="C101" s="1846">
        <v>9.8000000000000004E-2</v>
      </c>
      <c r="D101" s="1846">
        <v>9.7000000000000003E-2</v>
      </c>
      <c r="E101" s="1855"/>
      <c r="F101" s="1854"/>
    </row>
    <row r="102" spans="1:6" ht="26.5" thickBot="1">
      <c r="A102" s="1841" t="s">
        <v>1407</v>
      </c>
      <c r="B102" s="1845" t="s">
        <v>2096</v>
      </c>
      <c r="C102" s="1855"/>
      <c r="D102" s="1855"/>
      <c r="E102" s="1855"/>
      <c r="F102" s="1847">
        <v>0.05</v>
      </c>
    </row>
    <row r="103" spans="1:6" ht="26.5" thickBot="1">
      <c r="A103" s="1841" t="s">
        <v>1407</v>
      </c>
      <c r="B103" s="1845" t="s">
        <v>2097</v>
      </c>
      <c r="C103" s="1855"/>
      <c r="D103" s="1855"/>
      <c r="E103" s="1855"/>
      <c r="F103" s="1847">
        <v>0.05</v>
      </c>
    </row>
    <row r="104" spans="1:6" ht="14.5" thickBot="1">
      <c r="A104" s="1841" t="s">
        <v>1407</v>
      </c>
      <c r="B104" s="1845" t="s">
        <v>2098</v>
      </c>
      <c r="C104" s="1855"/>
      <c r="D104" s="1855"/>
      <c r="E104" s="1855"/>
      <c r="F104" s="1847">
        <v>0.05</v>
      </c>
    </row>
    <row r="105" spans="1:6" ht="26.5" thickBot="1">
      <c r="A105" s="1841" t="s">
        <v>1407</v>
      </c>
      <c r="B105" s="1845" t="s">
        <v>2099</v>
      </c>
      <c r="C105" s="1855"/>
      <c r="D105" s="1855"/>
      <c r="E105" s="1855"/>
      <c r="F105" s="1847">
        <v>0.05</v>
      </c>
    </row>
    <row r="106" spans="1:6" ht="26.5" thickBot="1">
      <c r="A106" s="1841" t="s">
        <v>1407</v>
      </c>
      <c r="B106" s="1845" t="s">
        <v>2100</v>
      </c>
      <c r="C106" s="1855"/>
      <c r="D106" s="1855"/>
      <c r="E106" s="1855"/>
      <c r="F106" s="1847">
        <v>0.05</v>
      </c>
    </row>
    <row r="107" spans="1:6" ht="26.5" thickBot="1">
      <c r="A107" s="1841" t="s">
        <v>1407</v>
      </c>
      <c r="B107" s="1845" t="s">
        <v>2101</v>
      </c>
      <c r="C107" s="1855"/>
      <c r="D107" s="1855"/>
      <c r="E107" s="1855"/>
      <c r="F107" s="1847">
        <v>0.05</v>
      </c>
    </row>
    <row r="108" spans="1:6" ht="26.5" thickBot="1">
      <c r="A108" s="1841" t="s">
        <v>1407</v>
      </c>
      <c r="B108" s="1845" t="s">
        <v>2102</v>
      </c>
      <c r="C108" s="1855"/>
      <c r="D108" s="1855"/>
      <c r="E108" s="1855"/>
      <c r="F108" s="1847">
        <v>0.05</v>
      </c>
    </row>
    <row r="109" spans="1:6" ht="26.5" thickBot="1">
      <c r="A109" s="1849" t="s">
        <v>1407</v>
      </c>
      <c r="B109" s="1856" t="s">
        <v>2103</v>
      </c>
      <c r="C109" s="1852"/>
      <c r="D109" s="1852"/>
      <c r="E109" s="1852"/>
      <c r="F109" s="1857">
        <v>0.05</v>
      </c>
    </row>
    <row r="110" spans="1:6" ht="14.5" thickBot="1">
      <c r="A110" s="1841" t="s">
        <v>1409</v>
      </c>
      <c r="B110" s="1842" t="s">
        <v>2104</v>
      </c>
      <c r="C110" s="1843">
        <v>0.129</v>
      </c>
      <c r="D110" s="1843">
        <v>0.129</v>
      </c>
      <c r="E110" s="1843">
        <v>0.126</v>
      </c>
      <c r="F110" s="1844">
        <v>0.13</v>
      </c>
    </row>
    <row r="111" spans="1:6" ht="14.5" thickBot="1">
      <c r="A111" s="1841" t="s">
        <v>1409</v>
      </c>
      <c r="B111" s="1845" t="s">
        <v>1075</v>
      </c>
      <c r="C111" s="1846">
        <v>0.11</v>
      </c>
      <c r="D111" s="1846">
        <v>0.11</v>
      </c>
      <c r="E111" s="1846">
        <v>9.9000000000000005E-2</v>
      </c>
      <c r="F111" s="1847">
        <v>0.128</v>
      </c>
    </row>
    <row r="112" spans="1:6" ht="14.5" thickBot="1">
      <c r="A112" s="1841" t="s">
        <v>1409</v>
      </c>
      <c r="B112" s="1845" t="s">
        <v>1089</v>
      </c>
      <c r="C112" s="1846">
        <v>0.125</v>
      </c>
      <c r="D112" s="1846">
        <v>0.125</v>
      </c>
      <c r="E112" s="1846">
        <v>0.12</v>
      </c>
      <c r="F112" s="1847">
        <v>0.125</v>
      </c>
    </row>
    <row r="113" spans="1:6" ht="14.5" thickBot="1">
      <c r="A113" s="1841" t="s">
        <v>1409</v>
      </c>
      <c r="B113" s="1845" t="s">
        <v>1102</v>
      </c>
      <c r="C113" s="1846">
        <v>0.13</v>
      </c>
      <c r="D113" s="1846">
        <v>0.13</v>
      </c>
      <c r="E113" s="1846">
        <v>0.13</v>
      </c>
      <c r="F113" s="1847">
        <v>0.13</v>
      </c>
    </row>
    <row r="114" spans="1:6" ht="14.5" thickBot="1">
      <c r="A114" s="1841" t="s">
        <v>1409</v>
      </c>
      <c r="B114" s="1845" t="s">
        <v>1116</v>
      </c>
      <c r="C114" s="1846">
        <v>0.123</v>
      </c>
      <c r="D114" s="1846">
        <v>0.123</v>
      </c>
      <c r="E114" s="1846">
        <v>0.12</v>
      </c>
      <c r="F114" s="1847">
        <v>0.13</v>
      </c>
    </row>
    <row r="115" spans="1:6" ht="14.5" thickBot="1">
      <c r="A115" s="1841" t="s">
        <v>1409</v>
      </c>
      <c r="B115" s="1845" t="s">
        <v>1127</v>
      </c>
      <c r="C115" s="1846">
        <v>0.125</v>
      </c>
      <c r="D115" s="1846">
        <v>0.125</v>
      </c>
      <c r="E115" s="1846">
        <v>0.11700000000000001</v>
      </c>
      <c r="F115" s="1847">
        <v>0.13</v>
      </c>
    </row>
    <row r="116" spans="1:6" ht="14.5" thickBot="1">
      <c r="A116" s="1841" t="s">
        <v>1409</v>
      </c>
      <c r="B116" s="1845" t="s">
        <v>1138</v>
      </c>
      <c r="C116" s="1846">
        <v>0.11700000000000001</v>
      </c>
      <c r="D116" s="1846">
        <v>0.11700000000000001</v>
      </c>
      <c r="E116" s="1846">
        <v>8.7999999999999995E-2</v>
      </c>
      <c r="F116" s="1847">
        <v>0.13</v>
      </c>
    </row>
    <row r="117" spans="1:6" ht="14.5" thickBot="1">
      <c r="A117" s="1841" t="s">
        <v>1409</v>
      </c>
      <c r="B117" s="1845" t="s">
        <v>1149</v>
      </c>
      <c r="C117" s="1846">
        <v>0.13</v>
      </c>
      <c r="D117" s="1846">
        <v>0.13</v>
      </c>
      <c r="E117" s="1846">
        <v>0.129</v>
      </c>
      <c r="F117" s="1847">
        <v>0.13</v>
      </c>
    </row>
    <row r="118" spans="1:6" ht="14.5" thickBot="1">
      <c r="A118" s="1841" t="s">
        <v>1409</v>
      </c>
      <c r="B118" s="1845" t="s">
        <v>1161</v>
      </c>
      <c r="C118" s="1846">
        <v>0.123</v>
      </c>
      <c r="D118" s="1846">
        <v>0.123</v>
      </c>
      <c r="E118" s="1846">
        <v>0.11600000000000001</v>
      </c>
      <c r="F118" s="1847">
        <v>0.13</v>
      </c>
    </row>
    <row r="119" spans="1:6" ht="14.5" thickBot="1">
      <c r="A119" s="1841" t="s">
        <v>1409</v>
      </c>
      <c r="B119" s="1845" t="s">
        <v>1171</v>
      </c>
      <c r="C119" s="1846">
        <v>0.127</v>
      </c>
      <c r="D119" s="1846">
        <v>0.127</v>
      </c>
      <c r="E119" s="1846">
        <v>0.124</v>
      </c>
      <c r="F119" s="1847">
        <v>0.13</v>
      </c>
    </row>
    <row r="120" spans="1:6" ht="14.5" thickBot="1">
      <c r="A120" s="1841" t="s">
        <v>1409</v>
      </c>
      <c r="B120" s="1845" t="s">
        <v>1181</v>
      </c>
      <c r="C120" s="1846">
        <v>0.125</v>
      </c>
      <c r="D120" s="1846">
        <v>0.125</v>
      </c>
      <c r="E120" s="1846">
        <v>0.122</v>
      </c>
      <c r="F120" s="1847">
        <v>0.13</v>
      </c>
    </row>
    <row r="121" spans="1:6" ht="14.5" thickBot="1">
      <c r="A121" s="1841" t="s">
        <v>1409</v>
      </c>
      <c r="B121" s="1845" t="s">
        <v>1191</v>
      </c>
      <c r="C121" s="1846">
        <v>0.13</v>
      </c>
      <c r="D121" s="1846">
        <v>0.13</v>
      </c>
      <c r="E121" s="1846">
        <v>0.13</v>
      </c>
      <c r="F121" s="1847">
        <v>0.13</v>
      </c>
    </row>
    <row r="122" spans="1:6" ht="14.5" thickBot="1">
      <c r="A122" s="1841" t="s">
        <v>1409</v>
      </c>
      <c r="B122" s="1845" t="s">
        <v>1201</v>
      </c>
      <c r="C122" s="1846">
        <v>0.13</v>
      </c>
      <c r="D122" s="1846">
        <v>0.13</v>
      </c>
      <c r="E122" s="1846">
        <v>0.125</v>
      </c>
      <c r="F122" s="1847">
        <v>0.13</v>
      </c>
    </row>
    <row r="123" spans="1:6" ht="14.5" thickBot="1">
      <c r="A123" s="1841" t="s">
        <v>1409</v>
      </c>
      <c r="B123" s="1845" t="s">
        <v>1211</v>
      </c>
      <c r="C123" s="1846">
        <v>0.129</v>
      </c>
      <c r="D123" s="1846">
        <v>0.129</v>
      </c>
      <c r="E123" s="1846">
        <v>0.123</v>
      </c>
      <c r="F123" s="1847">
        <v>0.13</v>
      </c>
    </row>
    <row r="124" spans="1:6" ht="14.5" thickBot="1">
      <c r="A124" s="1841" t="s">
        <v>1409</v>
      </c>
      <c r="B124" s="1845" t="s">
        <v>1221</v>
      </c>
      <c r="C124" s="1846">
        <v>0.10199999999999999</v>
      </c>
      <c r="D124" s="1846">
        <v>0.10100000000000001</v>
      </c>
      <c r="E124" s="1846">
        <v>0.08</v>
      </c>
      <c r="F124" s="1854"/>
    </row>
    <row r="125" spans="1:6" ht="14.5" thickBot="1">
      <c r="A125" s="1841" t="s">
        <v>1409</v>
      </c>
      <c r="B125" s="1845" t="s">
        <v>1231</v>
      </c>
      <c r="C125" s="1846">
        <v>0.13</v>
      </c>
      <c r="D125" s="1846">
        <v>0.13</v>
      </c>
      <c r="E125" s="1846">
        <v>0.129</v>
      </c>
      <c r="F125" s="1854"/>
    </row>
    <row r="126" spans="1:6" ht="14.5" thickBot="1">
      <c r="A126" s="1841" t="s">
        <v>1409</v>
      </c>
      <c r="B126" s="1845" t="s">
        <v>1241</v>
      </c>
      <c r="C126" s="1846">
        <v>0.13</v>
      </c>
      <c r="D126" s="1846">
        <v>0.13</v>
      </c>
      <c r="E126" s="1846">
        <v>0.126</v>
      </c>
      <c r="F126" s="1854"/>
    </row>
    <row r="127" spans="1:6" ht="14.5" thickBot="1">
      <c r="A127" s="1841" t="s">
        <v>1409</v>
      </c>
      <c r="B127" s="1845" t="s">
        <v>1251</v>
      </c>
      <c r="C127" s="1846">
        <v>0.125</v>
      </c>
      <c r="D127" s="1846">
        <v>0.125</v>
      </c>
      <c r="E127" s="1846">
        <v>0.121</v>
      </c>
      <c r="F127" s="1854"/>
    </row>
    <row r="128" spans="1:6" ht="14.5" thickBot="1">
      <c r="A128" s="1841" t="s">
        <v>1409</v>
      </c>
      <c r="B128" s="1845" t="s">
        <v>1261</v>
      </c>
      <c r="C128" s="1846">
        <v>0.12</v>
      </c>
      <c r="D128" s="1846">
        <v>0.12</v>
      </c>
      <c r="E128" s="1846">
        <v>0.105</v>
      </c>
      <c r="F128" s="1854"/>
    </row>
    <row r="129" spans="1:6" ht="14.5" thickBot="1">
      <c r="A129" s="1841" t="s">
        <v>1409</v>
      </c>
      <c r="B129" s="1845" t="s">
        <v>1270</v>
      </c>
      <c r="C129" s="1846">
        <v>0.13</v>
      </c>
      <c r="D129" s="1846">
        <v>0.13</v>
      </c>
      <c r="E129" s="1846">
        <v>0.126</v>
      </c>
      <c r="F129" s="1854"/>
    </row>
    <row r="130" spans="1:6" ht="14.5" thickBot="1">
      <c r="A130" s="1841" t="s">
        <v>1409</v>
      </c>
      <c r="B130" s="1845" t="s">
        <v>1279</v>
      </c>
      <c r="C130" s="1846">
        <v>0.125</v>
      </c>
      <c r="D130" s="1846">
        <v>0.125</v>
      </c>
      <c r="E130" s="1846">
        <v>0.122</v>
      </c>
      <c r="F130" s="1854"/>
    </row>
    <row r="131" spans="1:6" ht="14.5" thickBot="1">
      <c r="A131" s="1841" t="s">
        <v>1409</v>
      </c>
      <c r="B131" s="1845" t="s">
        <v>1287</v>
      </c>
      <c r="C131" s="1846">
        <v>0.127</v>
      </c>
      <c r="D131" s="1846">
        <v>0.126</v>
      </c>
      <c r="E131" s="1846">
        <v>0.123</v>
      </c>
      <c r="F131" s="1854"/>
    </row>
    <row r="132" spans="1:6" ht="14.5" thickBot="1">
      <c r="A132" s="1841" t="s">
        <v>1409</v>
      </c>
      <c r="B132" s="1845" t="s">
        <v>1294</v>
      </c>
      <c r="C132" s="1846">
        <v>9.0999999999999998E-2</v>
      </c>
      <c r="D132" s="1846">
        <v>0.121</v>
      </c>
      <c r="E132" s="1846">
        <v>9.9000000000000005E-2</v>
      </c>
      <c r="F132" s="1854"/>
    </row>
    <row r="133" spans="1:6" ht="14.5" thickBot="1">
      <c r="A133" s="1841" t="s">
        <v>1409</v>
      </c>
      <c r="B133" s="1845" t="s">
        <v>1301</v>
      </c>
      <c r="C133" s="1846">
        <v>0.13</v>
      </c>
      <c r="D133" s="1846">
        <v>0.13</v>
      </c>
      <c r="E133" s="1846">
        <v>0.129</v>
      </c>
      <c r="F133" s="1854"/>
    </row>
    <row r="134" spans="1:6" ht="14.5" thickBot="1">
      <c r="A134" s="1841" t="s">
        <v>1409</v>
      </c>
      <c r="B134" s="1845" t="s">
        <v>2105</v>
      </c>
      <c r="C134" s="1846">
        <v>6.8000000000000005E-2</v>
      </c>
      <c r="D134" s="1846">
        <v>6.5000000000000002E-2</v>
      </c>
      <c r="E134" s="1846">
        <v>6.5000000000000002E-2</v>
      </c>
      <c r="F134" s="1847">
        <v>0.13</v>
      </c>
    </row>
    <row r="135" spans="1:6" ht="14.5" thickBot="1">
      <c r="A135" s="1841" t="s">
        <v>1409</v>
      </c>
      <c r="B135" s="1845" t="s">
        <v>1315</v>
      </c>
      <c r="C135" s="1846">
        <v>0.123</v>
      </c>
      <c r="D135" s="1846">
        <v>0.123</v>
      </c>
      <c r="E135" s="1846">
        <v>0.11</v>
      </c>
      <c r="F135" s="1854"/>
    </row>
    <row r="136" spans="1:6" ht="14.5" thickBot="1">
      <c r="A136" s="1841" t="s">
        <v>1409</v>
      </c>
      <c r="B136" s="1845" t="s">
        <v>1322</v>
      </c>
      <c r="C136" s="1846">
        <v>0.13</v>
      </c>
      <c r="D136" s="1846">
        <v>0.13</v>
      </c>
      <c r="E136" s="1846">
        <v>0.125</v>
      </c>
      <c r="F136" s="1854"/>
    </row>
    <row r="137" spans="1:6" ht="14.5" thickBot="1">
      <c r="A137" s="1841" t="s">
        <v>1409</v>
      </c>
      <c r="B137" s="1845" t="s">
        <v>1329</v>
      </c>
      <c r="C137" s="1846">
        <v>0.121</v>
      </c>
      <c r="D137" s="1846">
        <v>0.122</v>
      </c>
      <c r="E137" s="1846">
        <v>0.115</v>
      </c>
      <c r="F137" s="1854"/>
    </row>
    <row r="138" spans="1:6" ht="14.5" thickBot="1">
      <c r="A138" s="1841" t="s">
        <v>1409</v>
      </c>
      <c r="B138" s="1845" t="s">
        <v>2106</v>
      </c>
      <c r="C138" s="1846">
        <v>0.105</v>
      </c>
      <c r="D138" s="1846">
        <v>0.125</v>
      </c>
      <c r="E138" s="1846">
        <v>0.112</v>
      </c>
      <c r="F138" s="1854"/>
    </row>
    <row r="139" spans="1:6" ht="14.5" thickBot="1">
      <c r="A139" s="1841" t="s">
        <v>1409</v>
      </c>
      <c r="B139" s="1845" t="s">
        <v>2107</v>
      </c>
      <c r="C139" s="1846">
        <v>0.127</v>
      </c>
      <c r="D139" s="1846">
        <v>0.127</v>
      </c>
      <c r="E139" s="1846">
        <v>0.122</v>
      </c>
      <c r="F139" s="1847">
        <v>0.13</v>
      </c>
    </row>
    <row r="140" spans="1:6" ht="14.5" thickBot="1">
      <c r="A140" s="1841" t="s">
        <v>1409</v>
      </c>
      <c r="B140" s="1845" t="s">
        <v>2108</v>
      </c>
      <c r="C140" s="1846">
        <v>0.125</v>
      </c>
      <c r="D140" s="1846">
        <v>0.125</v>
      </c>
      <c r="E140" s="1846">
        <v>0.11899999999999999</v>
      </c>
      <c r="F140" s="1847">
        <v>0.13</v>
      </c>
    </row>
    <row r="141" spans="1:6" ht="14.5" thickBot="1">
      <c r="A141" s="1841" t="s">
        <v>1409</v>
      </c>
      <c r="B141" s="1845" t="s">
        <v>1348</v>
      </c>
      <c r="C141" s="1846">
        <v>0.125</v>
      </c>
      <c r="D141" s="1846">
        <v>0.125</v>
      </c>
      <c r="E141" s="1846">
        <v>0.11700000000000001</v>
      </c>
      <c r="F141" s="1854"/>
    </row>
    <row r="142" spans="1:6" ht="14.5" thickBot="1">
      <c r="A142" s="1841" t="s">
        <v>1409</v>
      </c>
      <c r="B142" s="1845" t="s">
        <v>1353</v>
      </c>
      <c r="C142" s="1846">
        <v>0.125</v>
      </c>
      <c r="D142" s="1846">
        <v>0.125</v>
      </c>
      <c r="E142" s="1846">
        <v>0.115</v>
      </c>
      <c r="F142" s="1854"/>
    </row>
    <row r="143" spans="1:6" ht="14.5" thickBot="1">
      <c r="A143" s="1841" t="s">
        <v>1409</v>
      </c>
      <c r="B143" s="1845" t="s">
        <v>1358</v>
      </c>
      <c r="C143" s="1846">
        <v>0.121</v>
      </c>
      <c r="D143" s="1846">
        <v>0.121</v>
      </c>
      <c r="E143" s="1846">
        <v>0.108</v>
      </c>
      <c r="F143" s="1854"/>
    </row>
    <row r="144" spans="1:6" ht="14.5" thickBot="1">
      <c r="A144" s="1841" t="s">
        <v>1409</v>
      </c>
      <c r="B144" s="1858" t="s">
        <v>2109</v>
      </c>
      <c r="C144" s="1859">
        <v>0.126</v>
      </c>
      <c r="D144" s="1859">
        <v>0.126</v>
      </c>
      <c r="E144" s="1859">
        <v>0.121</v>
      </c>
      <c r="F144" s="1854"/>
    </row>
    <row r="145" spans="1:6" ht="14.5" thickBot="1">
      <c r="A145" s="1849" t="s">
        <v>1409</v>
      </c>
      <c r="B145" s="1860" t="s">
        <v>2110</v>
      </c>
      <c r="C145" s="1861"/>
      <c r="D145" s="1861"/>
      <c r="E145" s="1861"/>
      <c r="F145" s="1862">
        <v>0.05</v>
      </c>
    </row>
    <row r="146" spans="1:6" ht="26.5" thickBot="1">
      <c r="A146" s="1863" t="s">
        <v>1409</v>
      </c>
      <c r="B146" s="1848" t="s">
        <v>2111</v>
      </c>
      <c r="C146" s="1855"/>
      <c r="D146" s="1855"/>
      <c r="E146" s="1855"/>
      <c r="F146" s="1864">
        <v>0.05</v>
      </c>
    </row>
    <row r="147" spans="1:6" ht="26.5" thickBot="1">
      <c r="A147" s="1841" t="s">
        <v>1409</v>
      </c>
      <c r="B147" s="1845" t="s">
        <v>2112</v>
      </c>
      <c r="C147" s="1855"/>
      <c r="D147" s="1855"/>
      <c r="E147" s="1855"/>
      <c r="F147" s="1847">
        <v>0.05</v>
      </c>
    </row>
    <row r="148" spans="1:6" ht="26.5" thickBot="1">
      <c r="A148" s="1841" t="s">
        <v>1409</v>
      </c>
      <c r="B148" s="1845" t="s">
        <v>2113</v>
      </c>
      <c r="C148" s="1855"/>
      <c r="D148" s="1855"/>
      <c r="E148" s="1855"/>
      <c r="F148" s="1847">
        <v>0.05</v>
      </c>
    </row>
    <row r="149" spans="1:6" ht="26.5" thickBot="1">
      <c r="A149" s="1841" t="s">
        <v>1409</v>
      </c>
      <c r="B149" s="1845" t="s">
        <v>2114</v>
      </c>
      <c r="C149" s="1855"/>
      <c r="D149" s="1855"/>
      <c r="E149" s="1855"/>
      <c r="F149" s="1847">
        <v>0.05</v>
      </c>
    </row>
    <row r="150" spans="1:6" ht="26.5" thickBot="1">
      <c r="A150" s="1841" t="s">
        <v>1409</v>
      </c>
      <c r="B150" s="1845" t="s">
        <v>2115</v>
      </c>
      <c r="C150" s="1855"/>
      <c r="D150" s="1855"/>
      <c r="E150" s="1855"/>
      <c r="F150" s="1847">
        <v>0.05</v>
      </c>
    </row>
    <row r="151" spans="1:6" ht="26.5" thickBot="1">
      <c r="A151" s="1841" t="s">
        <v>1409</v>
      </c>
      <c r="B151" s="1845" t="s">
        <v>2116</v>
      </c>
      <c r="C151" s="1855"/>
      <c r="D151" s="1855"/>
      <c r="E151" s="1855"/>
      <c r="F151" s="1847">
        <v>0.05</v>
      </c>
    </row>
    <row r="152" spans="1:6" ht="26.5" thickBot="1">
      <c r="A152" s="1841" t="s">
        <v>1409</v>
      </c>
      <c r="B152" s="1845" t="s">
        <v>1391</v>
      </c>
      <c r="C152" s="1855"/>
      <c r="D152" s="1855"/>
      <c r="E152" s="1855"/>
      <c r="F152" s="1847">
        <v>0.05</v>
      </c>
    </row>
    <row r="153" spans="1:6" ht="14.5" thickBot="1">
      <c r="A153" s="1841" t="s">
        <v>1409</v>
      </c>
      <c r="B153" s="1845" t="s">
        <v>2117</v>
      </c>
      <c r="C153" s="1855"/>
      <c r="D153" s="1855"/>
      <c r="E153" s="1855"/>
      <c r="F153" s="1847">
        <v>0.05</v>
      </c>
    </row>
    <row r="154" spans="1:6" ht="14.5" thickBot="1">
      <c r="A154" s="1841" t="s">
        <v>1409</v>
      </c>
      <c r="B154" s="1845" t="s">
        <v>2118</v>
      </c>
      <c r="C154" s="1855"/>
      <c r="D154" s="1855"/>
      <c r="E154" s="1855"/>
      <c r="F154" s="1847">
        <v>0.05</v>
      </c>
    </row>
    <row r="155" spans="1:6" ht="26.5" thickBot="1">
      <c r="A155" s="1841" t="s">
        <v>1409</v>
      </c>
      <c r="B155" s="1845" t="s">
        <v>2119</v>
      </c>
      <c r="C155" s="1855"/>
      <c r="D155" s="1855"/>
      <c r="E155" s="1855"/>
      <c r="F155" s="1847">
        <v>0.05</v>
      </c>
    </row>
    <row r="156" spans="1:6" ht="26.5" thickBot="1">
      <c r="A156" s="1841" t="s">
        <v>1409</v>
      </c>
      <c r="B156" s="1845" t="s">
        <v>2120</v>
      </c>
      <c r="C156" s="1855"/>
      <c r="D156" s="1855"/>
      <c r="E156" s="1855"/>
      <c r="F156" s="1847">
        <v>0.05</v>
      </c>
    </row>
    <row r="157" spans="1:6" ht="14.5" thickBot="1">
      <c r="A157" s="1849" t="s">
        <v>1409</v>
      </c>
      <c r="B157" s="1856" t="s">
        <v>2121</v>
      </c>
      <c r="C157" s="1852"/>
      <c r="D157" s="1852"/>
      <c r="E157" s="1852"/>
      <c r="F157" s="1857">
        <v>0.05</v>
      </c>
    </row>
    <row r="158" spans="1:6" ht="14.5" thickBot="1">
      <c r="A158" s="1841" t="s">
        <v>1411</v>
      </c>
      <c r="B158" s="1842" t="s">
        <v>2122</v>
      </c>
      <c r="C158" s="1843">
        <v>0.13</v>
      </c>
      <c r="D158" s="1843">
        <v>0.13</v>
      </c>
      <c r="E158" s="1843">
        <v>0.13</v>
      </c>
      <c r="F158" s="1844">
        <v>0.13</v>
      </c>
    </row>
    <row r="159" spans="1:6" ht="14.5" thickBot="1">
      <c r="A159" s="1841" t="s">
        <v>1411</v>
      </c>
      <c r="B159" s="1845" t="s">
        <v>1076</v>
      </c>
      <c r="C159" s="1846">
        <v>0.13</v>
      </c>
      <c r="D159" s="1846">
        <v>0.13</v>
      </c>
      <c r="E159" s="1846">
        <v>0.13</v>
      </c>
      <c r="F159" s="1847">
        <v>0.13</v>
      </c>
    </row>
    <row r="160" spans="1:6" ht="14.5" thickBot="1">
      <c r="A160" s="1841" t="s">
        <v>1411</v>
      </c>
      <c r="B160" s="1845" t="s">
        <v>1090</v>
      </c>
      <c r="C160" s="1846">
        <v>0.13</v>
      </c>
      <c r="D160" s="1846">
        <v>0.13</v>
      </c>
      <c r="E160" s="1846">
        <v>0.129</v>
      </c>
      <c r="F160" s="1847">
        <v>0.13</v>
      </c>
    </row>
    <row r="161" spans="1:6" ht="14.5" thickBot="1">
      <c r="A161" s="1841" t="s">
        <v>1411</v>
      </c>
      <c r="B161" s="1845" t="s">
        <v>1103</v>
      </c>
      <c r="C161" s="1846">
        <v>0.128</v>
      </c>
      <c r="D161" s="1846">
        <v>0.128</v>
      </c>
      <c r="E161" s="1846">
        <v>0.125</v>
      </c>
      <c r="F161" s="1847">
        <v>0.13</v>
      </c>
    </row>
    <row r="162" spans="1:6" ht="14.5" thickBot="1">
      <c r="A162" s="1841" t="s">
        <v>1411</v>
      </c>
      <c r="B162" s="1845" t="s">
        <v>1117</v>
      </c>
      <c r="C162" s="1846">
        <v>0.122</v>
      </c>
      <c r="D162" s="1846">
        <v>0.122</v>
      </c>
      <c r="E162" s="1846">
        <v>0.126</v>
      </c>
      <c r="F162" s="1847">
        <v>0.122</v>
      </c>
    </row>
    <row r="163" spans="1:6" ht="14.5" thickBot="1">
      <c r="A163" s="1841" t="s">
        <v>1411</v>
      </c>
      <c r="B163" s="1845" t="s">
        <v>1128</v>
      </c>
      <c r="C163" s="1846">
        <v>0.13</v>
      </c>
      <c r="D163" s="1846">
        <v>0.13</v>
      </c>
      <c r="E163" s="1846">
        <v>0.125</v>
      </c>
      <c r="F163" s="1847">
        <v>0.13</v>
      </c>
    </row>
    <row r="164" spans="1:6" ht="14.5" thickBot="1">
      <c r="A164" s="1841" t="s">
        <v>1411</v>
      </c>
      <c r="B164" s="1845" t="s">
        <v>1139</v>
      </c>
      <c r="C164" s="1846">
        <v>0.13</v>
      </c>
      <c r="D164" s="1846">
        <v>0.13</v>
      </c>
      <c r="E164" s="1846">
        <v>0.13</v>
      </c>
      <c r="F164" s="1847">
        <v>0.13</v>
      </c>
    </row>
    <row r="165" spans="1:6" ht="14.5" thickBot="1">
      <c r="A165" s="1841" t="s">
        <v>1411</v>
      </c>
      <c r="B165" s="1845" t="s">
        <v>1150</v>
      </c>
      <c r="C165" s="1846">
        <v>0.13</v>
      </c>
      <c r="D165" s="1846">
        <v>0.13</v>
      </c>
      <c r="E165" s="1846">
        <v>0.124</v>
      </c>
      <c r="F165" s="1847">
        <v>0.13</v>
      </c>
    </row>
    <row r="166" spans="1:6" ht="14.5" thickBot="1">
      <c r="A166" s="1841" t="s">
        <v>1411</v>
      </c>
      <c r="B166" s="1845" t="s">
        <v>1162</v>
      </c>
      <c r="C166" s="1846">
        <v>0.13</v>
      </c>
      <c r="D166" s="1846">
        <v>0.13</v>
      </c>
      <c r="E166" s="1846">
        <v>0.13</v>
      </c>
      <c r="F166" s="1847">
        <v>0.13</v>
      </c>
    </row>
    <row r="167" spans="1:6" ht="14.5" thickBot="1">
      <c r="A167" s="1841" t="s">
        <v>1411</v>
      </c>
      <c r="B167" s="1845" t="s">
        <v>1172</v>
      </c>
      <c r="C167" s="1846">
        <v>0.125</v>
      </c>
      <c r="D167" s="1846">
        <v>0.125</v>
      </c>
      <c r="E167" s="1846">
        <v>0.121</v>
      </c>
      <c r="F167" s="1854"/>
    </row>
    <row r="168" spans="1:6" ht="14.5" thickBot="1">
      <c r="A168" s="1841" t="s">
        <v>1411</v>
      </c>
      <c r="B168" s="1845" t="s">
        <v>1182</v>
      </c>
      <c r="C168" s="1846">
        <v>0.13</v>
      </c>
      <c r="D168" s="1846">
        <v>0.13</v>
      </c>
      <c r="E168" s="1846">
        <v>0.126</v>
      </c>
      <c r="F168" s="1854"/>
    </row>
    <row r="169" spans="1:6" ht="14.5" thickBot="1">
      <c r="A169" s="1841" t="s">
        <v>1411</v>
      </c>
      <c r="B169" s="1845" t="s">
        <v>1192</v>
      </c>
      <c r="C169" s="1846">
        <v>0.128</v>
      </c>
      <c r="D169" s="1846">
        <v>0.129</v>
      </c>
      <c r="E169" s="1846">
        <v>0.13</v>
      </c>
      <c r="F169" s="1854"/>
    </row>
    <row r="170" spans="1:6" ht="14.5" thickBot="1">
      <c r="A170" s="1841" t="s">
        <v>1411</v>
      </c>
      <c r="B170" s="1845" t="s">
        <v>1202</v>
      </c>
      <c r="C170" s="1846">
        <v>0.14099999999999999</v>
      </c>
      <c r="D170" s="1846">
        <v>0.13</v>
      </c>
      <c r="E170" s="1846">
        <v>0.125</v>
      </c>
      <c r="F170" s="1854"/>
    </row>
    <row r="171" spans="1:6" ht="14.5" thickBot="1">
      <c r="A171" s="1841" t="s">
        <v>1411</v>
      </c>
      <c r="B171" s="1845" t="s">
        <v>2123</v>
      </c>
      <c r="C171" s="1846">
        <v>0.127</v>
      </c>
      <c r="D171" s="1846">
        <v>0.126</v>
      </c>
      <c r="E171" s="1846">
        <v>0.126</v>
      </c>
      <c r="F171" s="1847">
        <v>0.11799999999999999</v>
      </c>
    </row>
    <row r="172" spans="1:6" ht="14.5" thickBot="1">
      <c r="A172" s="1841" t="s">
        <v>1411</v>
      </c>
      <c r="B172" s="1845" t="s">
        <v>2124</v>
      </c>
      <c r="C172" s="1846">
        <v>0.13</v>
      </c>
      <c r="D172" s="1846">
        <v>0.13</v>
      </c>
      <c r="E172" s="1846">
        <v>0.13</v>
      </c>
      <c r="F172" s="1854"/>
    </row>
    <row r="173" spans="1:6" ht="14.5" thickBot="1">
      <c r="A173" s="1841" t="s">
        <v>1411</v>
      </c>
      <c r="B173" s="1845" t="s">
        <v>1232</v>
      </c>
      <c r="C173" s="1846">
        <v>0.13</v>
      </c>
      <c r="D173" s="1846">
        <v>0.13</v>
      </c>
      <c r="E173" s="1846">
        <v>0.13</v>
      </c>
      <c r="F173" s="1854"/>
    </row>
    <row r="174" spans="1:6" ht="14.5" thickBot="1">
      <c r="A174" s="1841" t="s">
        <v>1411</v>
      </c>
      <c r="B174" s="1845" t="s">
        <v>2125</v>
      </c>
      <c r="C174" s="1846">
        <v>0.13</v>
      </c>
      <c r="D174" s="1846">
        <v>0.13</v>
      </c>
      <c r="E174" s="1846">
        <v>0.13</v>
      </c>
      <c r="F174" s="1847">
        <v>0.13</v>
      </c>
    </row>
    <row r="175" spans="1:6" ht="14.5" thickBot="1">
      <c r="A175" s="1841" t="s">
        <v>1411</v>
      </c>
      <c r="B175" s="1845" t="s">
        <v>2126</v>
      </c>
      <c r="C175" s="1846">
        <v>0.13</v>
      </c>
      <c r="D175" s="1846">
        <v>0.13</v>
      </c>
      <c r="E175" s="1846">
        <v>0.13</v>
      </c>
      <c r="F175" s="1847">
        <v>0.13</v>
      </c>
    </row>
    <row r="176" spans="1:6" ht="14.5" thickBot="1">
      <c r="A176" s="1841" t="s">
        <v>1411</v>
      </c>
      <c r="B176" s="1845" t="s">
        <v>1262</v>
      </c>
      <c r="C176" s="1846">
        <v>0.13</v>
      </c>
      <c r="D176" s="1846">
        <v>0.13</v>
      </c>
      <c r="E176" s="1846">
        <v>0.13</v>
      </c>
      <c r="F176" s="1847">
        <v>0.13</v>
      </c>
    </row>
    <row r="177" spans="1:6" ht="14.5" thickBot="1">
      <c r="A177" s="1841" t="s">
        <v>1411</v>
      </c>
      <c r="B177" s="1845" t="s">
        <v>2127</v>
      </c>
      <c r="C177" s="1846">
        <v>0.13</v>
      </c>
      <c r="D177" s="1846">
        <v>0.13</v>
      </c>
      <c r="E177" s="1846">
        <v>0.13</v>
      </c>
      <c r="F177" s="1847">
        <v>0.13</v>
      </c>
    </row>
    <row r="178" spans="1:6" ht="14.5" thickBot="1">
      <c r="A178" s="1841" t="s">
        <v>1411</v>
      </c>
      <c r="B178" s="1845" t="s">
        <v>1280</v>
      </c>
      <c r="C178" s="1846">
        <v>0.13</v>
      </c>
      <c r="D178" s="1846">
        <v>0.13</v>
      </c>
      <c r="E178" s="1846">
        <v>0.13</v>
      </c>
      <c r="F178" s="1847">
        <v>0.127</v>
      </c>
    </row>
    <row r="179" spans="1:6" ht="14.5" thickBot="1">
      <c r="A179" s="1841" t="s">
        <v>1411</v>
      </c>
      <c r="B179" s="1845" t="s">
        <v>1288</v>
      </c>
      <c r="C179" s="1846">
        <v>0.13</v>
      </c>
      <c r="D179" s="1846">
        <v>0.13</v>
      </c>
      <c r="E179" s="1846">
        <v>0.13</v>
      </c>
      <c r="F179" s="1854"/>
    </row>
    <row r="180" spans="1:6" ht="14.5" thickBot="1">
      <c r="A180" s="1841" t="s">
        <v>1411</v>
      </c>
      <c r="B180" s="1845" t="s">
        <v>2128</v>
      </c>
      <c r="C180" s="1846">
        <v>0.13</v>
      </c>
      <c r="D180" s="1846">
        <v>0.13</v>
      </c>
      <c r="E180" s="1846">
        <v>0.125</v>
      </c>
      <c r="F180" s="1847">
        <v>0.13</v>
      </c>
    </row>
    <row r="181" spans="1:6" ht="14.5" thickBot="1">
      <c r="A181" s="1841" t="s">
        <v>1411</v>
      </c>
      <c r="B181" s="1845" t="s">
        <v>1302</v>
      </c>
      <c r="C181" s="1846">
        <v>0.122</v>
      </c>
      <c r="D181" s="1846">
        <v>0.123</v>
      </c>
      <c r="E181" s="1846">
        <v>0.126</v>
      </c>
      <c r="F181" s="1847">
        <v>0.121</v>
      </c>
    </row>
    <row r="182" spans="1:6" ht="14.5" thickBot="1">
      <c r="A182" s="1841" t="s">
        <v>1411</v>
      </c>
      <c r="B182" s="1845" t="s">
        <v>1309</v>
      </c>
      <c r="C182" s="1846">
        <v>0.125</v>
      </c>
      <c r="D182" s="1846">
        <v>0.125</v>
      </c>
      <c r="E182" s="1846">
        <v>0.11700000000000001</v>
      </c>
      <c r="F182" s="1847">
        <v>0.13</v>
      </c>
    </row>
    <row r="183" spans="1:6" ht="14.5" thickBot="1">
      <c r="A183" s="1841" t="s">
        <v>1411</v>
      </c>
      <c r="B183" s="1845" t="s">
        <v>1316</v>
      </c>
      <c r="C183" s="1846">
        <v>0.127</v>
      </c>
      <c r="D183" s="1846">
        <v>0.127</v>
      </c>
      <c r="E183" s="1846">
        <v>0.128</v>
      </c>
      <c r="F183" s="1854"/>
    </row>
    <row r="184" spans="1:6" ht="14.5" thickBot="1">
      <c r="A184" s="1841" t="s">
        <v>1411</v>
      </c>
      <c r="B184" s="1845" t="s">
        <v>1323</v>
      </c>
      <c r="C184" s="1846">
        <v>0.125</v>
      </c>
      <c r="D184" s="1846">
        <v>0.125</v>
      </c>
      <c r="E184" s="1846">
        <v>0.127</v>
      </c>
      <c r="F184" s="1854"/>
    </row>
    <row r="185" spans="1:6" ht="14.5" thickBot="1">
      <c r="A185" s="1841" t="s">
        <v>1411</v>
      </c>
      <c r="B185" s="1845" t="s">
        <v>2129</v>
      </c>
      <c r="C185" s="1846">
        <v>0.127</v>
      </c>
      <c r="D185" s="1846">
        <v>0.127</v>
      </c>
      <c r="E185" s="1846">
        <v>0.128</v>
      </c>
      <c r="F185" s="1847">
        <v>0.13</v>
      </c>
    </row>
    <row r="186" spans="1:6" ht="26.5" thickBot="1">
      <c r="A186" s="1841" t="s">
        <v>1411</v>
      </c>
      <c r="B186" s="1845" t="s">
        <v>2130</v>
      </c>
      <c r="C186" s="1855"/>
      <c r="D186" s="1855"/>
      <c r="E186" s="1855"/>
      <c r="F186" s="1847">
        <v>0.05</v>
      </c>
    </row>
    <row r="187" spans="1:6" ht="14.5" thickBot="1">
      <c r="A187" s="1841" t="s">
        <v>1411</v>
      </c>
      <c r="B187" s="1845" t="s">
        <v>2131</v>
      </c>
      <c r="C187" s="1855"/>
      <c r="D187" s="1855"/>
      <c r="E187" s="1855"/>
      <c r="F187" s="1847">
        <v>0.05</v>
      </c>
    </row>
    <row r="188" spans="1:6" ht="26.5" thickBot="1">
      <c r="A188" s="1841" t="s">
        <v>1411</v>
      </c>
      <c r="B188" s="1845" t="s">
        <v>2132</v>
      </c>
      <c r="C188" s="1855"/>
      <c r="D188" s="1855"/>
      <c r="E188" s="1855"/>
      <c r="F188" s="1847">
        <v>0.05</v>
      </c>
    </row>
    <row r="189" spans="1:6" ht="26.5" thickBot="1">
      <c r="A189" s="1841" t="s">
        <v>1411</v>
      </c>
      <c r="B189" s="1845" t="s">
        <v>2133</v>
      </c>
      <c r="C189" s="1855"/>
      <c r="D189" s="1855"/>
      <c r="E189" s="1855"/>
      <c r="F189" s="1847">
        <v>0.05</v>
      </c>
    </row>
    <row r="190" spans="1:6" ht="26.5" thickBot="1">
      <c r="A190" s="1841" t="s">
        <v>1411</v>
      </c>
      <c r="B190" s="1845" t="s">
        <v>2134</v>
      </c>
      <c r="C190" s="1855"/>
      <c r="D190" s="1855"/>
      <c r="E190" s="1855"/>
      <c r="F190" s="1847">
        <v>0.05</v>
      </c>
    </row>
    <row r="191" spans="1:6" ht="26.5" thickBot="1">
      <c r="A191" s="1841" t="s">
        <v>1411</v>
      </c>
      <c r="B191" s="1845" t="s">
        <v>2135</v>
      </c>
      <c r="C191" s="1855"/>
      <c r="D191" s="1855"/>
      <c r="E191" s="1855"/>
      <c r="F191" s="1847">
        <v>0.05</v>
      </c>
    </row>
    <row r="192" spans="1:6" ht="26.5" thickBot="1">
      <c r="A192" s="1841" t="s">
        <v>1411</v>
      </c>
      <c r="B192" s="1845" t="s">
        <v>2136</v>
      </c>
      <c r="C192" s="1855"/>
      <c r="D192" s="1855"/>
      <c r="E192" s="1855"/>
      <c r="F192" s="1847">
        <v>0.05</v>
      </c>
    </row>
    <row r="193" spans="1:6" ht="26.5" thickBot="1">
      <c r="A193" s="1841" t="s">
        <v>1411</v>
      </c>
      <c r="B193" s="1845" t="s">
        <v>2137</v>
      </c>
      <c r="C193" s="1855"/>
      <c r="D193" s="1855"/>
      <c r="E193" s="1855"/>
      <c r="F193" s="1847">
        <v>0.05</v>
      </c>
    </row>
    <row r="194" spans="1:6" ht="26.5" thickBot="1">
      <c r="A194" s="1841" t="s">
        <v>1411</v>
      </c>
      <c r="B194" s="1845" t="s">
        <v>2138</v>
      </c>
      <c r="C194" s="1855"/>
      <c r="D194" s="1855"/>
      <c r="E194" s="1855"/>
      <c r="F194" s="1847">
        <v>0.05</v>
      </c>
    </row>
    <row r="195" spans="1:6" ht="14.5" thickBot="1">
      <c r="A195" s="1841" t="s">
        <v>1411</v>
      </c>
      <c r="B195" s="1845" t="s">
        <v>2139</v>
      </c>
      <c r="C195" s="1855"/>
      <c r="D195" s="1855"/>
      <c r="E195" s="1855"/>
      <c r="F195" s="1847">
        <v>0.05</v>
      </c>
    </row>
    <row r="196" spans="1:6" ht="26.5" thickBot="1">
      <c r="A196" s="1841" t="s">
        <v>1411</v>
      </c>
      <c r="B196" s="1845" t="s">
        <v>2140</v>
      </c>
      <c r="C196" s="1855"/>
      <c r="D196" s="1855"/>
      <c r="E196" s="1855"/>
      <c r="F196" s="1847">
        <v>0.05</v>
      </c>
    </row>
    <row r="197" spans="1:6" ht="26.5" thickBot="1">
      <c r="A197" s="1841" t="s">
        <v>1411</v>
      </c>
      <c r="B197" s="1845" t="s">
        <v>2141</v>
      </c>
      <c r="C197" s="1855"/>
      <c r="D197" s="1855"/>
      <c r="E197" s="1855"/>
      <c r="F197" s="1847">
        <v>0.05</v>
      </c>
    </row>
    <row r="198" spans="1:6" ht="26.5" thickBot="1">
      <c r="A198" s="1841" t="s">
        <v>1411</v>
      </c>
      <c r="B198" s="1845" t="s">
        <v>2142</v>
      </c>
      <c r="C198" s="1855"/>
      <c r="D198" s="1855"/>
      <c r="E198" s="1855"/>
      <c r="F198" s="1847">
        <v>0.05</v>
      </c>
    </row>
    <row r="199" spans="1:6" ht="26.5" thickBot="1">
      <c r="A199" s="1841" t="s">
        <v>1411</v>
      </c>
      <c r="B199" s="1845" t="s">
        <v>2143</v>
      </c>
      <c r="C199" s="1855"/>
      <c r="D199" s="1855"/>
      <c r="E199" s="1855"/>
      <c r="F199" s="1847">
        <v>0.05</v>
      </c>
    </row>
    <row r="200" spans="1:6" ht="26.5" thickBot="1">
      <c r="A200" s="1841" t="s">
        <v>1411</v>
      </c>
      <c r="B200" s="1845" t="s">
        <v>2144</v>
      </c>
      <c r="C200" s="1855"/>
      <c r="D200" s="1855"/>
      <c r="E200" s="1855"/>
      <c r="F200" s="1847">
        <v>0.05</v>
      </c>
    </row>
    <row r="201" spans="1:6" ht="26.5" thickBot="1">
      <c r="A201" s="1841" t="s">
        <v>1411</v>
      </c>
      <c r="B201" s="1845" t="s">
        <v>2145</v>
      </c>
      <c r="C201" s="1855"/>
      <c r="D201" s="1855"/>
      <c r="E201" s="1855"/>
      <c r="F201" s="1847">
        <v>0.05</v>
      </c>
    </row>
    <row r="202" spans="1:6" ht="26.5" thickBot="1">
      <c r="A202" s="1841" t="s">
        <v>1411</v>
      </c>
      <c r="B202" s="1845" t="s">
        <v>2146</v>
      </c>
      <c r="C202" s="1855"/>
      <c r="D202" s="1855"/>
      <c r="E202" s="1855"/>
      <c r="F202" s="1847">
        <v>0.05</v>
      </c>
    </row>
    <row r="203" spans="1:6" ht="26.5" thickBot="1">
      <c r="A203" s="1841" t="s">
        <v>1411</v>
      </c>
      <c r="B203" s="1845" t="s">
        <v>2147</v>
      </c>
      <c r="C203" s="1855"/>
      <c r="D203" s="1855"/>
      <c r="E203" s="1855"/>
      <c r="F203" s="1847">
        <v>0.05</v>
      </c>
    </row>
    <row r="204" spans="1:6" ht="14.5" thickBot="1">
      <c r="A204" s="1841" t="s">
        <v>1411</v>
      </c>
      <c r="B204" s="1845" t="s">
        <v>2148</v>
      </c>
      <c r="C204" s="1855"/>
      <c r="D204" s="1855"/>
      <c r="E204" s="1855"/>
      <c r="F204" s="1847">
        <v>0.05</v>
      </c>
    </row>
    <row r="205" spans="1:6" ht="14.5" thickBot="1">
      <c r="A205" s="1849" t="s">
        <v>1411</v>
      </c>
      <c r="B205" s="1856" t="s">
        <v>2149</v>
      </c>
      <c r="C205" s="1852"/>
      <c r="D205" s="1852"/>
      <c r="E205" s="1852"/>
      <c r="F205" s="1857">
        <v>0.05</v>
      </c>
    </row>
    <row r="206" spans="1:6" ht="14.5" thickBot="1">
      <c r="A206" s="1841" t="s">
        <v>1413</v>
      </c>
      <c r="B206" s="1842" t="s">
        <v>2150</v>
      </c>
      <c r="C206" s="1843">
        <v>0.15</v>
      </c>
      <c r="D206" s="1843">
        <v>0.15</v>
      </c>
      <c r="E206" s="1843">
        <v>0.15</v>
      </c>
      <c r="F206" s="1844">
        <v>0.15</v>
      </c>
    </row>
    <row r="207" spans="1:6" ht="14.5" thickBot="1">
      <c r="A207" s="1841" t="s">
        <v>1413</v>
      </c>
      <c r="B207" s="1845" t="s">
        <v>1077</v>
      </c>
      <c r="C207" s="1846">
        <v>0.15</v>
      </c>
      <c r="D207" s="1846">
        <v>0.15</v>
      </c>
      <c r="E207" s="1846">
        <v>0.15</v>
      </c>
      <c r="F207" s="1847">
        <v>0.14399999999999999</v>
      </c>
    </row>
    <row r="208" spans="1:6" ht="14.5" thickBot="1">
      <c r="A208" s="1841" t="s">
        <v>1413</v>
      </c>
      <c r="B208" s="1845" t="s">
        <v>1091</v>
      </c>
      <c r="C208" s="1846">
        <v>0.15</v>
      </c>
      <c r="D208" s="1846">
        <v>0.15</v>
      </c>
      <c r="E208" s="1846">
        <v>0.15</v>
      </c>
      <c r="F208" s="1847">
        <v>0.15</v>
      </c>
    </row>
    <row r="209" spans="1:6" ht="14.5" thickBot="1">
      <c r="A209" s="1841" t="s">
        <v>1413</v>
      </c>
      <c r="B209" s="1845" t="s">
        <v>1104</v>
      </c>
      <c r="C209" s="1846">
        <v>0.13700000000000001</v>
      </c>
      <c r="D209" s="1846">
        <v>0.13700000000000001</v>
      </c>
      <c r="E209" s="1846">
        <v>0.14000000000000001</v>
      </c>
      <c r="F209" s="1847">
        <v>0.11700000000000001</v>
      </c>
    </row>
    <row r="210" spans="1:6" ht="14.5" thickBot="1">
      <c r="A210" s="1841" t="s">
        <v>1413</v>
      </c>
      <c r="B210" s="1845" t="s">
        <v>2151</v>
      </c>
      <c r="C210" s="1846">
        <v>0.15</v>
      </c>
      <c r="D210" s="1846">
        <v>0.15</v>
      </c>
      <c r="E210" s="1846">
        <v>0.15</v>
      </c>
      <c r="F210" s="1847">
        <v>0.13800000000000001</v>
      </c>
    </row>
    <row r="211" spans="1:6" ht="14.5" thickBot="1">
      <c r="A211" s="1841" t="s">
        <v>1413</v>
      </c>
      <c r="B211" s="1845" t="s">
        <v>2152</v>
      </c>
      <c r="C211" s="1846">
        <v>0.13700000000000001</v>
      </c>
      <c r="D211" s="1846">
        <v>0.13500000000000001</v>
      </c>
      <c r="E211" s="1846">
        <v>0.13600000000000001</v>
      </c>
      <c r="F211" s="1847">
        <v>0.1</v>
      </c>
    </row>
    <row r="212" spans="1:6" ht="14.5" thickBot="1">
      <c r="A212" s="1841" t="s">
        <v>1413</v>
      </c>
      <c r="B212" s="1845" t="s">
        <v>2153</v>
      </c>
      <c r="C212" s="1846">
        <v>0.15</v>
      </c>
      <c r="D212" s="1846">
        <v>0.15</v>
      </c>
      <c r="E212" s="1846">
        <v>0.14799999999999999</v>
      </c>
      <c r="F212" s="1847">
        <v>0.13600000000000001</v>
      </c>
    </row>
    <row r="213" spans="1:6" ht="14.5" thickBot="1">
      <c r="A213" s="1841" t="s">
        <v>1413</v>
      </c>
      <c r="B213" s="1845" t="s">
        <v>1151</v>
      </c>
      <c r="C213" s="1846">
        <v>0.15</v>
      </c>
      <c r="D213" s="1846">
        <v>0.15</v>
      </c>
      <c r="E213" s="1846">
        <v>0.15</v>
      </c>
      <c r="F213" s="1847">
        <v>0.13800000000000001</v>
      </c>
    </row>
    <row r="214" spans="1:6" ht="14.5" thickBot="1">
      <c r="A214" s="1841" t="s">
        <v>1413</v>
      </c>
      <c r="B214" s="1845" t="s">
        <v>1163</v>
      </c>
      <c r="C214" s="1846">
        <v>9.0999999999999998E-2</v>
      </c>
      <c r="D214" s="1846">
        <v>0.09</v>
      </c>
      <c r="E214" s="1846">
        <v>9.1999999999999998E-2</v>
      </c>
      <c r="F214" s="1854"/>
    </row>
    <row r="215" spans="1:6" ht="14.5" thickBot="1">
      <c r="A215" s="1841" t="s">
        <v>1413</v>
      </c>
      <c r="B215" s="1845" t="s">
        <v>2154</v>
      </c>
      <c r="C215" s="1846">
        <v>0.15</v>
      </c>
      <c r="D215" s="1846">
        <v>0.15</v>
      </c>
      <c r="E215" s="1846">
        <v>0.15</v>
      </c>
      <c r="F215" s="1847">
        <v>0.15</v>
      </c>
    </row>
    <row r="216" spans="1:6" ht="14.5" thickBot="1">
      <c r="A216" s="1841" t="s">
        <v>1413</v>
      </c>
      <c r="B216" s="1845" t="s">
        <v>1183</v>
      </c>
      <c r="C216" s="1846">
        <v>0.14699999999999999</v>
      </c>
      <c r="D216" s="1846">
        <v>0.14699999999999999</v>
      </c>
      <c r="E216" s="1846">
        <v>0.15</v>
      </c>
      <c r="F216" s="1847">
        <v>0.14000000000000001</v>
      </c>
    </row>
    <row r="217" spans="1:6" ht="14.5" thickBot="1">
      <c r="A217" s="1841" t="s">
        <v>1413</v>
      </c>
      <c r="B217" s="1845" t="s">
        <v>1193</v>
      </c>
      <c r="C217" s="1846">
        <v>0.15</v>
      </c>
      <c r="D217" s="1846">
        <v>0.15</v>
      </c>
      <c r="E217" s="1846">
        <v>0.15</v>
      </c>
      <c r="F217" s="1847">
        <v>0.15</v>
      </c>
    </row>
    <row r="218" spans="1:6" ht="14.5" thickBot="1">
      <c r="A218" s="1841" t="s">
        <v>1413</v>
      </c>
      <c r="B218" s="1845" t="s">
        <v>2155</v>
      </c>
      <c r="C218" s="1846">
        <v>0.15</v>
      </c>
      <c r="D218" s="1846">
        <v>0.15</v>
      </c>
      <c r="E218" s="1846">
        <v>0.15</v>
      </c>
      <c r="F218" s="1847">
        <v>0.15</v>
      </c>
    </row>
    <row r="219" spans="1:6" ht="14.5" thickBot="1">
      <c r="A219" s="1841" t="s">
        <v>1413</v>
      </c>
      <c r="B219" s="1845" t="s">
        <v>1213</v>
      </c>
      <c r="C219" s="1846">
        <v>0.15</v>
      </c>
      <c r="D219" s="1846">
        <v>0.15</v>
      </c>
      <c r="E219" s="1846">
        <v>0.15</v>
      </c>
      <c r="F219" s="1847">
        <v>0.14799999999999999</v>
      </c>
    </row>
    <row r="220" spans="1:6" ht="14.5" thickBot="1">
      <c r="A220" s="1841" t="s">
        <v>1413</v>
      </c>
      <c r="B220" s="1845" t="s">
        <v>2156</v>
      </c>
      <c r="C220" s="1846">
        <v>0.15</v>
      </c>
      <c r="D220" s="1846">
        <v>0.15</v>
      </c>
      <c r="E220" s="1846">
        <v>0.15</v>
      </c>
      <c r="F220" s="1847">
        <v>0.15</v>
      </c>
    </row>
    <row r="221" spans="1:6" ht="14.5" thickBot="1">
      <c r="A221" s="1841" t="s">
        <v>1413</v>
      </c>
      <c r="B221" s="1845" t="s">
        <v>1233</v>
      </c>
      <c r="C221" s="1846"/>
      <c r="D221" s="1855"/>
      <c r="E221" s="1855"/>
      <c r="F221" s="1847">
        <v>0.14799999999999999</v>
      </c>
    </row>
    <row r="222" spans="1:6" ht="14.5" thickBot="1">
      <c r="A222" s="1841" t="s">
        <v>1413</v>
      </c>
      <c r="B222" s="1845" t="s">
        <v>1243</v>
      </c>
      <c r="C222" s="1846"/>
      <c r="D222" s="1855"/>
      <c r="E222" s="1855"/>
      <c r="F222" s="1847">
        <v>0.1</v>
      </c>
    </row>
    <row r="223" spans="1:6" ht="14.5" thickBot="1">
      <c r="A223" s="1841" t="s">
        <v>1413</v>
      </c>
      <c r="B223" s="1845" t="s">
        <v>1253</v>
      </c>
      <c r="C223" s="1846"/>
      <c r="D223" s="1855"/>
      <c r="E223" s="1855"/>
      <c r="F223" s="1847">
        <v>0.15</v>
      </c>
    </row>
    <row r="224" spans="1:6" ht="14.5" thickBot="1">
      <c r="A224" s="1841" t="s">
        <v>1413</v>
      </c>
      <c r="B224" s="1845" t="s">
        <v>1263</v>
      </c>
      <c r="C224" s="1846"/>
      <c r="D224" s="1855"/>
      <c r="E224" s="1855"/>
      <c r="F224" s="1847">
        <v>0.15</v>
      </c>
    </row>
    <row r="225" spans="1:6" ht="14.5" thickBot="1">
      <c r="A225" s="1841" t="s">
        <v>1413</v>
      </c>
      <c r="B225" s="1845" t="s">
        <v>2157</v>
      </c>
      <c r="C225" s="1846">
        <v>0.15</v>
      </c>
      <c r="D225" s="1846">
        <v>0.15</v>
      </c>
      <c r="E225" s="1846">
        <v>0.15</v>
      </c>
      <c r="F225" s="1847">
        <v>0.15</v>
      </c>
    </row>
    <row r="226" spans="1:6" ht="14.5" thickBot="1">
      <c r="A226" s="1841" t="s">
        <v>1413</v>
      </c>
      <c r="B226" s="1845" t="s">
        <v>1281</v>
      </c>
      <c r="C226" s="1846">
        <v>0.15</v>
      </c>
      <c r="D226" s="1846">
        <v>0.15</v>
      </c>
      <c r="E226" s="1846">
        <v>0.15</v>
      </c>
      <c r="F226" s="1847">
        <v>0.14799999999999999</v>
      </c>
    </row>
    <row r="227" spans="1:6" ht="14.5" thickBot="1">
      <c r="A227" s="1841" t="s">
        <v>1413</v>
      </c>
      <c r="B227" s="1845" t="s">
        <v>2158</v>
      </c>
      <c r="C227" s="1846">
        <v>0.15</v>
      </c>
      <c r="D227" s="1846">
        <v>0.15</v>
      </c>
      <c r="E227" s="1846">
        <v>0.15</v>
      </c>
      <c r="F227" s="1847">
        <v>0.15</v>
      </c>
    </row>
    <row r="228" spans="1:6" ht="14.5" thickBot="1">
      <c r="A228" s="1841" t="s">
        <v>1413</v>
      </c>
      <c r="B228" s="1845" t="s">
        <v>1296</v>
      </c>
      <c r="C228" s="1846">
        <v>0.15</v>
      </c>
      <c r="D228" s="1846">
        <v>0.15</v>
      </c>
      <c r="E228" s="1846">
        <v>0.15</v>
      </c>
      <c r="F228" s="1847">
        <v>0.15</v>
      </c>
    </row>
    <row r="229" spans="1:6" ht="14.5" thickBot="1">
      <c r="A229" s="1841" t="s">
        <v>1413</v>
      </c>
      <c r="B229" s="1845" t="s">
        <v>1303</v>
      </c>
      <c r="C229" s="1846">
        <v>0.15</v>
      </c>
      <c r="D229" s="1846">
        <v>0.15</v>
      </c>
      <c r="E229" s="1846">
        <v>0.15</v>
      </c>
      <c r="F229" s="1854"/>
    </row>
    <row r="230" spans="1:6" ht="14.5" thickBot="1">
      <c r="A230" s="1841" t="s">
        <v>1413</v>
      </c>
      <c r="B230" s="1845" t="s">
        <v>1310</v>
      </c>
      <c r="C230" s="1846">
        <v>0.14499999999999999</v>
      </c>
      <c r="D230" s="1846">
        <v>0.14499999999999999</v>
      </c>
      <c r="E230" s="1846">
        <v>0.14399999999999999</v>
      </c>
      <c r="F230" s="1854"/>
    </row>
    <row r="231" spans="1:6" ht="14.5" thickBot="1">
      <c r="A231" s="1841" t="s">
        <v>1413</v>
      </c>
      <c r="B231" s="1845" t="s">
        <v>2159</v>
      </c>
      <c r="C231" s="1846">
        <v>0.128</v>
      </c>
      <c r="D231" s="1846">
        <v>0.125</v>
      </c>
      <c r="E231" s="1846">
        <v>0.13200000000000001</v>
      </c>
      <c r="F231" s="1854"/>
    </row>
    <row r="232" spans="1:6" ht="14.5" thickBot="1">
      <c r="A232" s="1841" t="s">
        <v>1413</v>
      </c>
      <c r="B232" s="1845" t="s">
        <v>2160</v>
      </c>
      <c r="C232" s="1846">
        <v>0.14499999999999999</v>
      </c>
      <c r="D232" s="1846">
        <v>0.14399999999999999</v>
      </c>
      <c r="E232" s="1846">
        <v>0.14599999999999999</v>
      </c>
      <c r="F232" s="1847">
        <v>0.13800000000000001</v>
      </c>
    </row>
    <row r="233" spans="1:6" ht="14.5" thickBot="1">
      <c r="A233" s="1841" t="s">
        <v>1413</v>
      </c>
      <c r="B233" s="1845" t="s">
        <v>2161</v>
      </c>
      <c r="C233" s="1846">
        <v>0.14499999999999999</v>
      </c>
      <c r="D233" s="1846">
        <v>0.14299999999999999</v>
      </c>
      <c r="E233" s="1846">
        <v>0.14199999999999999</v>
      </c>
      <c r="F233" s="1854"/>
    </row>
    <row r="234" spans="1:6" ht="14.5" thickBot="1">
      <c r="A234" s="1841" t="s">
        <v>1413</v>
      </c>
      <c r="B234" s="1845" t="s">
        <v>2162</v>
      </c>
      <c r="C234" s="1846">
        <v>0.14000000000000001</v>
      </c>
      <c r="D234" s="1846">
        <v>0.14000000000000001</v>
      </c>
      <c r="E234" s="1846">
        <v>0.14399999999999999</v>
      </c>
      <c r="F234" s="1854"/>
    </row>
    <row r="235" spans="1:6" ht="14.5" thickBot="1">
      <c r="A235" s="1841" t="s">
        <v>1413</v>
      </c>
      <c r="B235" s="1845" t="s">
        <v>2163</v>
      </c>
      <c r="C235" s="1846">
        <v>0.14099999999999999</v>
      </c>
      <c r="D235" s="1846">
        <v>0.14199999999999999</v>
      </c>
      <c r="E235" s="1846">
        <v>0.14499999999999999</v>
      </c>
      <c r="F235" s="1847">
        <v>0.15</v>
      </c>
    </row>
    <row r="236" spans="1:6" ht="14.5" thickBot="1">
      <c r="A236" s="1841" t="s">
        <v>1413</v>
      </c>
      <c r="B236" s="1845" t="s">
        <v>1345</v>
      </c>
      <c r="C236" s="1855"/>
      <c r="D236" s="1855"/>
      <c r="E236" s="1855"/>
      <c r="F236" s="1847">
        <v>0.14299999999999999</v>
      </c>
    </row>
    <row r="237" spans="1:6" ht="26.5" thickBot="1">
      <c r="A237" s="1841" t="s">
        <v>1413</v>
      </c>
      <c r="B237" s="1845" t="s">
        <v>2164</v>
      </c>
      <c r="C237" s="1855"/>
      <c r="D237" s="1855"/>
      <c r="E237" s="1855"/>
      <c r="F237" s="1847">
        <v>0.05</v>
      </c>
    </row>
    <row r="238" spans="1:6" ht="26.5" thickBot="1">
      <c r="A238" s="1841" t="s">
        <v>1413</v>
      </c>
      <c r="B238" s="1845" t="s">
        <v>2165</v>
      </c>
      <c r="C238" s="1855"/>
      <c r="D238" s="1855"/>
      <c r="E238" s="1855"/>
      <c r="F238" s="1847">
        <v>0.05</v>
      </c>
    </row>
    <row r="239" spans="1:6" ht="26.5" thickBot="1">
      <c r="A239" s="1841" t="s">
        <v>1413</v>
      </c>
      <c r="B239" s="1845" t="s">
        <v>2166</v>
      </c>
      <c r="C239" s="1855"/>
      <c r="D239" s="1855"/>
      <c r="E239" s="1855"/>
      <c r="F239" s="1847">
        <v>0.05</v>
      </c>
    </row>
    <row r="240" spans="1:6" ht="26.5" thickBot="1">
      <c r="A240" s="1841" t="s">
        <v>1413</v>
      </c>
      <c r="B240" s="1845" t="s">
        <v>2167</v>
      </c>
      <c r="C240" s="1855"/>
      <c r="D240" s="1855"/>
      <c r="E240" s="1855"/>
      <c r="F240" s="1847">
        <v>0.05</v>
      </c>
    </row>
    <row r="241" spans="1:6" ht="26.5" thickBot="1">
      <c r="A241" s="1841" t="s">
        <v>1413</v>
      </c>
      <c r="B241" s="1845" t="s">
        <v>2168</v>
      </c>
      <c r="C241" s="1855"/>
      <c r="D241" s="1855"/>
      <c r="E241" s="1855"/>
      <c r="F241" s="1847">
        <v>0.05</v>
      </c>
    </row>
    <row r="242" spans="1:6" ht="26.5" thickBot="1">
      <c r="A242" s="1841" t="s">
        <v>1413</v>
      </c>
      <c r="B242" s="1845" t="s">
        <v>2169</v>
      </c>
      <c r="C242" s="1855"/>
      <c r="D242" s="1855"/>
      <c r="E242" s="1855"/>
      <c r="F242" s="1847">
        <v>0.05</v>
      </c>
    </row>
    <row r="243" spans="1:6" ht="26.5" thickBot="1">
      <c r="A243" s="1841" t="s">
        <v>1413</v>
      </c>
      <c r="B243" s="1845" t="s">
        <v>2170</v>
      </c>
      <c r="C243" s="1855"/>
      <c r="D243" s="1855"/>
      <c r="E243" s="1855"/>
      <c r="F243" s="1847">
        <v>0.05</v>
      </c>
    </row>
    <row r="244" spans="1:6" ht="26.5" thickBot="1">
      <c r="A244" s="1849" t="s">
        <v>1413</v>
      </c>
      <c r="B244" s="1856" t="s">
        <v>2171</v>
      </c>
      <c r="C244" s="1852"/>
      <c r="D244" s="1852"/>
      <c r="E244" s="1852"/>
      <c r="F244" s="1857">
        <v>0.05</v>
      </c>
    </row>
    <row r="245" spans="1:6" ht="14.5" thickBot="1">
      <c r="A245" s="1841" t="s">
        <v>1415</v>
      </c>
      <c r="B245" s="1842" t="s">
        <v>2172</v>
      </c>
      <c r="C245" s="1843">
        <v>0.15</v>
      </c>
      <c r="D245" s="1843">
        <v>0.15</v>
      </c>
      <c r="E245" s="1843">
        <v>0.15</v>
      </c>
      <c r="F245" s="1844">
        <v>0.14299999999999999</v>
      </c>
    </row>
    <row r="246" spans="1:6" ht="14.5" thickBot="1">
      <c r="A246" s="1841" t="s">
        <v>1415</v>
      </c>
      <c r="B246" s="1845" t="s">
        <v>1078</v>
      </c>
      <c r="C246" s="1846">
        <v>0.15</v>
      </c>
      <c r="D246" s="1846">
        <v>0.15</v>
      </c>
      <c r="E246" s="1846">
        <v>0.15</v>
      </c>
      <c r="F246" s="1847">
        <v>0.114</v>
      </c>
    </row>
    <row r="247" spans="1:6" ht="14.5" thickBot="1">
      <c r="A247" s="1841" t="s">
        <v>1415</v>
      </c>
      <c r="B247" s="1845" t="s">
        <v>2173</v>
      </c>
      <c r="C247" s="1846">
        <v>0.15</v>
      </c>
      <c r="D247" s="1846">
        <v>0.15</v>
      </c>
      <c r="E247" s="1846">
        <v>0.15</v>
      </c>
      <c r="F247" s="1847">
        <v>0.15</v>
      </c>
    </row>
    <row r="248" spans="1:6" ht="14.5" thickBot="1">
      <c r="A248" s="1841" t="s">
        <v>1415</v>
      </c>
      <c r="B248" s="1845" t="s">
        <v>2174</v>
      </c>
      <c r="C248" s="1846">
        <v>0.15</v>
      </c>
      <c r="D248" s="1846">
        <v>0.15</v>
      </c>
      <c r="E248" s="1846">
        <v>0.15</v>
      </c>
      <c r="F248" s="1847">
        <v>0.14000000000000001</v>
      </c>
    </row>
    <row r="249" spans="1:6" ht="14.5" thickBot="1">
      <c r="A249" s="1841" t="s">
        <v>1415</v>
      </c>
      <c r="B249" s="1845" t="s">
        <v>2175</v>
      </c>
      <c r="C249" s="1846">
        <v>0.15</v>
      </c>
      <c r="D249" s="1846">
        <v>0.14899999999999999</v>
      </c>
      <c r="E249" s="1846">
        <v>0.15</v>
      </c>
      <c r="F249" s="1847">
        <v>0.1</v>
      </c>
    </row>
    <row r="250" spans="1:6" ht="14.5" thickBot="1">
      <c r="A250" s="1841" t="s">
        <v>1415</v>
      </c>
      <c r="B250" s="1845" t="s">
        <v>2176</v>
      </c>
      <c r="C250" s="1846">
        <v>0.15</v>
      </c>
      <c r="D250" s="1846">
        <v>0.15</v>
      </c>
      <c r="E250" s="1846">
        <v>0.15</v>
      </c>
      <c r="F250" s="1847">
        <v>0.14399999999999999</v>
      </c>
    </row>
    <row r="251" spans="1:6" ht="14.5" thickBot="1">
      <c r="A251" s="1841" t="s">
        <v>1415</v>
      </c>
      <c r="B251" s="1845" t="s">
        <v>1141</v>
      </c>
      <c r="C251" s="1846">
        <v>0.15</v>
      </c>
      <c r="D251" s="1846">
        <v>0.15</v>
      </c>
      <c r="E251" s="1846">
        <v>0.15</v>
      </c>
      <c r="F251" s="1847">
        <v>0.14299999999999999</v>
      </c>
    </row>
    <row r="252" spans="1:6" ht="14.5" thickBot="1">
      <c r="A252" s="1841" t="s">
        <v>1415</v>
      </c>
      <c r="B252" s="1845" t="s">
        <v>1152</v>
      </c>
      <c r="C252" s="1846">
        <v>0.15</v>
      </c>
      <c r="D252" s="1846">
        <v>0.15</v>
      </c>
      <c r="E252" s="1846">
        <v>0.15</v>
      </c>
      <c r="F252" s="1847">
        <v>0.1</v>
      </c>
    </row>
    <row r="253" spans="1:6" ht="14.5" thickBot="1">
      <c r="A253" s="1841" t="s">
        <v>1415</v>
      </c>
      <c r="B253" s="1845" t="s">
        <v>1164</v>
      </c>
      <c r="C253" s="1846">
        <v>0.15</v>
      </c>
      <c r="D253" s="1846">
        <v>0.15</v>
      </c>
      <c r="E253" s="1846">
        <v>0.15</v>
      </c>
      <c r="F253" s="1847">
        <v>0.1</v>
      </c>
    </row>
    <row r="254" spans="1:6" ht="14.5" thickBot="1">
      <c r="A254" s="1841" t="s">
        <v>1415</v>
      </c>
      <c r="B254" s="1845" t="s">
        <v>1174</v>
      </c>
      <c r="C254" s="1855"/>
      <c r="D254" s="1855"/>
      <c r="E254" s="1855"/>
      <c r="F254" s="1847">
        <v>0.15</v>
      </c>
    </row>
    <row r="255" spans="1:6" ht="14.5" thickBot="1">
      <c r="A255" s="1841" t="s">
        <v>1415</v>
      </c>
      <c r="B255" s="1845" t="s">
        <v>1184</v>
      </c>
      <c r="C255" s="1855"/>
      <c r="D255" s="1855"/>
      <c r="E255" s="1855"/>
      <c r="F255" s="1847">
        <v>0.14299999999999999</v>
      </c>
    </row>
    <row r="256" spans="1:6" ht="14.5" thickBot="1">
      <c r="A256" s="1841" t="s">
        <v>1415</v>
      </c>
      <c r="B256" s="1845" t="s">
        <v>2177</v>
      </c>
      <c r="C256" s="1846">
        <v>0.14599999999999999</v>
      </c>
      <c r="D256" s="1846">
        <v>0.14699999999999999</v>
      </c>
      <c r="E256" s="1846">
        <v>0.15</v>
      </c>
      <c r="F256" s="1847">
        <v>0.13200000000000001</v>
      </c>
    </row>
    <row r="257" spans="1:6" ht="14.5" thickBot="1">
      <c r="A257" s="1841" t="s">
        <v>1415</v>
      </c>
      <c r="B257" s="1845" t="s">
        <v>1204</v>
      </c>
      <c r="C257" s="1846">
        <v>0.15</v>
      </c>
      <c r="D257" s="1846">
        <v>0.15</v>
      </c>
      <c r="E257" s="1846">
        <v>0.15</v>
      </c>
      <c r="F257" s="1847">
        <v>0.13900000000000001</v>
      </c>
    </row>
    <row r="258" spans="1:6" ht="14.5" thickBot="1">
      <c r="A258" s="1841" t="s">
        <v>1415</v>
      </c>
      <c r="B258" s="1845" t="s">
        <v>1214</v>
      </c>
      <c r="C258" s="1846">
        <v>0.15</v>
      </c>
      <c r="D258" s="1846">
        <v>0.15</v>
      </c>
      <c r="E258" s="1846">
        <v>0.15</v>
      </c>
      <c r="F258" s="1847">
        <v>0.13</v>
      </c>
    </row>
    <row r="259" spans="1:6" ht="14.5" thickBot="1">
      <c r="A259" s="1841" t="s">
        <v>1415</v>
      </c>
      <c r="B259" s="1845" t="s">
        <v>2178</v>
      </c>
      <c r="C259" s="1846">
        <v>0.14799999999999999</v>
      </c>
      <c r="D259" s="1846">
        <v>0.14899999999999999</v>
      </c>
      <c r="E259" s="1846">
        <v>0.15</v>
      </c>
      <c r="F259" s="1847">
        <v>0.13700000000000001</v>
      </c>
    </row>
    <row r="260" spans="1:6" ht="14.5" thickBot="1">
      <c r="A260" s="1841" t="s">
        <v>1415</v>
      </c>
      <c r="B260" s="1845" t="s">
        <v>1234</v>
      </c>
      <c r="C260" s="1846">
        <v>0.15</v>
      </c>
      <c r="D260" s="1846">
        <v>0.15</v>
      </c>
      <c r="E260" s="1846">
        <v>0.15</v>
      </c>
      <c r="F260" s="1847">
        <v>0.14199999999999999</v>
      </c>
    </row>
    <row r="261" spans="1:6" ht="14.5" thickBot="1">
      <c r="A261" s="1841" t="s">
        <v>1415</v>
      </c>
      <c r="B261" s="1845" t="s">
        <v>1244</v>
      </c>
      <c r="C261" s="1846">
        <v>0.15</v>
      </c>
      <c r="D261" s="1846">
        <v>0.15</v>
      </c>
      <c r="E261" s="1846">
        <v>0.14899999999999999</v>
      </c>
      <c r="F261" s="1847">
        <v>0.14799999999999999</v>
      </c>
    </row>
    <row r="262" spans="1:6" ht="14.5" thickBot="1">
      <c r="A262" s="1841" t="s">
        <v>1415</v>
      </c>
      <c r="B262" s="1845" t="s">
        <v>1254</v>
      </c>
      <c r="C262" s="1846">
        <v>0.15</v>
      </c>
      <c r="D262" s="1846">
        <v>0.15</v>
      </c>
      <c r="E262" s="1846">
        <v>0.15</v>
      </c>
      <c r="F262" s="1854"/>
    </row>
    <row r="263" spans="1:6" ht="14.5" thickBot="1">
      <c r="A263" s="1841" t="s">
        <v>1415</v>
      </c>
      <c r="B263" s="1845" t="s">
        <v>2179</v>
      </c>
      <c r="C263" s="1846">
        <v>0.14899999999999999</v>
      </c>
      <c r="D263" s="1846">
        <v>0.14899999999999999</v>
      </c>
      <c r="E263" s="1846">
        <v>0.15</v>
      </c>
      <c r="F263" s="1847">
        <v>0.13</v>
      </c>
    </row>
    <row r="264" spans="1:6" ht="14.5" thickBot="1">
      <c r="A264" s="1841" t="s">
        <v>1415</v>
      </c>
      <c r="B264" s="1845" t="s">
        <v>1273</v>
      </c>
      <c r="C264" s="1846">
        <v>0.14799999999999999</v>
      </c>
      <c r="D264" s="1846">
        <v>0.14699999999999999</v>
      </c>
      <c r="E264" s="1846">
        <v>0.15</v>
      </c>
      <c r="F264" s="1847">
        <v>7.8E-2</v>
      </c>
    </row>
    <row r="265" spans="1:6" ht="14.5" thickBot="1">
      <c r="A265" s="1841" t="s">
        <v>1415</v>
      </c>
      <c r="B265" s="1845" t="s">
        <v>1282</v>
      </c>
      <c r="C265" s="1846">
        <v>0.15</v>
      </c>
      <c r="D265" s="1846">
        <v>0.15</v>
      </c>
      <c r="E265" s="1846">
        <v>0.15</v>
      </c>
      <c r="F265" s="1847">
        <v>7.3999999999999996E-2</v>
      </c>
    </row>
    <row r="266" spans="1:6" ht="14.5" thickBot="1">
      <c r="A266" s="1841" t="s">
        <v>1415</v>
      </c>
      <c r="B266" s="1845" t="s">
        <v>1290</v>
      </c>
      <c r="C266" s="1846">
        <v>0.14699999999999999</v>
      </c>
      <c r="D266" s="1846">
        <v>0.14699999999999999</v>
      </c>
      <c r="E266" s="1846">
        <v>0.15</v>
      </c>
      <c r="F266" s="1847">
        <v>0.14299999999999999</v>
      </c>
    </row>
    <row r="267" spans="1:6" ht="14.5" thickBot="1">
      <c r="A267" s="1841" t="s">
        <v>1415</v>
      </c>
      <c r="B267" s="1845" t="s">
        <v>1297</v>
      </c>
      <c r="C267" s="1846">
        <v>0.14199999999999999</v>
      </c>
      <c r="D267" s="1846">
        <v>0.14299999999999999</v>
      </c>
      <c r="E267" s="1846">
        <v>0.15</v>
      </c>
      <c r="F267" s="1854"/>
    </row>
    <row r="268" spans="1:6" ht="14.5" thickBot="1">
      <c r="A268" s="1841" t="s">
        <v>1415</v>
      </c>
      <c r="B268" s="1845" t="s">
        <v>2180</v>
      </c>
      <c r="C268" s="1846">
        <v>0.15</v>
      </c>
      <c r="D268" s="1846">
        <v>0.15</v>
      </c>
      <c r="E268" s="1846">
        <v>0.15</v>
      </c>
      <c r="F268" s="1847">
        <v>0.13</v>
      </c>
    </row>
    <row r="269" spans="1:6" ht="14.5" thickBot="1">
      <c r="A269" s="1841" t="s">
        <v>1415</v>
      </c>
      <c r="B269" s="1845" t="s">
        <v>1311</v>
      </c>
      <c r="C269" s="1846">
        <v>0.15</v>
      </c>
      <c r="D269" s="1846">
        <v>0.15</v>
      </c>
      <c r="E269" s="1846">
        <v>0.15</v>
      </c>
      <c r="F269" s="1847">
        <v>0.14299999999999999</v>
      </c>
    </row>
    <row r="270" spans="1:6" ht="14.5" thickBot="1">
      <c r="A270" s="1841" t="s">
        <v>1415</v>
      </c>
      <c r="B270" s="1845" t="s">
        <v>1318</v>
      </c>
      <c r="C270" s="1846">
        <v>0.14499999999999999</v>
      </c>
      <c r="D270" s="1846">
        <v>0.14499999999999999</v>
      </c>
      <c r="E270" s="1846">
        <v>0.15</v>
      </c>
      <c r="F270" s="1847">
        <v>0.14699999999999999</v>
      </c>
    </row>
    <row r="271" spans="1:6" ht="14.5" thickBot="1">
      <c r="A271" s="1841" t="s">
        <v>1415</v>
      </c>
      <c r="B271" s="1845" t="s">
        <v>1325</v>
      </c>
      <c r="C271" s="1846">
        <v>0.15</v>
      </c>
      <c r="D271" s="1846">
        <v>0.15</v>
      </c>
      <c r="E271" s="1846">
        <v>0.15</v>
      </c>
      <c r="F271" s="1847">
        <v>0.13800000000000001</v>
      </c>
    </row>
    <row r="272" spans="1:6" ht="14.5" thickBot="1">
      <c r="A272" s="1841" t="s">
        <v>1415</v>
      </c>
      <c r="B272" s="1845" t="s">
        <v>1332</v>
      </c>
      <c r="C272" s="1855"/>
      <c r="D272" s="1855"/>
      <c r="E272" s="1855"/>
      <c r="F272" s="1847">
        <v>0.14000000000000001</v>
      </c>
    </row>
    <row r="273" spans="1:6" ht="14.5" thickBot="1">
      <c r="A273" s="1841" t="s">
        <v>1415</v>
      </c>
      <c r="B273" s="1845" t="s">
        <v>2181</v>
      </c>
      <c r="C273" s="1846">
        <v>0.14199999999999999</v>
      </c>
      <c r="D273" s="1846">
        <v>0.14299999999999999</v>
      </c>
      <c r="E273" s="1846">
        <v>0.15</v>
      </c>
      <c r="F273" s="1847">
        <v>0.1</v>
      </c>
    </row>
    <row r="274" spans="1:6" ht="14.5" thickBot="1">
      <c r="A274" s="1841" t="s">
        <v>1415</v>
      </c>
      <c r="B274" s="1845" t="s">
        <v>2182</v>
      </c>
      <c r="C274" s="1846">
        <v>0.14799999999999999</v>
      </c>
      <c r="D274" s="1846">
        <v>0.14799999999999999</v>
      </c>
      <c r="E274" s="1846">
        <v>0.15</v>
      </c>
      <c r="F274" s="1847">
        <v>6.7000000000000004E-2</v>
      </c>
    </row>
    <row r="275" spans="1:6" ht="14.5" thickBot="1">
      <c r="A275" s="1841" t="s">
        <v>1415</v>
      </c>
      <c r="B275" s="1845" t="s">
        <v>2183</v>
      </c>
      <c r="C275" s="1846">
        <v>0.15</v>
      </c>
      <c r="D275" s="1846">
        <v>0.15</v>
      </c>
      <c r="E275" s="1846">
        <v>0.15</v>
      </c>
      <c r="F275" s="1847">
        <v>0.15</v>
      </c>
    </row>
    <row r="276" spans="1:6" ht="14.5" thickBot="1">
      <c r="A276" s="1841" t="s">
        <v>1415</v>
      </c>
      <c r="B276" s="1845" t="s">
        <v>2184</v>
      </c>
      <c r="C276" s="1846">
        <v>0.14499999999999999</v>
      </c>
      <c r="D276" s="1846">
        <v>0.14299999999999999</v>
      </c>
      <c r="E276" s="1846">
        <v>0.15</v>
      </c>
      <c r="F276" s="1847">
        <v>5.8999999999999997E-2</v>
      </c>
    </row>
    <row r="277" spans="1:6" ht="14.5" thickBot="1">
      <c r="A277" s="1841" t="s">
        <v>1415</v>
      </c>
      <c r="B277" s="1845" t="s">
        <v>2185</v>
      </c>
      <c r="C277" s="1846">
        <v>0.15</v>
      </c>
      <c r="D277" s="1846">
        <v>0.15</v>
      </c>
      <c r="E277" s="1846">
        <v>0.15</v>
      </c>
      <c r="F277" s="1847">
        <v>0.121</v>
      </c>
    </row>
    <row r="278" spans="1:6" ht="14.5" thickBot="1">
      <c r="A278" s="1841" t="s">
        <v>1415</v>
      </c>
      <c r="B278" s="1845" t="s">
        <v>2186</v>
      </c>
      <c r="C278" s="1846">
        <v>0.15</v>
      </c>
      <c r="D278" s="1846">
        <v>0.15</v>
      </c>
      <c r="E278" s="1846">
        <v>0.15</v>
      </c>
      <c r="F278" s="1847">
        <v>0.13800000000000001</v>
      </c>
    </row>
    <row r="279" spans="1:6" ht="26.5" thickBot="1">
      <c r="A279" s="1841" t="s">
        <v>1415</v>
      </c>
      <c r="B279" s="1845" t="s">
        <v>2187</v>
      </c>
      <c r="C279" s="1855"/>
      <c r="D279" s="1855"/>
      <c r="E279" s="1855"/>
      <c r="F279" s="1847">
        <v>0.05</v>
      </c>
    </row>
    <row r="280" spans="1:6" ht="26.5" thickBot="1">
      <c r="A280" s="1841" t="s">
        <v>1415</v>
      </c>
      <c r="B280" s="1845" t="s">
        <v>2188</v>
      </c>
      <c r="C280" s="1855"/>
      <c r="D280" s="1855"/>
      <c r="E280" s="1855"/>
      <c r="F280" s="1847">
        <v>0.05</v>
      </c>
    </row>
    <row r="281" spans="1:6" ht="26.5" thickBot="1">
      <c r="A281" s="1841" t="s">
        <v>1415</v>
      </c>
      <c r="B281" s="1845" t="s">
        <v>2189</v>
      </c>
      <c r="C281" s="1855"/>
      <c r="D281" s="1855"/>
      <c r="E281" s="1855"/>
      <c r="F281" s="1847">
        <v>0.05</v>
      </c>
    </row>
    <row r="282" spans="1:6" ht="26.5" thickBot="1">
      <c r="A282" s="1841" t="s">
        <v>1415</v>
      </c>
      <c r="B282" s="1845" t="s">
        <v>2190</v>
      </c>
      <c r="C282" s="1855"/>
      <c r="D282" s="1855"/>
      <c r="E282" s="1855"/>
      <c r="F282" s="1847">
        <v>0.05</v>
      </c>
    </row>
    <row r="283" spans="1:6" ht="26.5" thickBot="1">
      <c r="A283" s="1841" t="s">
        <v>1415</v>
      </c>
      <c r="B283" s="1845" t="s">
        <v>2191</v>
      </c>
      <c r="C283" s="1855"/>
      <c r="D283" s="1855"/>
      <c r="E283" s="1855"/>
      <c r="F283" s="1847">
        <v>0.05</v>
      </c>
    </row>
    <row r="284" spans="1:6" ht="26.5" thickBot="1">
      <c r="A284" s="1841" t="s">
        <v>1415</v>
      </c>
      <c r="B284" s="1845" t="s">
        <v>2192</v>
      </c>
      <c r="C284" s="1855"/>
      <c r="D284" s="1855"/>
      <c r="E284" s="1855"/>
      <c r="F284" s="1847">
        <v>0.05</v>
      </c>
    </row>
    <row r="285" spans="1:6" ht="26.5" thickBot="1">
      <c r="A285" s="1841" t="s">
        <v>1415</v>
      </c>
      <c r="B285" s="1845" t="s">
        <v>2193</v>
      </c>
      <c r="C285" s="1855"/>
      <c r="D285" s="1855"/>
      <c r="E285" s="1855"/>
      <c r="F285" s="1847">
        <v>0.05</v>
      </c>
    </row>
    <row r="286" spans="1:6" ht="26.5" thickBot="1">
      <c r="A286" s="1841" t="s">
        <v>1415</v>
      </c>
      <c r="B286" s="1845" t="s">
        <v>2194</v>
      </c>
      <c r="C286" s="1855"/>
      <c r="D286" s="1855"/>
      <c r="E286" s="1855"/>
      <c r="F286" s="1847">
        <v>0.05</v>
      </c>
    </row>
    <row r="287" spans="1:6" ht="26.5" thickBot="1">
      <c r="A287" s="1841" t="s">
        <v>1415</v>
      </c>
      <c r="B287" s="1845" t="s">
        <v>2195</v>
      </c>
      <c r="C287" s="1855"/>
      <c r="D287" s="1855"/>
      <c r="E287" s="1855"/>
      <c r="F287" s="1847">
        <v>0.05</v>
      </c>
    </row>
    <row r="288" spans="1:6" ht="26.5" thickBot="1">
      <c r="A288" s="1841" t="s">
        <v>1415</v>
      </c>
      <c r="B288" s="1845" t="s">
        <v>2196</v>
      </c>
      <c r="C288" s="1855"/>
      <c r="D288" s="1855"/>
      <c r="E288" s="1855"/>
      <c r="F288" s="1847">
        <v>0.05</v>
      </c>
    </row>
    <row r="289" spans="1:6" ht="26.5" thickBot="1">
      <c r="A289" s="1849" t="s">
        <v>1415</v>
      </c>
      <c r="B289" s="1856" t="s">
        <v>2197</v>
      </c>
      <c r="C289" s="1852"/>
      <c r="D289" s="1852"/>
      <c r="E289" s="1852"/>
      <c r="F289" s="1857">
        <v>0.05</v>
      </c>
    </row>
    <row r="290" spans="1:6" ht="14.5" thickBot="1">
      <c r="A290" s="1841" t="s">
        <v>1419</v>
      </c>
      <c r="B290" s="1842" t="s">
        <v>2198</v>
      </c>
      <c r="C290" s="1843">
        <v>0.15</v>
      </c>
      <c r="D290" s="1843">
        <v>0.15</v>
      </c>
      <c r="E290" s="1843">
        <v>0.15</v>
      </c>
      <c r="F290" s="1865"/>
    </row>
    <row r="291" spans="1:6" ht="14.5" thickBot="1">
      <c r="A291" s="1841" t="s">
        <v>1419</v>
      </c>
      <c r="B291" s="1845" t="s">
        <v>1079</v>
      </c>
      <c r="C291" s="1846">
        <v>0.15</v>
      </c>
      <c r="D291" s="1846">
        <v>0.15</v>
      </c>
      <c r="E291" s="1846">
        <v>0.15</v>
      </c>
      <c r="F291" s="1854"/>
    </row>
    <row r="292" spans="1:6" ht="14.5" thickBot="1">
      <c r="A292" s="1841" t="s">
        <v>1419</v>
      </c>
      <c r="B292" s="1845" t="s">
        <v>2199</v>
      </c>
      <c r="C292" s="1846">
        <v>0.15</v>
      </c>
      <c r="D292" s="1846">
        <v>0.15</v>
      </c>
      <c r="E292" s="1846">
        <v>0.15</v>
      </c>
      <c r="F292" s="1847">
        <v>0.14699999999999999</v>
      </c>
    </row>
    <row r="293" spans="1:6" ht="14.5" thickBot="1">
      <c r="A293" s="1841" t="s">
        <v>1419</v>
      </c>
      <c r="B293" s="1845" t="s">
        <v>2200</v>
      </c>
      <c r="C293" s="1855"/>
      <c r="D293" s="1855"/>
      <c r="E293" s="1855"/>
      <c r="F293" s="1847">
        <v>0.1</v>
      </c>
    </row>
    <row r="294" spans="1:6" ht="14.5" thickBot="1">
      <c r="A294" s="1841" t="s">
        <v>1419</v>
      </c>
      <c r="B294" s="1845" t="s">
        <v>2201</v>
      </c>
      <c r="C294" s="1846">
        <v>0.15</v>
      </c>
      <c r="D294" s="1846">
        <v>0.15</v>
      </c>
      <c r="E294" s="1846">
        <v>0.15</v>
      </c>
      <c r="F294" s="1847">
        <v>0.15</v>
      </c>
    </row>
    <row r="295" spans="1:6" ht="14.5" thickBot="1">
      <c r="A295" s="1841" t="s">
        <v>1419</v>
      </c>
      <c r="B295" s="1845" t="s">
        <v>1120</v>
      </c>
      <c r="C295" s="1846">
        <v>0.15</v>
      </c>
      <c r="D295" s="1846">
        <v>0.15</v>
      </c>
      <c r="E295" s="1846">
        <v>0.15</v>
      </c>
      <c r="F295" s="1847">
        <v>0.15</v>
      </c>
    </row>
    <row r="296" spans="1:6" ht="14.5" thickBot="1">
      <c r="A296" s="1841" t="s">
        <v>1419</v>
      </c>
      <c r="B296" s="1845" t="s">
        <v>2202</v>
      </c>
      <c r="C296" s="1846">
        <v>0.15</v>
      </c>
      <c r="D296" s="1846">
        <v>0.15</v>
      </c>
      <c r="E296" s="1846">
        <v>0.15</v>
      </c>
      <c r="F296" s="1847">
        <v>0.15</v>
      </c>
    </row>
    <row r="297" spans="1:6" ht="14.5" thickBot="1">
      <c r="A297" s="1841" t="s">
        <v>1419</v>
      </c>
      <c r="B297" s="1845" t="s">
        <v>2203</v>
      </c>
      <c r="C297" s="1846">
        <v>0.14799999999999999</v>
      </c>
      <c r="D297" s="1846">
        <v>0.14899999999999999</v>
      </c>
      <c r="E297" s="1846">
        <v>0.15</v>
      </c>
      <c r="F297" s="1847">
        <v>0.13700000000000001</v>
      </c>
    </row>
    <row r="298" spans="1:6" ht="14.5" thickBot="1">
      <c r="A298" s="1841" t="s">
        <v>1419</v>
      </c>
      <c r="B298" s="1845" t="s">
        <v>1153</v>
      </c>
      <c r="C298" s="1846">
        <v>0.13400000000000001</v>
      </c>
      <c r="D298" s="1846">
        <v>0.13400000000000001</v>
      </c>
      <c r="E298" s="1846">
        <v>0.14499999999999999</v>
      </c>
      <c r="F298" s="1847">
        <v>0.14799999999999999</v>
      </c>
    </row>
    <row r="299" spans="1:6" ht="14.5" thickBot="1">
      <c r="A299" s="1841" t="s">
        <v>1419</v>
      </c>
      <c r="B299" s="1845" t="s">
        <v>1165</v>
      </c>
      <c r="C299" s="1846">
        <v>0.15</v>
      </c>
      <c r="D299" s="1846">
        <v>0.15</v>
      </c>
      <c r="E299" s="1846">
        <v>0.15</v>
      </c>
      <c r="F299" s="1854"/>
    </row>
    <row r="300" spans="1:6" ht="14.5" thickBot="1">
      <c r="A300" s="1841" t="s">
        <v>1419</v>
      </c>
      <c r="B300" s="1845" t="s">
        <v>2204</v>
      </c>
      <c r="C300" s="1846">
        <v>0.15</v>
      </c>
      <c r="D300" s="1846">
        <v>0.15</v>
      </c>
      <c r="E300" s="1846">
        <v>0.15</v>
      </c>
      <c r="F300" s="1847">
        <v>0.15</v>
      </c>
    </row>
    <row r="301" spans="1:6" ht="14.5" thickBot="1">
      <c r="A301" s="1841" t="s">
        <v>1419</v>
      </c>
      <c r="B301" s="1845" t="s">
        <v>1185</v>
      </c>
      <c r="C301" s="1846">
        <v>0.15</v>
      </c>
      <c r="D301" s="1846">
        <v>0.15</v>
      </c>
      <c r="E301" s="1846">
        <v>0.15</v>
      </c>
      <c r="F301" s="1854"/>
    </row>
    <row r="302" spans="1:6" ht="14.5" thickBot="1">
      <c r="A302" s="1841" t="s">
        <v>1419</v>
      </c>
      <c r="B302" s="1845" t="s">
        <v>2205</v>
      </c>
      <c r="C302" s="1846">
        <v>0.15</v>
      </c>
      <c r="D302" s="1846">
        <v>0.15</v>
      </c>
      <c r="E302" s="1846">
        <v>0.15</v>
      </c>
      <c r="F302" s="1847">
        <v>0.15</v>
      </c>
    </row>
    <row r="303" spans="1:6" ht="14.5" thickBot="1">
      <c r="A303" s="1841" t="s">
        <v>1419</v>
      </c>
      <c r="B303" s="1845" t="s">
        <v>1205</v>
      </c>
      <c r="C303" s="1846">
        <v>0.15</v>
      </c>
      <c r="D303" s="1846">
        <v>0.15</v>
      </c>
      <c r="E303" s="1846">
        <v>0.15</v>
      </c>
      <c r="F303" s="1847">
        <v>0.15</v>
      </c>
    </row>
    <row r="304" spans="1:6" ht="14.5" thickBot="1">
      <c r="A304" s="1841" t="s">
        <v>1419</v>
      </c>
      <c r="B304" s="1845" t="s">
        <v>1215</v>
      </c>
      <c r="C304" s="1846">
        <v>0.15</v>
      </c>
      <c r="D304" s="1846">
        <v>0.15</v>
      </c>
      <c r="E304" s="1846">
        <v>0.15</v>
      </c>
      <c r="F304" s="1854"/>
    </row>
    <row r="305" spans="1:6" ht="14.5" thickBot="1">
      <c r="A305" s="1841" t="s">
        <v>1419</v>
      </c>
      <c r="B305" s="1845" t="s">
        <v>2206</v>
      </c>
      <c r="C305" s="1846">
        <v>0.15</v>
      </c>
      <c r="D305" s="1846">
        <v>0.15</v>
      </c>
      <c r="E305" s="1846">
        <v>0.15</v>
      </c>
      <c r="F305" s="1847">
        <v>0.14000000000000001</v>
      </c>
    </row>
    <row r="306" spans="1:6" ht="14.5" thickBot="1">
      <c r="A306" s="1841" t="s">
        <v>1419</v>
      </c>
      <c r="B306" s="1845" t="s">
        <v>1235</v>
      </c>
      <c r="C306" s="1846">
        <v>0.15</v>
      </c>
      <c r="D306" s="1846">
        <v>0.15</v>
      </c>
      <c r="E306" s="1846">
        <v>0.15</v>
      </c>
      <c r="F306" s="1854"/>
    </row>
    <row r="307" spans="1:6" ht="14.5" thickBot="1">
      <c r="A307" s="1841" t="s">
        <v>1419</v>
      </c>
      <c r="B307" s="1845" t="s">
        <v>2207</v>
      </c>
      <c r="C307" s="1846">
        <v>0.15</v>
      </c>
      <c r="D307" s="1846">
        <v>0.15</v>
      </c>
      <c r="E307" s="1846">
        <v>0.15</v>
      </c>
      <c r="F307" s="1847">
        <v>0.14299999999999999</v>
      </c>
    </row>
    <row r="308" spans="1:6" ht="14.5" thickBot="1">
      <c r="A308" s="1841" t="s">
        <v>1419</v>
      </c>
      <c r="B308" s="1845" t="s">
        <v>1255</v>
      </c>
      <c r="C308" s="1846">
        <v>0.15</v>
      </c>
      <c r="D308" s="1846">
        <v>0.15</v>
      </c>
      <c r="E308" s="1846">
        <v>0.15</v>
      </c>
      <c r="F308" s="1847">
        <v>0.15</v>
      </c>
    </row>
    <row r="309" spans="1:6" ht="14.5" thickBot="1">
      <c r="A309" s="1841" t="s">
        <v>1419</v>
      </c>
      <c r="B309" s="1845" t="s">
        <v>1265</v>
      </c>
      <c r="C309" s="1846">
        <v>0.15</v>
      </c>
      <c r="D309" s="1846">
        <v>0.15</v>
      </c>
      <c r="E309" s="1846">
        <v>0.15</v>
      </c>
      <c r="F309" s="1854"/>
    </row>
    <row r="310" spans="1:6" ht="14.5" thickBot="1">
      <c r="A310" s="1841" t="s">
        <v>1419</v>
      </c>
      <c r="B310" s="1845" t="s">
        <v>2208</v>
      </c>
      <c r="C310" s="1846">
        <v>0.15</v>
      </c>
      <c r="D310" s="1846">
        <v>0.15</v>
      </c>
      <c r="E310" s="1846">
        <v>0.15</v>
      </c>
      <c r="F310" s="1847">
        <v>0.13700000000000001</v>
      </c>
    </row>
    <row r="311" spans="1:6" ht="14.5" thickBot="1">
      <c r="A311" s="1841" t="s">
        <v>1419</v>
      </c>
      <c r="B311" s="1845" t="s">
        <v>2209</v>
      </c>
      <c r="C311" s="1846">
        <v>0.15</v>
      </c>
      <c r="D311" s="1846">
        <v>0.15</v>
      </c>
      <c r="E311" s="1846">
        <v>0.15</v>
      </c>
      <c r="F311" s="1847">
        <v>0.15</v>
      </c>
    </row>
    <row r="312" spans="1:6" ht="14.5" thickBot="1">
      <c r="A312" s="1841" t="s">
        <v>1419</v>
      </c>
      <c r="B312" s="1845" t="s">
        <v>1291</v>
      </c>
      <c r="C312" s="1846">
        <v>0.15</v>
      </c>
      <c r="D312" s="1846">
        <v>0.15</v>
      </c>
      <c r="E312" s="1846">
        <v>0.15</v>
      </c>
      <c r="F312" s="1847">
        <v>0.1</v>
      </c>
    </row>
    <row r="313" spans="1:6" ht="14.5" thickBot="1">
      <c r="A313" s="1841" t="s">
        <v>1419</v>
      </c>
      <c r="B313" s="1845" t="s">
        <v>2210</v>
      </c>
      <c r="C313" s="1846">
        <v>0.15</v>
      </c>
      <c r="D313" s="1846">
        <v>0.15</v>
      </c>
      <c r="E313" s="1846">
        <v>0.15</v>
      </c>
      <c r="F313" s="1847">
        <v>0.15</v>
      </c>
    </row>
    <row r="314" spans="1:6" ht="26.5" thickBot="1">
      <c r="A314" s="1841" t="s">
        <v>1419</v>
      </c>
      <c r="B314" s="1845" t="s">
        <v>2211</v>
      </c>
      <c r="C314" s="1855"/>
      <c r="D314" s="1855"/>
      <c r="E314" s="1855"/>
      <c r="F314" s="1847">
        <v>0.05</v>
      </c>
    </row>
    <row r="315" spans="1:6" ht="26.5" thickBot="1">
      <c r="A315" s="1841" t="s">
        <v>1419</v>
      </c>
      <c r="B315" s="1845" t="s">
        <v>2212</v>
      </c>
      <c r="C315" s="1855"/>
      <c r="D315" s="1855"/>
      <c r="E315" s="1855"/>
      <c r="F315" s="1847">
        <v>0.05</v>
      </c>
    </row>
    <row r="316" spans="1:6" ht="26.5" thickBot="1">
      <c r="A316" s="1849" t="s">
        <v>1419</v>
      </c>
      <c r="B316" s="1856" t="s">
        <v>2213</v>
      </c>
      <c r="C316" s="1852"/>
      <c r="D316" s="1852"/>
      <c r="E316" s="1852"/>
      <c r="F316" s="1857">
        <v>0.05</v>
      </c>
    </row>
    <row r="317" spans="1:6" ht="14.5" thickBot="1">
      <c r="A317" s="1841" t="s">
        <v>2214</v>
      </c>
      <c r="B317" s="1842" t="s">
        <v>2215</v>
      </c>
      <c r="C317" s="1843">
        <v>0.15</v>
      </c>
      <c r="D317" s="1843">
        <v>0.15</v>
      </c>
      <c r="E317" s="1843">
        <v>0.15</v>
      </c>
      <c r="F317" s="1844">
        <v>0.15</v>
      </c>
    </row>
    <row r="318" spans="1:6" ht="14.5" thickBot="1">
      <c r="A318" s="1841" t="s">
        <v>2214</v>
      </c>
      <c r="B318" s="1845" t="s">
        <v>2216</v>
      </c>
      <c r="C318" s="1846">
        <v>0.107</v>
      </c>
      <c r="D318" s="1846">
        <v>0.11</v>
      </c>
      <c r="E318" s="1846">
        <v>0.112</v>
      </c>
      <c r="F318" s="1854"/>
    </row>
    <row r="319" spans="1:6" ht="14.5" thickBot="1">
      <c r="A319" s="1841" t="s">
        <v>2214</v>
      </c>
      <c r="B319" s="1845" t="s">
        <v>2217</v>
      </c>
      <c r="C319" s="1846">
        <v>0.15</v>
      </c>
      <c r="D319" s="1846">
        <v>0.15</v>
      </c>
      <c r="E319" s="1846">
        <v>0.15</v>
      </c>
      <c r="F319" s="1847">
        <v>0.15</v>
      </c>
    </row>
    <row r="320" spans="1:6" ht="14.5" thickBot="1">
      <c r="A320" s="1841" t="s">
        <v>2214</v>
      </c>
      <c r="B320" s="1845" t="s">
        <v>1107</v>
      </c>
      <c r="C320" s="1846">
        <v>0.15</v>
      </c>
      <c r="D320" s="1846">
        <v>0.15</v>
      </c>
      <c r="E320" s="1846">
        <v>0.15</v>
      </c>
      <c r="F320" s="1854"/>
    </row>
    <row r="321" spans="1:6" ht="14.5" thickBot="1">
      <c r="A321" s="1841" t="s">
        <v>2214</v>
      </c>
      <c r="B321" s="1845" t="s">
        <v>2218</v>
      </c>
      <c r="C321" s="1846">
        <v>0.15</v>
      </c>
      <c r="D321" s="1846">
        <v>0.15</v>
      </c>
      <c r="E321" s="1846">
        <v>0.15</v>
      </c>
      <c r="F321" s="1854"/>
    </row>
    <row r="322" spans="1:6" ht="14.5" thickBot="1">
      <c r="A322" s="1841" t="s">
        <v>2214</v>
      </c>
      <c r="B322" s="1845" t="s">
        <v>2219</v>
      </c>
      <c r="C322" s="1846">
        <v>0.15</v>
      </c>
      <c r="D322" s="1846">
        <v>0.15</v>
      </c>
      <c r="E322" s="1846">
        <v>0.15</v>
      </c>
      <c r="F322" s="1847">
        <v>0.15</v>
      </c>
    </row>
    <row r="323" spans="1:6" ht="14.5" thickBot="1">
      <c r="A323" s="1841" t="s">
        <v>2214</v>
      </c>
      <c r="B323" s="1845" t="s">
        <v>2220</v>
      </c>
      <c r="C323" s="1846">
        <v>0.15</v>
      </c>
      <c r="D323" s="1846">
        <v>0.15</v>
      </c>
      <c r="E323" s="1846">
        <v>0.15</v>
      </c>
      <c r="F323" s="1854"/>
    </row>
    <row r="324" spans="1:6" ht="14.5" thickBot="1">
      <c r="A324" s="1841" t="s">
        <v>2214</v>
      </c>
      <c r="B324" s="1845" t="s">
        <v>2221</v>
      </c>
      <c r="C324" s="1846">
        <v>0.15</v>
      </c>
      <c r="D324" s="1846">
        <v>0.15</v>
      </c>
      <c r="E324" s="1846">
        <v>0.15</v>
      </c>
      <c r="F324" s="1854"/>
    </row>
    <row r="325" spans="1:6" ht="14.5" thickBot="1">
      <c r="A325" s="1841" t="s">
        <v>2214</v>
      </c>
      <c r="B325" s="1845" t="s">
        <v>2222</v>
      </c>
      <c r="C325" s="1846">
        <v>0.15</v>
      </c>
      <c r="D325" s="1846">
        <v>0.15</v>
      </c>
      <c r="E325" s="1846">
        <v>0.15</v>
      </c>
      <c r="F325" s="1847">
        <v>0.14699999999999999</v>
      </c>
    </row>
    <row r="326" spans="1:6" ht="14.5" thickBot="1">
      <c r="A326" s="1841" t="s">
        <v>2214</v>
      </c>
      <c r="B326" s="1845" t="s">
        <v>1176</v>
      </c>
      <c r="C326" s="1846">
        <v>0.15</v>
      </c>
      <c r="D326" s="1846">
        <v>0.15</v>
      </c>
      <c r="E326" s="1846">
        <v>0.15</v>
      </c>
      <c r="F326" s="1854"/>
    </row>
    <row r="327" spans="1:6" ht="14.5" thickBot="1">
      <c r="A327" s="1841" t="s">
        <v>2214</v>
      </c>
      <c r="B327" s="1845" t="s">
        <v>2223</v>
      </c>
      <c r="C327" s="1846">
        <v>0.15</v>
      </c>
      <c r="D327" s="1846">
        <v>0.15</v>
      </c>
      <c r="E327" s="1846">
        <v>0.15</v>
      </c>
      <c r="F327" s="1847">
        <v>0.15</v>
      </c>
    </row>
    <row r="328" spans="1:6" ht="14.5" thickBot="1">
      <c r="A328" s="1841" t="s">
        <v>2214</v>
      </c>
      <c r="B328" s="1845" t="s">
        <v>1196</v>
      </c>
      <c r="C328" s="1846">
        <v>0.15</v>
      </c>
      <c r="D328" s="1846">
        <v>0.15</v>
      </c>
      <c r="E328" s="1846">
        <v>0.15</v>
      </c>
      <c r="F328" s="1847">
        <v>0.14099999999999999</v>
      </c>
    </row>
    <row r="329" spans="1:6" ht="14.5" thickBot="1">
      <c r="A329" s="1841" t="s">
        <v>2214</v>
      </c>
      <c r="B329" s="1845" t="s">
        <v>1206</v>
      </c>
      <c r="C329" s="1846">
        <v>0.15</v>
      </c>
      <c r="D329" s="1846">
        <v>0.15</v>
      </c>
      <c r="E329" s="1846">
        <v>0.15</v>
      </c>
      <c r="F329" s="1847">
        <v>0.15</v>
      </c>
    </row>
    <row r="330" spans="1:6" ht="14.5" thickBot="1">
      <c r="A330" s="1841" t="s">
        <v>2214</v>
      </c>
      <c r="B330" s="1845" t="s">
        <v>1216</v>
      </c>
      <c r="C330" s="1846">
        <v>0.15</v>
      </c>
      <c r="D330" s="1846">
        <v>0.15</v>
      </c>
      <c r="E330" s="1846">
        <v>0.15</v>
      </c>
      <c r="F330" s="1854"/>
    </row>
    <row r="331" spans="1:6" ht="14.5" thickBot="1">
      <c r="A331" s="1841" t="s">
        <v>2214</v>
      </c>
      <c r="B331" s="1845" t="s">
        <v>2224</v>
      </c>
      <c r="C331" s="1846">
        <v>0.15</v>
      </c>
      <c r="D331" s="1846">
        <v>0.15</v>
      </c>
      <c r="E331" s="1846">
        <v>0.15</v>
      </c>
      <c r="F331" s="1847">
        <v>0.15</v>
      </c>
    </row>
    <row r="332" spans="1:6" ht="14.5" thickBot="1">
      <c r="A332" s="1841" t="s">
        <v>2214</v>
      </c>
      <c r="B332" s="1845" t="s">
        <v>1236</v>
      </c>
      <c r="C332" s="1846">
        <v>0.15</v>
      </c>
      <c r="D332" s="1846">
        <v>0.15</v>
      </c>
      <c r="E332" s="1846">
        <v>0.15</v>
      </c>
      <c r="F332" s="1847">
        <v>0.15</v>
      </c>
    </row>
    <row r="333" spans="1:6" ht="14.5" thickBot="1">
      <c r="A333" s="1841" t="s">
        <v>2214</v>
      </c>
      <c r="B333" s="1845" t="s">
        <v>2225</v>
      </c>
      <c r="C333" s="1846">
        <v>0.15</v>
      </c>
      <c r="D333" s="1846">
        <v>0.15</v>
      </c>
      <c r="E333" s="1846">
        <v>0.15</v>
      </c>
      <c r="F333" s="1847">
        <v>0.14099999999999999</v>
      </c>
    </row>
    <row r="334" spans="1:6" ht="14.5" thickBot="1">
      <c r="A334" s="1841" t="s">
        <v>2214</v>
      </c>
      <c r="B334" s="1845" t="s">
        <v>1256</v>
      </c>
      <c r="C334" s="1846">
        <v>0.15</v>
      </c>
      <c r="D334" s="1846">
        <v>0.15</v>
      </c>
      <c r="E334" s="1846">
        <v>0.15</v>
      </c>
      <c r="F334" s="1847">
        <v>0.15</v>
      </c>
    </row>
    <row r="335" spans="1:6" ht="14.5" thickBot="1">
      <c r="A335" s="1841" t="s">
        <v>2214</v>
      </c>
      <c r="B335" s="1845" t="s">
        <v>1266</v>
      </c>
      <c r="C335" s="1846">
        <v>0.15</v>
      </c>
      <c r="D335" s="1846">
        <v>0.15</v>
      </c>
      <c r="E335" s="1846">
        <v>0.15</v>
      </c>
      <c r="F335" s="1854"/>
    </row>
    <row r="336" spans="1:6" ht="14.5" thickBot="1">
      <c r="A336" s="1841" t="s">
        <v>2214</v>
      </c>
      <c r="B336" s="1845" t="s">
        <v>2226</v>
      </c>
      <c r="C336" s="1846">
        <v>0.15</v>
      </c>
      <c r="D336" s="1846">
        <v>0.15</v>
      </c>
      <c r="E336" s="1846">
        <v>0.15</v>
      </c>
      <c r="F336" s="1847">
        <v>0.11799999999999999</v>
      </c>
    </row>
    <row r="337" spans="1:6" ht="14.5" thickBot="1">
      <c r="A337" s="1849" t="s">
        <v>2214</v>
      </c>
      <c r="B337" s="1856" t="s">
        <v>1284</v>
      </c>
      <c r="C337" s="1852"/>
      <c r="D337" s="1852"/>
      <c r="E337" s="1852"/>
      <c r="F337" s="1857">
        <v>0.14299999999999999</v>
      </c>
    </row>
    <row r="338" spans="1:6" ht="14.5" thickBot="1">
      <c r="A338" s="1841" t="s">
        <v>2227</v>
      </c>
      <c r="B338" s="1842" t="s">
        <v>2228</v>
      </c>
      <c r="C338" s="1843">
        <v>0.15</v>
      </c>
      <c r="D338" s="1843">
        <v>0.15</v>
      </c>
      <c r="E338" s="1843">
        <v>0.15</v>
      </c>
      <c r="F338" s="1865"/>
    </row>
    <row r="339" spans="1:6" ht="14.5" thickBot="1">
      <c r="A339" s="1841" t="s">
        <v>2227</v>
      </c>
      <c r="B339" s="1845" t="s">
        <v>2229</v>
      </c>
      <c r="C339" s="1846">
        <v>0.15</v>
      </c>
      <c r="D339" s="1846">
        <v>0.15</v>
      </c>
      <c r="E339" s="1846">
        <v>0.15</v>
      </c>
      <c r="F339" s="1854"/>
    </row>
    <row r="340" spans="1:6" ht="14.5" thickBot="1">
      <c r="A340" s="1841" t="s">
        <v>2227</v>
      </c>
      <c r="B340" s="1845" t="s">
        <v>2230</v>
      </c>
      <c r="C340" s="1846">
        <v>0.15</v>
      </c>
      <c r="D340" s="1846">
        <v>0.15</v>
      </c>
      <c r="E340" s="1846">
        <v>0.15</v>
      </c>
      <c r="F340" s="1854"/>
    </row>
    <row r="341" spans="1:6" ht="14.5" thickBot="1">
      <c r="A341" s="1841" t="s">
        <v>2231</v>
      </c>
      <c r="B341" s="1845" t="s">
        <v>2232</v>
      </c>
      <c r="C341" s="1846">
        <v>0.15</v>
      </c>
      <c r="D341" s="1846">
        <v>0.15</v>
      </c>
      <c r="E341" s="1846">
        <v>0.15</v>
      </c>
      <c r="F341" s="1847">
        <v>0.15</v>
      </c>
    </row>
    <row r="342" spans="1:6" ht="14.5" thickBot="1">
      <c r="A342" s="1841" t="s">
        <v>2227</v>
      </c>
      <c r="B342" s="1845" t="s">
        <v>2233</v>
      </c>
      <c r="C342" s="1846">
        <v>0.15</v>
      </c>
      <c r="D342" s="1846">
        <v>0.15</v>
      </c>
      <c r="E342" s="1846">
        <v>0.15</v>
      </c>
      <c r="F342" s="1847">
        <v>0.15</v>
      </c>
    </row>
    <row r="343" spans="1:6" ht="14.5" thickBot="1">
      <c r="A343" s="1841" t="s">
        <v>2227</v>
      </c>
      <c r="B343" s="1845" t="s">
        <v>2234</v>
      </c>
      <c r="C343" s="1846">
        <v>0.15</v>
      </c>
      <c r="D343" s="1846">
        <v>0.15</v>
      </c>
      <c r="E343" s="1846">
        <v>0.15</v>
      </c>
      <c r="F343" s="1847">
        <v>0.15</v>
      </c>
    </row>
    <row r="344" spans="1:6" ht="14.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I39" sqref="I39"/>
    </sheetView>
  </sheetViews>
  <sheetFormatPr defaultColWidth="9" defaultRowHeight="12.5"/>
  <cols>
    <col min="1" max="1" width="9" style="2627"/>
    <col min="2" max="6" width="9" style="2627" customWidth="1"/>
    <col min="7" max="7" width="9" style="2643" customWidth="1"/>
    <col min="8" max="12" width="9" style="2627" customWidth="1"/>
    <col min="13" max="13" width="2.1796875" style="2627" customWidth="1"/>
    <col min="14" max="14" width="9" style="2643" customWidth="1"/>
    <col min="15" max="17" width="9" style="2627" customWidth="1"/>
    <col min="18" max="18" width="2.36328125" style="2627" customWidth="1"/>
    <col min="19" max="19" width="7.08984375" style="2643" customWidth="1"/>
    <col min="20" max="22" width="7.08984375" style="2627" customWidth="1"/>
    <col min="23" max="23" width="24" style="2627" customWidth="1"/>
    <col min="24" max="25" width="9" style="2627"/>
    <col min="26" max="27" width="11.6328125" style="2627" customWidth="1"/>
    <col min="28" max="28" width="9" style="2627"/>
    <col min="29" max="29" width="2" style="2627" customWidth="1"/>
    <col min="30" max="16384" width="9" style="2627"/>
  </cols>
  <sheetData>
    <row r="1" spans="1:34" s="2618" customFormat="1" ht="13">
      <c r="B1" s="3435" t="s">
        <v>2573</v>
      </c>
      <c r="C1" s="3435"/>
      <c r="D1" s="3435"/>
      <c r="E1" s="3435"/>
      <c r="F1" s="3435"/>
      <c r="G1" s="3434" t="s">
        <v>2574</v>
      </c>
      <c r="H1" s="3434"/>
      <c r="I1" s="3434"/>
      <c r="J1" s="3434"/>
      <c r="K1" s="3434"/>
      <c r="L1" s="3434"/>
      <c r="N1" s="3434" t="s">
        <v>2575</v>
      </c>
      <c r="O1" s="3434"/>
      <c r="P1" s="3434"/>
      <c r="Q1" s="3434"/>
      <c r="R1" s="2619"/>
      <c r="S1" s="3434" t="s">
        <v>2576</v>
      </c>
      <c r="T1" s="3434"/>
      <c r="U1" s="3434"/>
      <c r="V1" s="3434"/>
      <c r="X1" s="3433" t="s">
        <v>2636</v>
      </c>
      <c r="Y1" s="3434"/>
      <c r="Z1" s="3434"/>
      <c r="AA1" s="3434"/>
      <c r="AB1" s="3434"/>
      <c r="AD1" s="3433" t="s">
        <v>2640</v>
      </c>
      <c r="AE1" s="3434"/>
      <c r="AF1" s="3434"/>
      <c r="AG1" s="3434"/>
      <c r="AH1" s="3434"/>
    </row>
    <row r="2" spans="1:34" s="2720" customFormat="1" ht="14.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
      <c r="A3" s="3096" t="s">
        <v>2967</v>
      </c>
      <c r="B3" s="3085"/>
      <c r="C3" s="3085"/>
      <c r="D3" s="3086"/>
      <c r="E3" s="3086"/>
      <c r="F3" s="3085"/>
      <c r="G3" s="3087"/>
      <c r="H3" s="3088"/>
      <c r="I3" s="3095">
        <f>ROUND(AVERAGE($I4:$I29),2)</f>
        <v>1.92</v>
      </c>
      <c r="J3" s="3095">
        <f>ROUND(AVERAGE($J4:$J29),2)</f>
        <v>1.34</v>
      </c>
      <c r="K3" s="3095">
        <f>ROUND(AVERAGE($K4:$K29),2)</f>
        <v>2.1</v>
      </c>
      <c r="L3" s="3095">
        <f>ROUND(AVERAGE($L4:$L29),2)</f>
        <v>1.35</v>
      </c>
      <c r="N3" s="3087"/>
      <c r="O3" s="3089"/>
      <c r="P3" s="3089"/>
      <c r="Q3" s="3089"/>
      <c r="R3" s="3089"/>
      <c r="S3" s="3087"/>
      <c r="T3" s="3089"/>
      <c r="U3" s="3089"/>
      <c r="V3" s="3089"/>
      <c r="W3" s="3092"/>
      <c r="X3" s="3090">
        <f>ROUND(SUMPRODUCT(PRODUCT(1+N3:N$28)),4)</f>
        <v>1.5586</v>
      </c>
      <c r="Y3" s="3090">
        <f>ROUND(SUMPRODUCT(PRODUCT(1+O3:O$28)),4)</f>
        <v>1.3633</v>
      </c>
      <c r="Z3" s="3090">
        <f t="shared" ref="Z3:Z26" si="0">Y3</f>
        <v>1.3633</v>
      </c>
      <c r="AA3" s="3090">
        <f>ROUND(SUMPRODUCT(PRODUCT(1+P3:P$28)),4)</f>
        <v>1.6221000000000001</v>
      </c>
      <c r="AB3" s="3090">
        <f>ROUND(SUMPRODUCT(PRODUCT(1+Q3:Q$28)),4)</f>
        <v>1.3777999999999999</v>
      </c>
      <c r="AD3" s="3091">
        <f>ROUND(AVERAGE(I3:I$29)/100,4)</f>
        <v>1.9199999999999998E-2</v>
      </c>
      <c r="AE3" s="3091">
        <f>ROUND(AVERAGE(J3:J$29)/100,4)</f>
        <v>1.34E-2</v>
      </c>
      <c r="AF3" s="3091">
        <f t="shared" ref="AF3:AF27" si="1">AE3</f>
        <v>1.34E-2</v>
      </c>
      <c r="AG3" s="3091">
        <f>ROUND(AVERAGE(K3:K$29)/100,4)</f>
        <v>2.1000000000000001E-2</v>
      </c>
      <c r="AH3" s="3091">
        <f>ROUND(AVERAGE(L3:L$29)/100,4)</f>
        <v>1.35E-2</v>
      </c>
    </row>
    <row r="4" spans="1:34" s="2713" customFormat="1" ht="1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
      <c r="A5" s="3066" t="s">
        <v>2996</v>
      </c>
      <c r="B5" s="2752">
        <f t="shared" ref="B5" si="2">B6*(1+N5)</f>
        <v>479.34737379023579</v>
      </c>
      <c r="C5" s="2752">
        <f t="shared" ref="C5" si="3">C6*(1+O5)</f>
        <v>351.4265287986122</v>
      </c>
      <c r="D5" s="2752">
        <f t="shared" ref="D5" si="4">C5</f>
        <v>351.4265287986122</v>
      </c>
      <c r="E5" s="2752">
        <f t="shared" ref="E5" si="5">E6*(1+P5)</f>
        <v>685.98209703803116</v>
      </c>
      <c r="F5" s="2752">
        <f t="shared" ref="F5" si="6">F6*(1+Q5)</f>
        <v>316.78315206651001</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1.5586</v>
      </c>
      <c r="Y5" s="3071">
        <f>ROUND(IF(项目基本情况!B8="出让",SUMPRODUCT(PRODUCT(1+O5:O$29)),SUMPRODUCT(PRODUCT(1+O5:O$28))),4)</f>
        <v>1.3633</v>
      </c>
      <c r="Z5" s="3071">
        <f t="shared" ref="Z5" si="11">Y5</f>
        <v>1.3633</v>
      </c>
      <c r="AA5" s="3071">
        <f>ROUND(IF(项目基本情况!B8="出让",SUMPRODUCT(PRODUCT(1+P5:P$29)),SUMPRODUCT(PRODUCT(1+P5:P$28))),4)</f>
        <v>1.6221000000000001</v>
      </c>
      <c r="AB5" s="3071">
        <f>ROUND(IF(项目基本情况!B8="出让",SUMPRODUCT(PRODUCT(1+Q5:Q$29)),SUMPRODUCT(PRODUCT(1+Q5:Q$28))),4)</f>
        <v>1.3777999999999999</v>
      </c>
      <c r="AD5" s="3072">
        <f>ROUND(AVERAGE(I5:I$29)/100,4)</f>
        <v>1.9199999999999998E-2</v>
      </c>
      <c r="AE5" s="3072">
        <f>ROUND(AVERAGE(J5:J$29)/100,4)</f>
        <v>1.34E-2</v>
      </c>
      <c r="AF5" s="3072">
        <f t="shared" ref="AF5" si="12">AE5</f>
        <v>1.34E-2</v>
      </c>
      <c r="AG5" s="3072">
        <f>ROUND(AVERAGE(K5:K$29)/100,4)</f>
        <v>2.1000000000000001E-2</v>
      </c>
      <c r="AH5" s="3072">
        <f>ROUND(AVERAGE(L5:L$29)/100,4)</f>
        <v>1.35E-2</v>
      </c>
    </row>
    <row r="6" spans="1:34" s="2725" customFormat="1" ht="13">
      <c r="A6" s="2620" t="s">
        <v>2992</v>
      </c>
      <c r="B6" s="2633">
        <f t="shared" ref="B6" si="13">B7*(1+N6)</f>
        <v>479.34737379023579</v>
      </c>
      <c r="C6" s="2633">
        <f t="shared" ref="C6" si="14">C7*(1+O6)</f>
        <v>351.4265287986122</v>
      </c>
      <c r="D6" s="2633">
        <f t="shared" ref="D6" si="15">C6</f>
        <v>351.4265287986122</v>
      </c>
      <c r="E6" s="2633">
        <f t="shared" ref="E6" si="16">E7*(1+P6)</f>
        <v>685.98209703803116</v>
      </c>
      <c r="F6" s="2633">
        <f t="shared" ref="F6" si="17">F7*(1+Q6)</f>
        <v>316.78315206651001</v>
      </c>
      <c r="G6" s="2719">
        <v>2019</v>
      </c>
      <c r="H6" s="2623">
        <v>4</v>
      </c>
      <c r="I6" s="2623">
        <v>0.45</v>
      </c>
      <c r="J6" s="2623">
        <v>-0.12</v>
      </c>
      <c r="K6" s="2623">
        <v>0.54</v>
      </c>
      <c r="L6" s="2634">
        <v>0.48</v>
      </c>
      <c r="M6" s="2627"/>
      <c r="N6" s="2628">
        <f t="shared" ref="N6" si="18">I6/100</f>
        <v>4.5000000000000005E-3</v>
      </c>
      <c r="O6" s="2629">
        <f t="shared" ref="O6" si="19">J6/100</f>
        <v>-1.1999999999999999E-3</v>
      </c>
      <c r="P6" s="2629">
        <f t="shared" ref="P6" si="20">K6/100</f>
        <v>5.4000000000000003E-3</v>
      </c>
      <c r="Q6" s="2629">
        <f t="shared" ref="Q6" si="21">L6/100</f>
        <v>4.7999999999999996E-3</v>
      </c>
      <c r="R6" s="2630"/>
      <c r="S6" s="2636"/>
      <c r="T6" s="2637"/>
      <c r="U6" s="2637"/>
      <c r="V6" s="2637"/>
      <c r="W6" s="2627"/>
      <c r="X6" s="2718">
        <f>ROUND(IF(项目基本情况!B8="出让",SUMPRODUCT(PRODUCT(1+N6:N$29)),SUMPRODUCT(PRODUCT(1+N6:N$28))),4)</f>
        <v>1.5586</v>
      </c>
      <c r="Y6" s="2718">
        <f>ROUND(IF(项目基本情况!B8="出让",SUMPRODUCT(PRODUCT(1+O6:O$29)),SUMPRODUCT(PRODUCT(1+O6:O$28))),4)</f>
        <v>1.3633</v>
      </c>
      <c r="Z6" s="2718">
        <f t="shared" ref="Z6" si="22">Y6</f>
        <v>1.3633</v>
      </c>
      <c r="AA6" s="2718">
        <f>ROUND(IF(项目基本情况!B8="出让",SUMPRODUCT(PRODUCT(1+P6:P$29)),SUMPRODUCT(PRODUCT(1+P6:P$28))),4)</f>
        <v>1.6221000000000001</v>
      </c>
      <c r="AB6" s="2718">
        <f>ROUND(IF(项目基本情况!B8="出让",SUMPRODUCT(PRODUCT(1+Q6:Q$29)),SUMPRODUCT(PRODUCT(1+Q6:Q$28))),4)</f>
        <v>1.3777999999999999</v>
      </c>
      <c r="AC6" s="2627"/>
      <c r="AD6" s="2638">
        <f>ROUND(AVERAGE(I6:I$29)/100,4)</f>
        <v>0.02</v>
      </c>
      <c r="AE6" s="2638">
        <f>ROUND(AVERAGE(J6:J$29)/100,4)</f>
        <v>1.4E-2</v>
      </c>
      <c r="AF6" s="2638">
        <f t="shared" ref="AF6" si="23">AE6</f>
        <v>1.4E-2</v>
      </c>
      <c r="AG6" s="2638">
        <f>ROUND(AVERAGE(K6:K$29)/100,4)</f>
        <v>2.1899999999999999E-2</v>
      </c>
      <c r="AH6" s="2638">
        <f>ROUND(AVERAGE(L6:L$29)/100,4)</f>
        <v>1.4E-2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ht="13">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ht="13">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37">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7"/>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7"/>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43"/>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ht="13">
      <c r="A14" s="2620" t="s">
        <v>2965</v>
      </c>
      <c r="B14" s="3098">
        <v>439</v>
      </c>
      <c r="C14" s="3098">
        <v>327</v>
      </c>
      <c r="D14" s="3098">
        <f t="shared" si="87"/>
        <v>327</v>
      </c>
      <c r="E14" s="3098">
        <v>627</v>
      </c>
      <c r="F14" s="3099">
        <v>283</v>
      </c>
      <c r="G14" s="3442">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7"/>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37"/>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43"/>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ht="13">
      <c r="A18" s="2620" t="s">
        <v>970</v>
      </c>
      <c r="B18" s="2625">
        <v>392</v>
      </c>
      <c r="C18" s="2625">
        <v>302</v>
      </c>
      <c r="D18" s="2625">
        <f t="shared" si="87"/>
        <v>302</v>
      </c>
      <c r="E18" s="2625">
        <v>553</v>
      </c>
      <c r="F18" s="2626">
        <v>266</v>
      </c>
      <c r="G18" s="3442">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7"/>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37"/>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38"/>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36">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7"/>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37"/>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38"/>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36">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7"/>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37"/>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38"/>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39">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40"/>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ht="13">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40"/>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41"/>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36">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37"/>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37"/>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 thickBot="1">
      <c r="A37" s="2620" t="s">
        <v>2587</v>
      </c>
      <c r="B37" s="2633">
        <f>B36/(1+N36)</f>
        <v>275.19025476197027</v>
      </c>
      <c r="C37" s="2665">
        <v>232</v>
      </c>
      <c r="D37" s="2665">
        <f t="shared" si="109"/>
        <v>232</v>
      </c>
      <c r="E37" s="2633">
        <f t="shared" si="120"/>
        <v>375.65990977608692</v>
      </c>
      <c r="F37" s="2633">
        <f t="shared" si="120"/>
        <v>214.12518283971252</v>
      </c>
      <c r="G37" s="3438"/>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36">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7">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37">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38">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36">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7">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37">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38">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36">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7">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37">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38">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36">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7">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37">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38">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36">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7">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37">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38">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36">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7">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37">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38">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36">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7">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37">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38">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36">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7">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37">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38">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36">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37">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37">
        <v>2003</v>
      </c>
      <c r="H72" s="2624">
        <v>2</v>
      </c>
      <c r="I72" s="2686"/>
      <c r="J72" s="2686"/>
      <c r="K72" s="2686"/>
      <c r="L72" s="2686"/>
      <c r="X72" s="2678"/>
      <c r="Y72" s="2678"/>
      <c r="Z72" s="2678"/>
    </row>
    <row r="73" spans="1:26" ht="13" thickBot="1">
      <c r="A73" s="2620" t="s">
        <v>2623</v>
      </c>
      <c r="B73" s="2688">
        <f t="shared" si="145"/>
        <v>107.25</v>
      </c>
      <c r="C73" s="2688">
        <f t="shared" si="145"/>
        <v>108.75</v>
      </c>
      <c r="D73" s="2688">
        <f t="shared" si="109"/>
        <v>108.75</v>
      </c>
      <c r="E73" s="2688">
        <f t="shared" si="146"/>
        <v>105.75</v>
      </c>
      <c r="F73" s="2688">
        <f t="shared" si="146"/>
        <v>102.5</v>
      </c>
      <c r="G73" s="3438">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36">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37">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37">
        <v>2002</v>
      </c>
      <c r="H76" s="2624">
        <v>2</v>
      </c>
      <c r="I76" s="2686"/>
      <c r="J76" s="2686"/>
      <c r="K76" s="2686"/>
      <c r="L76" s="2686"/>
      <c r="X76" s="2678"/>
      <c r="Y76" s="2678"/>
      <c r="Z76" s="2678"/>
    </row>
    <row r="77" spans="1:26" s="2655" customFormat="1" ht="13" thickBot="1">
      <c r="A77" s="2651" t="s">
        <v>2627</v>
      </c>
      <c r="B77" s="2692">
        <f t="shared" si="147"/>
        <v>103</v>
      </c>
      <c r="C77" s="2692">
        <f t="shared" si="147"/>
        <v>104</v>
      </c>
      <c r="D77" s="2692">
        <f t="shared" si="109"/>
        <v>104</v>
      </c>
      <c r="E77" s="2692">
        <f t="shared" si="148"/>
        <v>103.5</v>
      </c>
      <c r="F77" s="2692">
        <f t="shared" si="148"/>
        <v>100.5</v>
      </c>
      <c r="G77" s="3438">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ht="13">
      <c r="A80" s="2700" t="s">
        <v>2628</v>
      </c>
      <c r="G80" s="2702"/>
      <c r="N80" s="2702"/>
      <c r="S80" s="2702"/>
    </row>
    <row r="81" spans="1:22" s="2701" customFormat="1" ht="13">
      <c r="A81" s="2701" t="s">
        <v>2629</v>
      </c>
      <c r="G81" s="2702"/>
      <c r="N81" s="2702"/>
      <c r="S81" s="2702"/>
    </row>
    <row r="82" spans="1:22" s="2701" customFormat="1" ht="13">
      <c r="A82" s="2701" t="s">
        <v>2630</v>
      </c>
      <c r="G82" s="2702"/>
      <c r="I82" s="2703"/>
      <c r="J82" s="2703"/>
      <c r="K82" s="2703"/>
      <c r="L82" s="2703"/>
      <c r="N82" s="2704"/>
      <c r="O82" s="2703"/>
      <c r="P82" s="2703"/>
      <c r="Q82" s="2703"/>
      <c r="S82" s="2704"/>
      <c r="T82" s="2703"/>
      <c r="U82" s="2703"/>
      <c r="V82" s="2703"/>
    </row>
    <row r="83" spans="1:22" s="2701" customFormat="1" ht="13">
      <c r="A83" s="2701" t="s">
        <v>2631</v>
      </c>
      <c r="G83" s="2702"/>
      <c r="N83" s="2702"/>
      <c r="S83" s="2702"/>
    </row>
    <row r="90" spans="1:22" ht="13" thickBot="1"/>
    <row r="91" spans="1:22" ht="13">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81640625" customWidth="1"/>
  </cols>
  <sheetData>
    <row r="1" spans="1:6" ht="21">
      <c r="A1" s="3056" t="s">
        <v>2947</v>
      </c>
      <c r="B1" s="3058"/>
      <c r="C1" s="3058"/>
      <c r="D1" s="3058"/>
      <c r="E1" s="3058"/>
      <c r="F1" s="3058"/>
    </row>
    <row r="2" spans="1:6" ht="15">
      <c r="A2" s="3059" t="s">
        <v>2942</v>
      </c>
      <c r="B2" s="3060" t="e">
        <f ca="1">SUMIF(B7:B14,"&lt;&gt;#ref!",B7:B14)</f>
        <v>#DIV/0!</v>
      </c>
      <c r="C2" s="3059" t="s">
        <v>2943</v>
      </c>
      <c r="D2" s="3058"/>
      <c r="E2" s="3058"/>
      <c r="F2" s="3058"/>
    </row>
    <row r="3" spans="1:6" ht="15">
      <c r="A3" s="3059" t="s">
        <v>2975</v>
      </c>
      <c r="B3" s="3060" t="e">
        <f ca="1">ROUND(B2*10000/E3,0)</f>
        <v>#DIV/0!</v>
      </c>
      <c r="C3" s="3059" t="s">
        <v>2076</v>
      </c>
      <c r="D3" s="3059" t="s">
        <v>2944</v>
      </c>
      <c r="E3" s="3060">
        <f ca="1">SUMIF(E7:E14,"&lt;&gt;#ref!",E7:E14)</f>
        <v>0</v>
      </c>
      <c r="F3" s="3058"/>
    </row>
    <row r="4" spans="1:6" ht="15">
      <c r="A4" s="3059" t="s">
        <v>2951</v>
      </c>
      <c r="B4" s="3060" t="e">
        <f ca="1">ROUND(B2*10000/E4,0)</f>
        <v>#DIV/0!</v>
      </c>
      <c r="C4" s="3059" t="s">
        <v>2076</v>
      </c>
      <c r="D4" s="3059" t="s">
        <v>2952</v>
      </c>
      <c r="E4" s="3060">
        <f ca="1">SUMIF(F7:F14,"&lt;&gt;#ref!",F7:F14)</f>
        <v>0</v>
      </c>
      <c r="F4" s="3058"/>
    </row>
    <row r="5" spans="1:6" ht="15">
      <c r="A5" s="3061"/>
      <c r="B5" s="1867"/>
      <c r="C5" s="1867"/>
      <c r="D5" s="1867"/>
      <c r="E5" s="1867"/>
      <c r="F5" s="3058"/>
    </row>
    <row r="6" spans="1:6" ht="30">
      <c r="A6" s="3062" t="s">
        <v>2948</v>
      </c>
      <c r="B6" s="3059" t="s">
        <v>2945</v>
      </c>
      <c r="C6" s="3060"/>
      <c r="D6" s="1867"/>
      <c r="E6" s="3059" t="s">
        <v>2946</v>
      </c>
      <c r="F6" s="3059" t="s">
        <v>2950</v>
      </c>
    </row>
    <row r="7" spans="1:6" ht="1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5">
      <c r="A9" s="260"/>
      <c r="B9" s="3063" t="e">
        <f t="shared" ca="1" si="0"/>
        <v>#REF!</v>
      </c>
      <c r="C9" s="3059" t="s">
        <v>2943</v>
      </c>
      <c r="D9" s="1867"/>
      <c r="E9" s="3064" t="e">
        <f t="shared" ca="1" si="1"/>
        <v>#REF!</v>
      </c>
      <c r="F9" s="3064" t="e">
        <f t="shared" ca="1" si="2"/>
        <v>#REF!</v>
      </c>
    </row>
    <row r="10" spans="1:6" ht="15">
      <c r="A10" s="260"/>
      <c r="B10" s="3063" t="e">
        <f t="shared" ca="1" si="0"/>
        <v>#REF!</v>
      </c>
      <c r="C10" s="3059" t="s">
        <v>2943</v>
      </c>
      <c r="D10" s="1867"/>
      <c r="E10" s="3064" t="e">
        <f t="shared" ca="1" si="1"/>
        <v>#REF!</v>
      </c>
      <c r="F10" s="3064" t="e">
        <f t="shared" ca="1" si="2"/>
        <v>#REF!</v>
      </c>
    </row>
    <row r="11" spans="1:6" ht="15">
      <c r="A11" s="260"/>
      <c r="B11" s="3063" t="e">
        <f t="shared" ca="1" si="0"/>
        <v>#REF!</v>
      </c>
      <c r="C11" s="3059" t="s">
        <v>2943</v>
      </c>
      <c r="D11" s="1867"/>
      <c r="E11" s="3064" t="e">
        <f t="shared" ca="1" si="1"/>
        <v>#REF!</v>
      </c>
      <c r="F11" s="3064" t="e">
        <f t="shared" ca="1" si="2"/>
        <v>#REF!</v>
      </c>
    </row>
    <row r="12" spans="1:6" ht="15">
      <c r="A12" s="260"/>
      <c r="B12" s="3063" t="e">
        <f t="shared" ca="1" si="0"/>
        <v>#REF!</v>
      </c>
      <c r="C12" s="3059" t="s">
        <v>2943</v>
      </c>
      <c r="D12" s="1867"/>
      <c r="E12" s="3064" t="e">
        <f t="shared" ca="1" si="1"/>
        <v>#REF!</v>
      </c>
      <c r="F12" s="3064" t="e">
        <f t="shared" ca="1" si="2"/>
        <v>#REF!</v>
      </c>
    </row>
    <row r="13" spans="1:6" ht="15">
      <c r="A13" s="260"/>
      <c r="B13" s="3063" t="e">
        <f t="shared" ca="1" si="0"/>
        <v>#REF!</v>
      </c>
      <c r="C13" s="3059" t="s">
        <v>2943</v>
      </c>
      <c r="D13" s="1867"/>
      <c r="E13" s="3064" t="e">
        <f t="shared" ca="1" si="1"/>
        <v>#REF!</v>
      </c>
      <c r="F13" s="3064" t="e">
        <f t="shared" ca="1" si="2"/>
        <v>#REF!</v>
      </c>
    </row>
    <row r="14" spans="1:6" ht="1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52.5">
      <c r="A7" s="1781" t="s">
        <v>2744</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2940</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17.5">
      <c r="A21" s="1777" t="s">
        <v>2072</v>
      </c>
    </row>
    <row r="22" spans="1:1" ht="5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本次估价对象为出让国有建设用地使用权，《国有土地使用证》[]证载土地终止日期为住宅2089年12月18日、商业2059年12月18日。截至估价期日，出让国有建设用地使用权剩余土地使用年限为。</v>
      </c>
    </row>
    <row r="23" spans="1:1" ht="17.5">
      <c r="A23" s="1777" t="str">
        <f>IF(项目基本情况!B16="出让","本次评估设定估价对象剩余土地使用年限为"&amp;项目基本情况!D20&amp;"。","")</f>
        <v>本次评估设定估价对象剩余土地使用年限为。</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IF(项目基本情况!B9="市场价格","——",IF(项目基本情况!E9="——","",定义!C57))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A4" sqref="A4"/>
    </sheetView>
  </sheetViews>
  <sheetFormatPr defaultColWidth="9" defaultRowHeight="15.5"/>
  <cols>
    <col min="1" max="1" width="9" style="2084" customWidth="1"/>
    <col min="2" max="2" width="20.6328125" style="2085" customWidth="1"/>
    <col min="3" max="3" width="11.90625" style="2085" customWidth="1"/>
    <col min="4" max="4" width="40.453125" style="2046" customWidth="1"/>
    <col min="5" max="5" width="15.81640625" style="2046" customWidth="1"/>
    <col min="6" max="6" width="10.6328125" style="2046" customWidth="1"/>
    <col min="7" max="7" width="4.90625" style="2046" customWidth="1"/>
    <col min="8" max="8" width="8.453125" style="2046" customWidth="1"/>
    <col min="9" max="9" width="21.1796875" style="2046" customWidth="1"/>
    <col min="10" max="10" width="12.1796875" style="2046" customWidth="1"/>
    <col min="11" max="11" width="40.08984375" style="2086" customWidth="1"/>
    <col min="12" max="12" width="18.36328125" style="2046" customWidth="1"/>
    <col min="13" max="13" width="13" style="2046" customWidth="1"/>
    <col min="14" max="14" width="9.453125" style="2045" bestFit="1" customWidth="1"/>
    <col min="15" max="15" width="8.36328125" style="2045" customWidth="1"/>
    <col min="16" max="16" width="30.1796875" style="2045" customWidth="1"/>
    <col min="17" max="17" width="13.81640625" style="2045" customWidth="1"/>
    <col min="18" max="18" width="22.1796875" style="2045" customWidth="1"/>
    <col min="19" max="19" width="1.45312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45" t="s">
        <v>2461</v>
      </c>
      <c r="C8" s="1811">
        <f ca="1">ROUND(F8*F10*F9*(1-F11)/10000,0)</f>
        <v>0</v>
      </c>
      <c r="D8" s="1808" t="s">
        <v>2532</v>
      </c>
      <c r="E8" s="61" t="s">
        <v>637</v>
      </c>
      <c r="F8" s="785">
        <f ca="1">INDIRECT("'数据-取费表'!u"&amp;$G$1)</f>
        <v>0</v>
      </c>
      <c r="G8" s="1579"/>
      <c r="H8" s="2469" t="s">
        <v>1824</v>
      </c>
      <c r="I8" s="3445" t="s">
        <v>2461</v>
      </c>
      <c r="J8" s="783">
        <f ca="1">ROUND(M8*M10*M9*(1-M11)/10000,0)</f>
        <v>0</v>
      </c>
      <c r="K8" s="341" t="s">
        <v>2532</v>
      </c>
      <c r="L8" s="784" t="s">
        <v>1738</v>
      </c>
      <c r="M8" s="785">
        <f ca="1">INDIRECT("'数据-取费表'!z"&amp;$G$1)</f>
        <v>0</v>
      </c>
    </row>
    <row r="9" spans="1:25" ht="18" customHeight="1">
      <c r="A9" s="2465"/>
      <c r="B9" s="3446"/>
      <c r="C9" s="1812"/>
      <c r="D9" s="1809"/>
      <c r="E9" s="61" t="s">
        <v>638</v>
      </c>
      <c r="F9" s="785">
        <f ca="1">IF(INDIRECT("'数据-取费表'!ah"&amp;$G$1)="",INDIRECT("'数据-取费表'!k"&amp;$G$1),INDIRECT("'数据-取费表'!ah"&amp;$G$1))</f>
        <v>0</v>
      </c>
      <c r="G9" s="1579"/>
      <c r="H9" s="2454"/>
      <c r="I9" s="3446"/>
      <c r="J9" s="788"/>
      <c r="K9" s="789"/>
      <c r="L9" s="784" t="s">
        <v>1739</v>
      </c>
      <c r="M9" s="785">
        <f ca="1">F9</f>
        <v>0</v>
      </c>
    </row>
    <row r="10" spans="1:25" ht="18" customHeight="1">
      <c r="A10" s="2458"/>
      <c r="B10" s="3447"/>
      <c r="C10" s="1812"/>
      <c r="D10" s="1809"/>
      <c r="E10" s="61" t="s">
        <v>639</v>
      </c>
      <c r="F10" s="785">
        <f ca="1">INDIRECT("'数据-取费表'!ai"&amp;$G$1)</f>
        <v>0</v>
      </c>
      <c r="G10" s="1579"/>
      <c r="H10" s="2454"/>
      <c r="I10" s="3447"/>
      <c r="J10" s="788"/>
      <c r="K10" s="789"/>
      <c r="L10" s="784" t="s">
        <v>1740</v>
      </c>
      <c r="M10" s="785">
        <f ca="1">INDIRECT("'数据-取费表'!ai"&amp;$G$1)</f>
        <v>0</v>
      </c>
    </row>
    <row r="11" spans="1:25" ht="18" customHeight="1">
      <c r="A11" s="786"/>
      <c r="B11" s="3448"/>
      <c r="C11" s="1812"/>
      <c r="D11" s="1809"/>
      <c r="E11" s="61" t="s">
        <v>640</v>
      </c>
      <c r="F11" s="794">
        <f ca="1">INDIRECT("'数据-取费表'!w"&amp;$G$1)</f>
        <v>0</v>
      </c>
      <c r="G11" s="1579"/>
      <c r="H11" s="2470"/>
      <c r="I11" s="3447"/>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12</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12</v>
      </c>
      <c r="G36" s="2048"/>
      <c r="H36" s="2051"/>
      <c r="I36" s="3444"/>
      <c r="J36" s="2065"/>
      <c r="K36" s="2066"/>
      <c r="L36" s="2065"/>
      <c r="M36" s="2065"/>
    </row>
    <row r="37" spans="1:18" ht="18" customHeight="1">
      <c r="A37" s="815"/>
      <c r="B37" s="793"/>
      <c r="C37" s="69"/>
      <c r="D37" s="816"/>
      <c r="E37" s="784" t="s">
        <v>674</v>
      </c>
      <c r="F37" s="785">
        <f ca="1">INDIRECT("'数据-取费表'!r"&amp;$G$1)</f>
        <v>0</v>
      </c>
      <c r="G37" s="2048"/>
      <c r="H37" s="2051"/>
      <c r="I37" s="3444"/>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30.5" thickBot="1">
      <c r="A54" s="2082"/>
      <c r="I54" s="3103" t="s">
        <v>2976</v>
      </c>
      <c r="J54" s="3182">
        <f ca="1">IF(M48="住宅",MAX(J52,L49-'数据-取费表'!B20),MIN(J52,L49-'数据-取费表'!B20))</f>
        <v>-3</v>
      </c>
      <c r="K54" s="3449"/>
      <c r="L54" s="3450"/>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5.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30.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30.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30.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6"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17" thickBot="1">
      <c r="A62" s="2082"/>
      <c r="B62" s="2083"/>
      <c r="C62" s="2083"/>
      <c r="K62" s="2072"/>
      <c r="O62" s="2366" t="s">
        <v>2384</v>
      </c>
      <c r="P62" s="2364" t="s">
        <v>2392</v>
      </c>
      <c r="Q62" s="2365">
        <f ca="1">L59</f>
        <v>0</v>
      </c>
      <c r="R62" s="2368" t="s">
        <v>2393</v>
      </c>
    </row>
    <row r="63" spans="1:18" s="2045" customFormat="1" ht="17"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6"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 thickBot="1">
      <c r="A65" s="2082"/>
      <c r="B65" s="2083"/>
      <c r="C65" s="2083"/>
      <c r="I65" s="3122" t="s">
        <v>2369</v>
      </c>
      <c r="J65" s="3123">
        <v>50</v>
      </c>
      <c r="K65" s="3123">
        <v>35</v>
      </c>
      <c r="L65" s="3123">
        <v>60</v>
      </c>
      <c r="M65" s="846">
        <v>0</v>
      </c>
      <c r="O65" s="2369" t="s">
        <v>2413</v>
      </c>
      <c r="P65" s="1579"/>
      <c r="Q65" s="1590"/>
      <c r="R65" s="1579"/>
    </row>
    <row r="66" spans="1:18" s="2045" customFormat="1" ht="16"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6" thickBot="1">
      <c r="A67" s="2082"/>
      <c r="B67" s="2083"/>
      <c r="C67" s="2083"/>
      <c r="K67" s="2072"/>
      <c r="O67" s="2363" t="s">
        <v>2377</v>
      </c>
      <c r="P67" s="2364" t="s">
        <v>2403</v>
      </c>
      <c r="Q67" s="2365">
        <f ca="1">C41+J31</f>
        <v>0</v>
      </c>
      <c r="R67" s="2364" t="s">
        <v>2378</v>
      </c>
    </row>
    <row r="68" spans="1:18" s="2045" customFormat="1" ht="17" thickBot="1">
      <c r="A68" s="2082"/>
      <c r="B68" s="2083"/>
      <c r="C68" s="2083"/>
      <c r="K68" s="2072"/>
      <c r="O68" s="2363" t="s">
        <v>2379</v>
      </c>
      <c r="P68" s="2364" t="s">
        <v>2410</v>
      </c>
      <c r="Q68" s="2365" t="e">
        <f ca="1">L61</f>
        <v>#DIV/0!</v>
      </c>
      <c r="R68" s="2368" t="s">
        <v>2412</v>
      </c>
    </row>
    <row r="69" spans="1:18" s="2045" customFormat="1" ht="21" thickBot="1">
      <c r="A69" s="2082"/>
      <c r="B69" s="2083"/>
      <c r="C69" s="2083"/>
      <c r="K69" s="2072"/>
      <c r="O69" s="2366" t="s">
        <v>2381</v>
      </c>
      <c r="P69" s="2364" t="s">
        <v>2411</v>
      </c>
      <c r="Q69" s="2370">
        <f ca="1">L52</f>
        <v>0</v>
      </c>
      <c r="R69" s="2371" t="s">
        <v>2414</v>
      </c>
    </row>
    <row r="70" spans="1:18" s="2045" customFormat="1" ht="17" thickBot="1">
      <c r="A70" s="2082"/>
      <c r="B70" s="2083"/>
      <c r="C70" s="2083"/>
      <c r="K70" s="2072"/>
      <c r="O70" s="2366" t="s">
        <v>2382</v>
      </c>
      <c r="P70" s="2372" t="s">
        <v>2396</v>
      </c>
      <c r="Q70" s="2365">
        <f ca="1">ROUND(Q71-Q72*Q73,0)</f>
        <v>0</v>
      </c>
      <c r="R70" s="2368"/>
    </row>
    <row r="71" spans="1:18" s="2045" customFormat="1" ht="16" thickBot="1">
      <c r="A71" s="2082"/>
      <c r="B71" s="2083"/>
      <c r="C71" s="2083"/>
      <c r="K71" s="2072"/>
      <c r="O71" s="2366" t="s">
        <v>2397</v>
      </c>
      <c r="P71" s="2372" t="s">
        <v>2398</v>
      </c>
      <c r="Q71" s="2365">
        <f ca="1">C42</f>
        <v>0</v>
      </c>
      <c r="R71" s="2364" t="s">
        <v>2378</v>
      </c>
    </row>
    <row r="72" spans="1:18" s="2045" customFormat="1" ht="16" thickBot="1">
      <c r="A72" s="2082"/>
      <c r="B72" s="2083"/>
      <c r="C72" s="2083"/>
      <c r="K72" s="2072"/>
      <c r="O72" s="2366" t="s">
        <v>2399</v>
      </c>
      <c r="P72" s="2372" t="s">
        <v>2400</v>
      </c>
      <c r="Q72" s="2365">
        <f ca="1">C15</f>
        <v>0</v>
      </c>
      <c r="R72" s="2364" t="s">
        <v>2378</v>
      </c>
    </row>
    <row r="73" spans="1:18" s="2045" customFormat="1" ht="16" thickBot="1">
      <c r="A73" s="2082"/>
      <c r="B73" s="2083"/>
      <c r="C73" s="2083"/>
      <c r="K73" s="2072"/>
      <c r="O73" s="2366" t="s">
        <v>2401</v>
      </c>
      <c r="P73" s="2372" t="s">
        <v>2402</v>
      </c>
      <c r="Q73" s="2367">
        <f ca="1">F43</f>
        <v>0</v>
      </c>
      <c r="R73" s="2368"/>
    </row>
    <row r="74" spans="1:18" s="2045" customFormat="1" ht="16" thickBot="1">
      <c r="A74" s="2082"/>
      <c r="B74" s="2083"/>
      <c r="C74" s="2083"/>
      <c r="K74" s="2072"/>
      <c r="O74" s="2366" t="s">
        <v>2384</v>
      </c>
      <c r="P74" s="2364" t="s">
        <v>2391</v>
      </c>
      <c r="Q74" s="2367">
        <f>L53</f>
        <v>0</v>
      </c>
      <c r="R74" s="2368"/>
    </row>
    <row r="75" spans="1:18" s="2045" customFormat="1" ht="17" thickBot="1">
      <c r="A75" s="2082"/>
      <c r="B75" s="2083"/>
      <c r="C75" s="2083"/>
      <c r="K75" s="2072"/>
      <c r="O75" s="2366" t="s">
        <v>2386</v>
      </c>
      <c r="P75" s="2364" t="s">
        <v>2392</v>
      </c>
      <c r="Q75" s="2365">
        <f ca="1">L59</f>
        <v>0</v>
      </c>
      <c r="R75" s="2368" t="s">
        <v>2393</v>
      </c>
    </row>
    <row r="76" spans="1:18" s="2045" customFormat="1" ht="17" thickBot="1">
      <c r="A76" s="2082"/>
      <c r="B76" s="2083"/>
      <c r="C76" s="2083"/>
      <c r="K76" s="2072"/>
      <c r="O76" s="2366" t="s">
        <v>2415</v>
      </c>
      <c r="P76" s="2364" t="s">
        <v>2394</v>
      </c>
      <c r="Q76" s="2365">
        <f ca="1">L60</f>
        <v>0</v>
      </c>
      <c r="R76" s="2368" t="s">
        <v>2395</v>
      </c>
    </row>
    <row r="77" spans="1:18" s="2045" customFormat="1" ht="16"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25" zoomScale="80" zoomScaleNormal="80" workbookViewId="0">
      <selection activeCell="F15" sqref="F15"/>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81640625" style="2046" customWidth="1"/>
    <col min="6" max="6" width="10.6328125" style="2046" customWidth="1"/>
    <col min="7" max="7" width="4.90625" style="2046" customWidth="1"/>
    <col min="8" max="8" width="8.453125" style="2046" customWidth="1"/>
    <col min="9" max="9" width="21.1796875" style="2046" customWidth="1"/>
    <col min="10" max="10" width="12.179687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81640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3006</v>
      </c>
      <c r="D1" s="3078" t="s">
        <v>3078</v>
      </c>
      <c r="E1" s="2352" t="s">
        <v>2372</v>
      </c>
      <c r="F1" s="2353">
        <f ca="1">J53</f>
        <v>36.86</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56653</v>
      </c>
      <c r="C2" s="2043"/>
      <c r="D2" s="2041"/>
      <c r="E2" s="2042"/>
      <c r="F2" s="2042"/>
      <c r="G2" s="1577"/>
      <c r="H2" s="2043"/>
      <c r="I2" s="2043"/>
      <c r="J2" s="2043"/>
      <c r="K2" s="2044"/>
      <c r="L2" s="2043"/>
      <c r="M2" s="2043"/>
    </row>
    <row r="3" spans="1:33" ht="18" customHeight="1" thickBot="1">
      <c r="A3" s="833" t="s">
        <v>1727</v>
      </c>
      <c r="B3" s="834">
        <f ca="1">IF(ISERROR(B2*10000/F43),0,ROUND(B2*10000/F43,0))</f>
        <v>12571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3499</v>
      </c>
      <c r="D5" s="2461" t="s">
        <v>2459</v>
      </c>
      <c r="E5" s="2455"/>
      <c r="F5" s="2456"/>
      <c r="G5" s="1579"/>
      <c r="H5" s="781">
        <v>1</v>
      </c>
      <c r="I5" s="782" t="s">
        <v>2456</v>
      </c>
      <c r="J5" s="55">
        <f ca="1">J6+J10+J12</f>
        <v>0</v>
      </c>
      <c r="K5" s="2461" t="s">
        <v>2459</v>
      </c>
      <c r="L5" s="2455"/>
      <c r="M5" s="2456"/>
    </row>
    <row r="6" spans="1:33" ht="18" customHeight="1">
      <c r="A6" s="1816" t="s">
        <v>1824</v>
      </c>
      <c r="B6" s="3445" t="s">
        <v>2461</v>
      </c>
      <c r="C6" s="783">
        <f ca="1">ROUND(F6*F8*F7*(1-F9)/10000,0)</f>
        <v>3495</v>
      </c>
      <c r="D6" s="2462" t="s">
        <v>2460</v>
      </c>
      <c r="E6" s="784" t="s">
        <v>1738</v>
      </c>
      <c r="F6" s="785">
        <f ca="1">INDIRECT("'数据-取费表'!u"&amp;$G$1)</f>
        <v>2.5</v>
      </c>
      <c r="G6" s="1579"/>
      <c r="H6" s="2469" t="s">
        <v>2466</v>
      </c>
      <c r="I6" s="3445" t="s">
        <v>2461</v>
      </c>
      <c r="J6" s="783">
        <f ca="1">ROUND(M6*M8*M7*(1-M9)/10000,0)</f>
        <v>0</v>
      </c>
      <c r="K6" s="341" t="s">
        <v>1737</v>
      </c>
      <c r="L6" s="784" t="s">
        <v>1738</v>
      </c>
      <c r="M6" s="785">
        <f ca="1">INDIRECT("'数据-取费表'!z"&amp;$G$1)</f>
        <v>0</v>
      </c>
    </row>
    <row r="7" spans="1:33" ht="18" customHeight="1">
      <c r="A7" s="2465"/>
      <c r="B7" s="3446"/>
      <c r="C7" s="788"/>
      <c r="D7" s="789"/>
      <c r="E7" s="784" t="s">
        <v>1739</v>
      </c>
      <c r="F7" s="785">
        <f ca="1">IF(INDIRECT("'数据-取费表'!ah"&amp;$G$1)="",INDIRECT("'数据-取费表'!k"&amp;$G$1),INDIRECT("'数据-取费表'!ah"&amp;$G$1))</f>
        <v>45064.9</v>
      </c>
      <c r="G7" s="1579"/>
      <c r="H7" s="2454"/>
      <c r="I7" s="3446"/>
      <c r="J7" s="788"/>
      <c r="K7" s="789"/>
      <c r="L7" s="784" t="s">
        <v>1739</v>
      </c>
      <c r="M7" s="785">
        <f ca="1">F7</f>
        <v>45064.9</v>
      </c>
    </row>
    <row r="8" spans="1:33" ht="18" customHeight="1">
      <c r="A8" s="2458"/>
      <c r="B8" s="3447"/>
      <c r="C8" s="788"/>
      <c r="D8" s="789"/>
      <c r="E8" s="784" t="s">
        <v>1740</v>
      </c>
      <c r="F8" s="785">
        <f ca="1">INDIRECT("'数据-取费表'!ai"&amp;$G$1)</f>
        <v>365</v>
      </c>
      <c r="G8" s="1579"/>
      <c r="H8" s="2454"/>
      <c r="I8" s="3447"/>
      <c r="J8" s="788"/>
      <c r="K8" s="789"/>
      <c r="L8" s="784" t="s">
        <v>1740</v>
      </c>
      <c r="M8" s="785">
        <f ca="1">INDIRECT("'数据-取费表'!ai"&amp;$G$1)</f>
        <v>365</v>
      </c>
    </row>
    <row r="9" spans="1:33" ht="18" customHeight="1">
      <c r="A9" s="786"/>
      <c r="B9" s="3448"/>
      <c r="C9" s="788"/>
      <c r="D9" s="789"/>
      <c r="E9" s="784" t="s">
        <v>1741</v>
      </c>
      <c r="F9" s="794">
        <f ca="1">INDIRECT("'数据-取费表'!w"&amp;$G$1)</f>
        <v>0.15</v>
      </c>
      <c r="G9" s="1579"/>
      <c r="H9" s="2470"/>
      <c r="I9" s="3447"/>
      <c r="J9" s="788"/>
      <c r="K9" s="789"/>
      <c r="L9" s="795" t="s">
        <v>1741</v>
      </c>
      <c r="M9" s="796">
        <f ca="1">INDIRECT("'数据-取费表'!ab"&amp;$G$1)</f>
        <v>0</v>
      </c>
    </row>
    <row r="10" spans="1:33" ht="18" customHeight="1">
      <c r="A10" s="1816" t="s">
        <v>2464</v>
      </c>
      <c r="B10" s="2459" t="s">
        <v>2457</v>
      </c>
      <c r="C10" s="799">
        <f ca="1">ROUND(IF(F10="押一",C6/12*F11,IF(F10="押二",C6/12*2*F11,IF(F10="押三",C6/12*3*F11,C11*F11))),0)</f>
        <v>4</v>
      </c>
      <c r="D10" s="2466" t="s">
        <v>2972</v>
      </c>
      <c r="E10" s="2463" t="s">
        <v>2462</v>
      </c>
      <c r="F10" s="2586" t="s">
        <v>3079</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22492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14421</v>
      </c>
      <c r="D14" s="1965" t="s">
        <v>1745</v>
      </c>
      <c r="E14" s="1966"/>
      <c r="F14" s="805"/>
      <c r="G14" s="1579"/>
      <c r="H14" s="1635" t="s">
        <v>1830</v>
      </c>
      <c r="I14" s="2217" t="s">
        <v>2823</v>
      </c>
      <c r="J14" s="53">
        <f ca="1">C29</f>
        <v>22492</v>
      </c>
      <c r="K14" s="26"/>
      <c r="L14" s="801"/>
      <c r="M14" s="802"/>
    </row>
    <row r="15" spans="1:33" s="2050" customFormat="1" ht="18" customHeight="1" thickBot="1">
      <c r="A15" s="1634" t="s">
        <v>1885</v>
      </c>
      <c r="B15" s="784" t="s">
        <v>647</v>
      </c>
      <c r="C15" s="53">
        <f ca="1">ROUND(C14*F15,0)</f>
        <v>433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2138</v>
      </c>
      <c r="K16" s="1807" t="s">
        <v>1750</v>
      </c>
      <c r="L16" s="2451"/>
      <c r="M16" s="2456"/>
    </row>
    <row r="17" spans="1:33" s="2050" customFormat="1" ht="18" customHeight="1">
      <c r="A17" s="1634" t="s">
        <v>1887</v>
      </c>
      <c r="B17" s="784" t="s">
        <v>653</v>
      </c>
      <c r="C17" s="53">
        <f ca="1">ROUND(F17*(F43+INDIRECT("'数据-取费表'!S"&amp;$G$1))/10000,0)</f>
        <v>901</v>
      </c>
      <c r="D17" s="784" t="s">
        <v>1751</v>
      </c>
      <c r="E17" s="784" t="s">
        <v>1752</v>
      </c>
      <c r="F17" s="56">
        <f>'数据-取费表'!B35</f>
        <v>200</v>
      </c>
      <c r="G17" s="1580"/>
      <c r="H17" s="1635" t="s">
        <v>1830</v>
      </c>
      <c r="I17" s="784" t="s">
        <v>656</v>
      </c>
      <c r="J17" s="53">
        <f ca="1">ROUND(IF(项目基本情况!B11="自然人",J6*M17/(1+'数据-取费表'!C42),J18+J19+J20),0)</f>
        <v>1913</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216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15971</v>
      </c>
      <c r="D19" s="261" t="s">
        <v>1757</v>
      </c>
      <c r="E19" s="1968"/>
      <c r="F19" s="56"/>
      <c r="G19" s="1579"/>
      <c r="H19" s="1634" t="s">
        <v>1885</v>
      </c>
      <c r="I19" s="784" t="s">
        <v>1758</v>
      </c>
      <c r="J19" s="53">
        <f ca="1">IF(K19="按租金收入计税",ROUND(J6*M19/(1+'数据-取费表'!C42),1),ROUND(C29*F33*0.7,1))</f>
        <v>1889.3</v>
      </c>
      <c r="K19" s="811" t="s">
        <v>665</v>
      </c>
      <c r="L19" s="784" t="s">
        <v>1747</v>
      </c>
      <c r="M19" s="809">
        <f>IF(K19="按租金收入计税",'数据-取费表'!B51,'数据-取费表'!B50)</f>
        <v>1.2E-2</v>
      </c>
    </row>
    <row r="20" spans="1:33" s="2050" customFormat="1" ht="18" customHeight="1">
      <c r="A20" s="1635" t="s">
        <v>1889</v>
      </c>
      <c r="B20" s="784" t="s">
        <v>666</v>
      </c>
      <c r="C20" s="53">
        <f ca="1">ROUND(C19*F20,0)</f>
        <v>319</v>
      </c>
      <c r="D20" s="812" t="s">
        <v>1759</v>
      </c>
      <c r="E20" s="784" t="s">
        <v>1747</v>
      </c>
      <c r="F20" s="809">
        <f>'数据-取费表'!B37</f>
        <v>0.02</v>
      </c>
      <c r="G20" s="1580"/>
      <c r="H20" s="1637" t="s">
        <v>1880</v>
      </c>
      <c r="I20" s="341" t="s">
        <v>1760</v>
      </c>
      <c r="J20" s="54">
        <f ca="1">ROUND(M20*M21/10000,0)</f>
        <v>24</v>
      </c>
      <c r="K20" s="814" t="s">
        <v>1761</v>
      </c>
      <c r="L20" s="784" t="s">
        <v>1762</v>
      </c>
      <c r="M20" s="640">
        <f>'数据-取费表'!B52</f>
        <v>12</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19593.43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225</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1174</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-2138</v>
      </c>
      <c r="K25" s="2513" t="s">
        <v>1777</v>
      </c>
      <c r="L25" s="2514"/>
      <c r="M25" s="2515"/>
    </row>
    <row r="26" spans="1:33" ht="18" customHeight="1">
      <c r="A26" s="1634" t="s">
        <v>1831</v>
      </c>
      <c r="B26" s="784" t="s">
        <v>2436</v>
      </c>
      <c r="C26" s="53">
        <f ca="1">ROUND((C19+C20)*F26,0)</f>
        <v>3258</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22492</v>
      </c>
      <c r="D29" s="2510"/>
      <c r="E29" s="2511"/>
      <c r="F29" s="2512"/>
      <c r="G29" s="1580"/>
      <c r="H29" s="823" t="s">
        <v>1787</v>
      </c>
      <c r="I29" s="824" t="s">
        <v>1788</v>
      </c>
      <c r="J29" s="825">
        <f ca="1">ROUND(J26/(1+F40)^F41,0)</f>
        <v>0</v>
      </c>
      <c r="K29" s="826" t="s">
        <v>1789</v>
      </c>
      <c r="L29" s="827"/>
      <c r="M29" s="828">
        <f ca="1">INDIRECT("'数据-取费表'!k"&amp;$G$1)</f>
        <v>45064.9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903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609.29999999999995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186.4</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399.4</v>
      </c>
      <c r="D33" s="811" t="s">
        <v>3080</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23.5</v>
      </c>
      <c r="D34" s="814" t="s">
        <v>1799</v>
      </c>
      <c r="E34" s="784" t="s">
        <v>1800</v>
      </c>
      <c r="F34" s="640">
        <f>'数据-取费表'!B52</f>
        <v>12</v>
      </c>
      <c r="G34" s="2048"/>
      <c r="H34" s="2051"/>
      <c r="I34" s="835" t="s">
        <v>1813</v>
      </c>
      <c r="J34" s="836"/>
      <c r="K34" s="2066"/>
      <c r="L34" s="2065"/>
      <c r="M34" s="2065"/>
    </row>
    <row r="35" spans="1:18" ht="18" customHeight="1">
      <c r="A35" s="815"/>
      <c r="B35" s="793"/>
      <c r="C35" s="69"/>
      <c r="D35" s="816"/>
      <c r="E35" s="784" t="s">
        <v>1801</v>
      </c>
      <c r="F35" s="785">
        <f ca="1">INDIRECT("'数据-取费表'!r"&amp;$G$1)</f>
        <v>19593.43</v>
      </c>
      <c r="G35" s="2048"/>
      <c r="H35" s="2051"/>
      <c r="I35" s="837" t="s">
        <v>1814</v>
      </c>
      <c r="J35" s="838">
        <f ca="1">ROUND(C13*J36,0)</f>
        <v>1912</v>
      </c>
      <c r="K35" s="2064"/>
      <c r="L35" s="2063"/>
      <c r="M35" s="2063"/>
    </row>
    <row r="36" spans="1:18" ht="18" customHeight="1">
      <c r="A36" s="1635" t="s">
        <v>1889</v>
      </c>
      <c r="B36" s="784" t="s">
        <v>1802</v>
      </c>
      <c r="C36" s="53">
        <f ca="1">ROUND(C29*F36,1)</f>
        <v>224.9</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33.700000000000003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35</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2596</v>
      </c>
      <c r="D39" s="2513" t="s">
        <v>1806</v>
      </c>
      <c r="E39" s="2514"/>
      <c r="F39" s="2515"/>
      <c r="G39" s="2048"/>
      <c r="H39" s="2063"/>
      <c r="I39" s="837" t="s">
        <v>1818</v>
      </c>
      <c r="J39" s="845">
        <f ca="1">ROUND(J35/C39,3)</f>
        <v>0.73699999999999999</v>
      </c>
      <c r="K39" s="2069"/>
      <c r="L39" s="2063"/>
      <c r="M39" s="2063"/>
    </row>
    <row r="40" spans="1:18" ht="18" customHeight="1">
      <c r="A40" s="781" t="s">
        <v>1895</v>
      </c>
      <c r="B40" s="2218" t="s">
        <v>2299</v>
      </c>
      <c r="C40" s="783">
        <f ca="1">ROUND(C39*(1-((1+F42)/(1+F40))^F41)/(F40-F42),0)</f>
        <v>56653</v>
      </c>
      <c r="D40" s="814" t="s">
        <v>1807</v>
      </c>
      <c r="E40" s="784" t="s">
        <v>2417</v>
      </c>
      <c r="F40" s="794">
        <f ca="1">INDIRECT("'数据-取费表'!I"&amp;$G$1)</f>
        <v>5.5E-2</v>
      </c>
      <c r="G40" s="2048"/>
      <c r="H40" s="2048"/>
      <c r="I40" s="837" t="s">
        <v>1819</v>
      </c>
      <c r="J40" s="845">
        <f ca="1">1-J39</f>
        <v>0.26300000000000001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36.86</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0.39700000000000002</v>
      </c>
      <c r="K42" s="2068"/>
      <c r="L42" s="1974"/>
      <c r="M42" s="1974"/>
    </row>
    <row r="43" spans="1:18" ht="18" customHeight="1" thickBot="1">
      <c r="A43" s="823" t="s">
        <v>1787</v>
      </c>
      <c r="B43" s="824" t="s">
        <v>1810</v>
      </c>
      <c r="C43" s="825">
        <f ca="1">ROUND(C40*10000/F43,0)</f>
        <v>12571</v>
      </c>
      <c r="D43" s="826" t="s">
        <v>1811</v>
      </c>
      <c r="E43" s="827" t="s">
        <v>1812</v>
      </c>
      <c r="F43" s="828">
        <f ca="1">INDIRECT("'数据-取费表'!k"&amp;$G$1)</f>
        <v>45064.9</v>
      </c>
      <c r="G43" s="2048"/>
      <c r="H43" s="1974"/>
      <c r="I43" s="847" t="s">
        <v>1822</v>
      </c>
      <c r="J43" s="848">
        <f ca="1">1-J42</f>
        <v>0.60299999999999998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-61068</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3081</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39.86</v>
      </c>
      <c r="O48" s="2363" t="s">
        <v>2377</v>
      </c>
      <c r="P48" s="2364" t="s">
        <v>2403</v>
      </c>
      <c r="Q48" s="2365">
        <f ca="1">C40+J29</f>
        <v>56653</v>
      </c>
      <c r="R48" s="2364" t="s">
        <v>2378</v>
      </c>
    </row>
    <row r="49" spans="1:18" s="2045" customFormat="1" ht="18" customHeight="1" thickBot="1">
      <c r="A49" s="786"/>
      <c r="B49" s="787"/>
      <c r="C49" s="788"/>
      <c r="D49" s="789"/>
      <c r="E49" s="784" t="s">
        <v>1739</v>
      </c>
      <c r="F49" s="785">
        <f ca="1">F7</f>
        <v>45064.9</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22492</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11727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36.86</v>
      </c>
      <c r="K53" s="3451" t="s">
        <v>2964</v>
      </c>
      <c r="L53" s="3452"/>
      <c r="O53" s="2366" t="s">
        <v>2386</v>
      </c>
      <c r="P53" s="2364" t="s">
        <v>2387</v>
      </c>
      <c r="Q53" s="2365">
        <f ca="1">J53</f>
        <v>36.86</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56653</v>
      </c>
      <c r="R54" s="2368" t="s">
        <v>2390</v>
      </c>
    </row>
    <row r="55" spans="1:18" s="2045" customFormat="1" ht="18" customHeight="1" thickTop="1" thickBot="1">
      <c r="A55" s="797">
        <v>2</v>
      </c>
      <c r="B55" s="798" t="s">
        <v>644</v>
      </c>
      <c r="C55" s="799">
        <f ca="1">C13</f>
        <v>22492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22492</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282</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56653</v>
      </c>
      <c r="R57" s="2364" t="s">
        <v>2378</v>
      </c>
    </row>
    <row r="58" spans="1:18" s="2045" customFormat="1" ht="28.5" customHeight="1" thickBot="1">
      <c r="A58" s="1635" t="s">
        <v>1824</v>
      </c>
      <c r="B58" s="784" t="s">
        <v>656</v>
      </c>
      <c r="C58" s="53">
        <f ca="1">ROUND(IF(项目基本情况!B11="自然人",C47*F58,C59+C60+C61),1)</f>
        <v>23.5</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23.5</v>
      </c>
      <c r="D61" s="814" t="s">
        <v>669</v>
      </c>
      <c r="E61" s="784" t="s">
        <v>670</v>
      </c>
      <c r="F61" s="640">
        <f t="shared" si="0"/>
        <v>12</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19593.43</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224.9</v>
      </c>
      <c r="D63" s="2604" t="s">
        <v>1803</v>
      </c>
      <c r="E63" s="784" t="s">
        <v>1747</v>
      </c>
      <c r="F63" s="817">
        <f t="shared" ca="1" si="0"/>
        <v>0.01</v>
      </c>
      <c r="I63" s="3122" t="s">
        <v>2368</v>
      </c>
      <c r="J63" s="3123">
        <v>70</v>
      </c>
      <c r="K63" s="3123">
        <v>50</v>
      </c>
      <c r="L63" s="3123">
        <v>80</v>
      </c>
      <c r="M63" s="3125">
        <v>0.02</v>
      </c>
      <c r="O63" s="2363" t="s">
        <v>2389</v>
      </c>
      <c r="P63" s="2364" t="s">
        <v>2406</v>
      </c>
      <c r="Q63" s="2365">
        <f ca="1">Q57+Q58</f>
        <v>56653</v>
      </c>
      <c r="R63" s="2368" t="s">
        <v>2390</v>
      </c>
    </row>
    <row r="64" spans="1:18" s="2045" customFormat="1" ht="16" thickBot="1">
      <c r="A64" s="1635" t="s">
        <v>1890</v>
      </c>
      <c r="B64" s="784" t="s">
        <v>679</v>
      </c>
      <c r="C64" s="53">
        <f ca="1">ROUND(C55*F64,1)</f>
        <v>33.700000000000003</v>
      </c>
      <c r="D64" s="2604"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6" thickBot="1">
      <c r="A65" s="1635" t="s">
        <v>1891</v>
      </c>
      <c r="B65" s="784" t="s">
        <v>666</v>
      </c>
      <c r="C65" s="53">
        <f ca="1">ROUND(C47*F65,1)</f>
        <v>0</v>
      </c>
      <c r="D65" s="2604" t="s">
        <v>683</v>
      </c>
      <c r="E65" s="784" t="s">
        <v>1747</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6.5" thickBot="1">
      <c r="A66" s="797" t="s">
        <v>1776</v>
      </c>
      <c r="B66" s="2964" t="s">
        <v>2819</v>
      </c>
      <c r="C66" s="799">
        <f ca="1">C47-C57</f>
        <v>-282</v>
      </c>
      <c r="D66" s="2603" t="s">
        <v>700</v>
      </c>
      <c r="E66" s="2602"/>
      <c r="F66" s="820"/>
      <c r="K66" s="2072"/>
      <c r="O66" s="2363" t="s">
        <v>2377</v>
      </c>
      <c r="P66" s="2364" t="s">
        <v>2407</v>
      </c>
      <c r="Q66" s="2365">
        <f ca="1">C40+J29</f>
        <v>56653</v>
      </c>
      <c r="R66" s="2364" t="s">
        <v>2378</v>
      </c>
    </row>
    <row r="67" spans="1:18" s="2045" customFormat="1" ht="17" thickBot="1">
      <c r="A67" s="781" t="s">
        <v>1780</v>
      </c>
      <c r="B67" s="2218" t="s">
        <v>2299</v>
      </c>
      <c r="C67" s="783">
        <f ca="1">ROUND(C66*(1-((1+F69)/(1+F67))^F68)/(F67-F69),0)</f>
        <v>-4415</v>
      </c>
      <c r="D67" s="814" t="s">
        <v>704</v>
      </c>
      <c r="E67" s="784" t="s">
        <v>705</v>
      </c>
      <c r="F67" s="794">
        <f ca="1">F40</f>
        <v>5.5E-2</v>
      </c>
      <c r="K67" s="2072"/>
      <c r="O67" s="2363" t="s">
        <v>2379</v>
      </c>
      <c r="P67" s="2364" t="s">
        <v>2410</v>
      </c>
      <c r="Q67" s="2365">
        <f ca="1">L60</f>
        <v>0</v>
      </c>
      <c r="R67" s="2368" t="s">
        <v>2412</v>
      </c>
    </row>
    <row r="68" spans="1:18" ht="21" thickBot="1">
      <c r="A68" s="786"/>
      <c r="B68" s="787"/>
      <c r="C68" s="788"/>
      <c r="D68" s="821" t="s">
        <v>1808</v>
      </c>
      <c r="E68" s="784" t="s">
        <v>1784</v>
      </c>
      <c r="F68" s="822">
        <f ca="1">F41</f>
        <v>36.86</v>
      </c>
      <c r="O68" s="2366" t="s">
        <v>2381</v>
      </c>
      <c r="P68" s="2364" t="s">
        <v>2411</v>
      </c>
      <c r="Q68" s="2370">
        <f ca="1">L51</f>
        <v>11727</v>
      </c>
      <c r="R68" s="2371" t="s">
        <v>2414</v>
      </c>
    </row>
    <row r="69" spans="1:18" ht="17" thickBot="1">
      <c r="A69" s="790"/>
      <c r="B69" s="791"/>
      <c r="C69" s="792"/>
      <c r="D69" s="816"/>
      <c r="E69" s="784" t="s">
        <v>710</v>
      </c>
      <c r="F69" s="2336"/>
      <c r="O69" s="2366" t="s">
        <v>2382</v>
      </c>
      <c r="P69" s="2372" t="s">
        <v>2396</v>
      </c>
      <c r="Q69" s="2365">
        <f ca="1">ROUND(Q70-Q71*Q72,0)</f>
        <v>684</v>
      </c>
      <c r="R69" s="2368"/>
    </row>
    <row r="70" spans="1:18" ht="16" thickBot="1">
      <c r="A70" s="823" t="s">
        <v>1787</v>
      </c>
      <c r="B70" s="824" t="s">
        <v>1810</v>
      </c>
      <c r="C70" s="825">
        <f ca="1">ROUND(C67*10000/F70,0)</f>
        <v>-980</v>
      </c>
      <c r="D70" s="826" t="s">
        <v>1811</v>
      </c>
      <c r="E70" s="827" t="s">
        <v>1812</v>
      </c>
      <c r="F70" s="828">
        <f ca="1">F43</f>
        <v>45064.9</v>
      </c>
      <c r="O70" s="2366" t="s">
        <v>2397</v>
      </c>
      <c r="P70" s="2372" t="s">
        <v>2398</v>
      </c>
      <c r="Q70" s="2365">
        <f ca="1">C39</f>
        <v>2596</v>
      </c>
      <c r="R70" s="2364" t="s">
        <v>2378</v>
      </c>
    </row>
    <row r="71" spans="1:18" ht="16" thickBot="1">
      <c r="O71" s="2366" t="s">
        <v>2399</v>
      </c>
      <c r="P71" s="2372" t="s">
        <v>2400</v>
      </c>
      <c r="Q71" s="2365">
        <f ca="1">C13</f>
        <v>22492</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56653</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81640625" customWidth="1"/>
  </cols>
  <sheetData>
    <row r="1" spans="1:9" ht="15">
      <c r="A1" s="3469" t="s">
        <v>2469</v>
      </c>
      <c r="B1" s="3470"/>
      <c r="C1" s="3471"/>
      <c r="D1" s="3472">
        <f>SUM(I10,I15,I20,I21,I23)</f>
        <v>0</v>
      </c>
      <c r="E1" s="3472"/>
      <c r="F1" s="3472"/>
      <c r="G1" s="3472"/>
      <c r="H1" s="3472"/>
      <c r="I1" s="3473"/>
    </row>
    <row r="2" spans="1:9">
      <c r="A2" s="3459" t="s">
        <v>2470</v>
      </c>
      <c r="B2" s="3460" t="s">
        <v>2471</v>
      </c>
      <c r="C2" s="3460"/>
      <c r="D2" s="2472" t="s">
        <v>2472</v>
      </c>
      <c r="E2" s="2472" t="s">
        <v>2473</v>
      </c>
      <c r="F2" s="2472" t="s">
        <v>2474</v>
      </c>
      <c r="G2" s="2472" t="s">
        <v>2475</v>
      </c>
      <c r="H2" s="2472" t="s">
        <v>2476</v>
      </c>
      <c r="I2" s="2473" t="s">
        <v>2477</v>
      </c>
    </row>
    <row r="3" spans="1:9">
      <c r="A3" s="3459"/>
      <c r="B3" s="3460" t="s">
        <v>2478</v>
      </c>
      <c r="C3" s="3460"/>
      <c r="D3" s="2474"/>
      <c r="E3" s="2472"/>
      <c r="F3" s="2475"/>
      <c r="G3" s="2475"/>
      <c r="H3" s="2476"/>
      <c r="I3" s="2477">
        <f>ROUND(D3*E3*F3*G3*H3/10000,0)</f>
        <v>0</v>
      </c>
    </row>
    <row r="4" spans="1:9">
      <c r="A4" s="3459"/>
      <c r="B4" s="3460" t="s">
        <v>2479</v>
      </c>
      <c r="C4" s="3460"/>
      <c r="D4" s="2474"/>
      <c r="E4" s="2472"/>
      <c r="F4" s="2475"/>
      <c r="G4" s="2475"/>
      <c r="H4" s="2476"/>
      <c r="I4" s="2477">
        <f t="shared" ref="I4:I9" si="0">ROUND(D4*E4*F4*G4*H4/10000,0)</f>
        <v>0</v>
      </c>
    </row>
    <row r="5" spans="1:9">
      <c r="A5" s="3459"/>
      <c r="B5" s="3460" t="s">
        <v>2480</v>
      </c>
      <c r="C5" s="3460"/>
      <c r="D5" s="2474"/>
      <c r="E5" s="2472"/>
      <c r="F5" s="2475"/>
      <c r="G5" s="2475"/>
      <c r="H5" s="2476"/>
      <c r="I5" s="2477">
        <f t="shared" si="0"/>
        <v>0</v>
      </c>
    </row>
    <row r="6" spans="1:9">
      <c r="A6" s="3459"/>
      <c r="B6" s="3460" t="s">
        <v>2481</v>
      </c>
      <c r="C6" s="3460"/>
      <c r="D6" s="2474"/>
      <c r="E6" s="2472"/>
      <c r="F6" s="2475"/>
      <c r="G6" s="2475"/>
      <c r="H6" s="2476"/>
      <c r="I6" s="2477">
        <f t="shared" si="0"/>
        <v>0</v>
      </c>
    </row>
    <row r="7" spans="1:9">
      <c r="A7" s="3459"/>
      <c r="B7" s="3460" t="s">
        <v>2482</v>
      </c>
      <c r="C7" s="3460"/>
      <c r="D7" s="2474"/>
      <c r="E7" s="2472"/>
      <c r="F7" s="2475"/>
      <c r="G7" s="2475"/>
      <c r="H7" s="2476"/>
      <c r="I7" s="2477">
        <f t="shared" si="0"/>
        <v>0</v>
      </c>
    </row>
    <row r="8" spans="1:9">
      <c r="A8" s="3459"/>
      <c r="B8" s="3460" t="s">
        <v>2483</v>
      </c>
      <c r="C8" s="3460"/>
      <c r="D8" s="2474"/>
      <c r="E8" s="2472"/>
      <c r="F8" s="2475"/>
      <c r="G8" s="2475"/>
      <c r="H8" s="2476"/>
      <c r="I8" s="2477">
        <f t="shared" si="0"/>
        <v>0</v>
      </c>
    </row>
    <row r="9" spans="1:9">
      <c r="A9" s="3459"/>
      <c r="B9" s="3460" t="s">
        <v>2484</v>
      </c>
      <c r="C9" s="3460"/>
      <c r="D9" s="2474"/>
      <c r="E9" s="2472"/>
      <c r="F9" s="2475"/>
      <c r="G9" s="2475"/>
      <c r="H9" s="2476"/>
      <c r="I9" s="2477">
        <f t="shared" si="0"/>
        <v>0</v>
      </c>
    </row>
    <row r="10" spans="1:9">
      <c r="A10" s="3459"/>
      <c r="B10" s="3461" t="s">
        <v>2485</v>
      </c>
      <c r="C10" s="3461"/>
      <c r="D10" s="2478">
        <v>527</v>
      </c>
      <c r="E10" s="2478" t="e">
        <f>ROUND(D1*10000/D10/H9,0)</f>
        <v>#DIV/0!</v>
      </c>
      <c r="F10" s="2479"/>
      <c r="G10" s="2479"/>
      <c r="H10" s="2480"/>
      <c r="I10" s="2481">
        <f>SUM(I3:I9)</f>
        <v>0</v>
      </c>
    </row>
    <row r="11" spans="1:9" ht="15">
      <c r="A11" s="3459" t="s">
        <v>2486</v>
      </c>
      <c r="B11" s="3460" t="s">
        <v>2487</v>
      </c>
      <c r="C11" s="3460"/>
      <c r="D11" s="2474" t="s">
        <v>2488</v>
      </c>
      <c r="E11" s="2474" t="s">
        <v>2489</v>
      </c>
      <c r="F11" s="2475" t="s">
        <v>2490</v>
      </c>
      <c r="G11" s="2475" t="s">
        <v>2491</v>
      </c>
      <c r="H11" s="2482" t="s">
        <v>2492</v>
      </c>
      <c r="I11" s="2473" t="s">
        <v>2493</v>
      </c>
    </row>
    <row r="12" spans="1:9">
      <c r="A12" s="3459"/>
      <c r="B12" s="3460" t="s">
        <v>2494</v>
      </c>
      <c r="C12" s="3460"/>
      <c r="D12" s="2474"/>
      <c r="E12" s="2474"/>
      <c r="F12" s="2475"/>
      <c r="G12" s="2476"/>
      <c r="H12" s="2483"/>
      <c r="I12" s="2473">
        <f>ROUND(D12*E12*F12*G12/10000,0)</f>
        <v>0</v>
      </c>
    </row>
    <row r="13" spans="1:9">
      <c r="A13" s="3459"/>
      <c r="B13" s="3460" t="s">
        <v>2495</v>
      </c>
      <c r="C13" s="3460"/>
      <c r="D13" s="2474"/>
      <c r="E13" s="2474"/>
      <c r="F13" s="2475"/>
      <c r="G13" s="2476"/>
      <c r="H13" s="2483"/>
      <c r="I13" s="2473">
        <f>ROUND(D13*E13*F13*G13/10000,0)</f>
        <v>0</v>
      </c>
    </row>
    <row r="14" spans="1:9">
      <c r="A14" s="3459"/>
      <c r="B14" s="3460" t="s">
        <v>2496</v>
      </c>
      <c r="C14" s="3460"/>
      <c r="D14" s="2474"/>
      <c r="E14" s="2474"/>
      <c r="F14" s="2475"/>
      <c r="G14" s="2476"/>
      <c r="H14" s="2483"/>
      <c r="I14" s="2473">
        <f>ROUND(D14*E14*F14*G14/10000,0)</f>
        <v>0</v>
      </c>
    </row>
    <row r="15" spans="1:9">
      <c r="A15" s="3459"/>
      <c r="B15" s="3461" t="s">
        <v>2485</v>
      </c>
      <c r="C15" s="3461"/>
      <c r="D15" s="2478"/>
      <c r="E15" s="2478">
        <f>SUM(E12:E14)</f>
        <v>0</v>
      </c>
      <c r="F15" s="2479"/>
      <c r="G15" s="2476"/>
      <c r="H15" s="2483"/>
      <c r="I15" s="2484">
        <f>SUM(I12:I14)</f>
        <v>0</v>
      </c>
    </row>
    <row r="16" spans="1:9" ht="26">
      <c r="A16" s="3459" t="s">
        <v>2497</v>
      </c>
      <c r="B16" s="3460" t="s">
        <v>2498</v>
      </c>
      <c r="C16" s="3460"/>
      <c r="D16" s="2474" t="s">
        <v>2499</v>
      </c>
      <c r="E16" s="2485" t="s">
        <v>2500</v>
      </c>
      <c r="F16" s="2475" t="s">
        <v>2501</v>
      </c>
      <c r="G16" s="2476" t="s">
        <v>2491</v>
      </c>
      <c r="H16" s="2482" t="s">
        <v>2492</v>
      </c>
      <c r="I16" s="2473" t="s">
        <v>2493</v>
      </c>
    </row>
    <row r="17" spans="1:9" ht="15">
      <c r="A17" s="3459"/>
      <c r="B17" s="3460" t="s">
        <v>2502</v>
      </c>
      <c r="C17" s="3460"/>
      <c r="D17" s="2474"/>
      <c r="E17" s="2474"/>
      <c r="F17" s="2475"/>
      <c r="G17" s="2476"/>
      <c r="H17" s="2486"/>
      <c r="I17" s="2487">
        <f>ROUND(D17*E17*F17*G17/10000,0)</f>
        <v>0</v>
      </c>
    </row>
    <row r="18" spans="1:9" ht="15">
      <c r="A18" s="3459"/>
      <c r="B18" s="3460" t="s">
        <v>2503</v>
      </c>
      <c r="C18" s="3460"/>
      <c r="D18" s="2474"/>
      <c r="E18" s="2474"/>
      <c r="F18" s="2475"/>
      <c r="G18" s="2476"/>
      <c r="H18" s="2486"/>
      <c r="I18" s="2487">
        <f>ROUND(D18*E18*F18*G18/10000,0)</f>
        <v>0</v>
      </c>
    </row>
    <row r="19" spans="1:9" ht="15">
      <c r="A19" s="3459"/>
      <c r="B19" s="3460" t="s">
        <v>2504</v>
      </c>
      <c r="C19" s="3460"/>
      <c r="D19" s="2474"/>
      <c r="E19" s="2474"/>
      <c r="F19" s="2475"/>
      <c r="G19" s="2476"/>
      <c r="H19" s="2486"/>
      <c r="I19" s="2487">
        <f>ROUND(D19*E19*F19*G19/10000,0)</f>
        <v>0</v>
      </c>
    </row>
    <row r="20" spans="1:9">
      <c r="A20" s="3459"/>
      <c r="B20" s="3461" t="s">
        <v>2485</v>
      </c>
      <c r="C20" s="3461"/>
      <c r="D20" s="2478">
        <f>SUM(D17:D19)</f>
        <v>0</v>
      </c>
      <c r="E20" s="2478"/>
      <c r="F20" s="2479"/>
      <c r="G20" s="2476"/>
      <c r="H20" s="2483"/>
      <c r="I20" s="2484">
        <f>SUM(I17:I19)</f>
        <v>0</v>
      </c>
    </row>
    <row r="21" spans="1:9">
      <c r="A21" s="3459" t="s">
        <v>2505</v>
      </c>
      <c r="B21" s="3462"/>
      <c r="C21" s="3462"/>
      <c r="D21" s="3462"/>
      <c r="E21" s="3462"/>
      <c r="F21" s="3462"/>
      <c r="G21" s="3462"/>
      <c r="H21" s="2488">
        <v>0.1</v>
      </c>
      <c r="I21" s="2481">
        <f>ROUND(I10*H21,0)</f>
        <v>0</v>
      </c>
    </row>
    <row r="22" spans="1:9" ht="15">
      <c r="A22" s="3463" t="s">
        <v>2506</v>
      </c>
      <c r="B22" s="3464"/>
      <c r="C22" s="3465"/>
      <c r="D22" s="2489" t="s">
        <v>2507</v>
      </c>
      <c r="E22" s="2489" t="s">
        <v>2508</v>
      </c>
      <c r="F22" s="2490" t="s">
        <v>2509</v>
      </c>
      <c r="G22" s="2490" t="s">
        <v>2510</v>
      </c>
      <c r="H22" s="2482" t="s">
        <v>2511</v>
      </c>
      <c r="I22" s="2473" t="s">
        <v>2512</v>
      </c>
    </row>
    <row r="23" spans="1:9" ht="14.5" thickBot="1">
      <c r="A23" s="3466"/>
      <c r="B23" s="3467"/>
      <c r="C23" s="3468"/>
      <c r="D23" s="2491"/>
      <c r="E23" s="2491"/>
      <c r="F23" s="2491"/>
      <c r="G23" s="2492"/>
      <c r="H23" s="2493"/>
      <c r="I23" s="2494">
        <f>ROUND(E23*D23*F23*(1-G23)/10000,0)</f>
        <v>0</v>
      </c>
    </row>
    <row r="26" spans="1:9">
      <c r="A26" s="2495" t="s">
        <v>2513</v>
      </c>
      <c r="B26" s="2495"/>
      <c r="C26" s="2495"/>
      <c r="D26" s="2495"/>
      <c r="E26" s="3456">
        <f>C27-C30-C31-C32</f>
        <v>0</v>
      </c>
      <c r="F26" s="3456"/>
      <c r="G26" s="3456"/>
      <c r="H26" s="2996" t="s">
        <v>2840</v>
      </c>
    </row>
    <row r="27" spans="1:9">
      <c r="A27" s="2496">
        <v>1</v>
      </c>
      <c r="B27" s="2497" t="s">
        <v>2514</v>
      </c>
      <c r="C27" s="2497"/>
      <c r="D27" s="2497"/>
      <c r="E27" s="3457"/>
      <c r="F27" s="3457"/>
      <c r="G27" s="3457"/>
    </row>
    <row r="28" spans="1:9">
      <c r="A28" s="2498" t="s">
        <v>2515</v>
      </c>
      <c r="B28" s="2497" t="s">
        <v>2516</v>
      </c>
      <c r="C28" s="2497"/>
      <c r="D28" s="2497"/>
      <c r="E28" s="3457"/>
      <c r="F28" s="3457"/>
      <c r="G28" s="3457"/>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58"/>
      <c r="F32" s="3458"/>
      <c r="G32" s="3458"/>
    </row>
    <row r="33" spans="1:7" hidden="1">
      <c r="A33" s="3453" t="s">
        <v>2524</v>
      </c>
      <c r="B33" s="3454"/>
      <c r="C33" s="3454"/>
      <c r="D33" s="3455"/>
      <c r="E33" s="3456"/>
      <c r="F33" s="3456"/>
      <c r="G33" s="3456"/>
    </row>
    <row r="34" spans="1:7" hidden="1">
      <c r="A34" s="2500">
        <v>1</v>
      </c>
      <c r="B34" s="2497" t="s">
        <v>2525</v>
      </c>
      <c r="C34" s="2497"/>
      <c r="D34" s="2497"/>
      <c r="E34" s="3457"/>
      <c r="F34" s="3457"/>
      <c r="G34" s="3457"/>
    </row>
    <row r="35" spans="1:7" hidden="1">
      <c r="A35" s="2500">
        <v>2</v>
      </c>
      <c r="B35" s="2497" t="s">
        <v>2526</v>
      </c>
      <c r="C35" s="2497"/>
      <c r="D35" s="2497"/>
      <c r="E35" s="3457"/>
      <c r="F35" s="3457"/>
      <c r="G35" s="3457"/>
    </row>
    <row r="36" spans="1:7" hidden="1">
      <c r="A36" s="2500">
        <v>3</v>
      </c>
      <c r="B36" s="2497" t="s">
        <v>2527</v>
      </c>
      <c r="C36" s="2497"/>
      <c r="D36" s="2497"/>
      <c r="E36" s="3457"/>
      <c r="F36" s="3457"/>
      <c r="G36" s="3457"/>
    </row>
    <row r="37" spans="1:7" hidden="1">
      <c r="A37" s="2500">
        <v>4</v>
      </c>
      <c r="B37" s="2497" t="s">
        <v>2528</v>
      </c>
      <c r="C37" s="2497"/>
      <c r="D37" s="2497"/>
      <c r="E37" s="3457"/>
      <c r="F37" s="3457"/>
      <c r="G37" s="3457"/>
    </row>
    <row r="38" spans="1:7" hidden="1">
      <c r="A38" s="3453" t="s">
        <v>2529</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I47" sqref="I47"/>
    </sheetView>
  </sheetViews>
  <sheetFormatPr defaultColWidth="8.36328125" defaultRowHeight="12.5"/>
  <cols>
    <col min="1" max="1" width="9.36328125" style="2171" customWidth="1"/>
    <col min="2" max="2" width="26.6328125" style="2172" customWidth="1"/>
    <col min="3" max="3" width="11.08984375" style="2172" customWidth="1"/>
    <col min="4" max="5" width="11.08984375" style="2173" customWidth="1"/>
    <col min="6" max="6" width="9.453125" style="2172" customWidth="1"/>
    <col min="7" max="7" width="31.90625" style="2172" customWidth="1"/>
    <col min="8" max="25" width="9" style="2174" customWidth="1"/>
    <col min="26" max="254" width="9" style="2172" customWidth="1"/>
    <col min="255" max="16384" width="8.36328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9">
      <c r="A10" s="2434">
        <v>2</v>
      </c>
      <c r="B10" s="748" t="s">
        <v>613</v>
      </c>
      <c r="C10" s="749">
        <f>C11+C14+C15</f>
        <v>0</v>
      </c>
      <c r="D10" s="760">
        <f>'数据-汇总表'!E3</f>
        <v>300432.67</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1277</v>
      </c>
      <c r="D12" s="758">
        <f>'数据-汇总表'!E5</f>
        <v>255367.77</v>
      </c>
      <c r="E12" s="757">
        <f>'数据-取费表'!B27</f>
        <v>50</v>
      </c>
      <c r="F12" s="755"/>
      <c r="G12" s="759"/>
    </row>
    <row r="13" spans="1:25" s="2169" customFormat="1" ht="13.5" customHeight="1">
      <c r="A13" s="2441" t="s">
        <v>2445</v>
      </c>
      <c r="B13" s="756" t="s">
        <v>612</v>
      </c>
      <c r="C13" s="757">
        <f>ROUND(D13*E13/10000,0)</f>
        <v>315</v>
      </c>
      <c r="D13" s="758">
        <f>'数据-汇总表'!E6</f>
        <v>45064.899999999994</v>
      </c>
      <c r="E13" s="757">
        <f>'数据-取费表'!B28</f>
        <v>70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52">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6.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3">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0.93899999999999995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EDC4D-0DB7-4B7C-BF1A-F8AE427592AE}">
  <dimension ref="A1"/>
  <sheetViews>
    <sheetView workbookViewId="0">
      <selection activeCell="B18" sqref="B18"/>
    </sheetView>
  </sheetViews>
  <sheetFormatPr defaultRowHeight="14"/>
  <sheetData/>
  <phoneticPr fontId="228"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zoomScale="80" zoomScaleNormal="80" workbookViewId="0">
      <selection activeCell="L44" sqref="L44"/>
    </sheetView>
  </sheetViews>
  <sheetFormatPr defaultColWidth="9" defaultRowHeight="14"/>
  <cols>
    <col min="1" max="1" width="10.453125" style="1333" customWidth="1"/>
    <col min="2" max="2" width="15.81640625" style="1333" customWidth="1"/>
    <col min="3" max="3" width="15.08984375" style="1333" customWidth="1"/>
    <col min="4" max="4" width="12.1796875" style="1333" customWidth="1"/>
    <col min="5" max="5" width="16" style="1333" customWidth="1"/>
    <col min="6" max="6" width="12.1796875" style="1333" customWidth="1"/>
    <col min="7" max="7" width="16.26953125" style="1333" customWidth="1"/>
    <col min="8" max="8" width="12.1796875" style="1333" customWidth="1"/>
    <col min="9" max="9" width="17.179687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2588" t="s">
        <v>719</v>
      </c>
      <c r="C1" s="2589" t="s">
        <v>720</v>
      </c>
      <c r="D1" s="2590" t="s">
        <v>923</v>
      </c>
      <c r="E1" s="2591"/>
      <c r="F1" s="2763" t="s">
        <v>3115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179294</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7021</v>
      </c>
      <c r="C3" s="852" t="s">
        <v>722</v>
      </c>
      <c r="D3" s="851">
        <f>SUMIF('数据-汇总表'!$C19:$C33,D1,'数据-汇总表'!$E19:$E33)</f>
        <v>255367.77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c r="A4" s="512" t="s">
        <v>521</v>
      </c>
      <c r="B4" s="513"/>
      <c r="C4" s="3377" t="s">
        <v>522</v>
      </c>
      <c r="D4" s="3378"/>
      <c r="E4" s="3401" t="s">
        <v>523</v>
      </c>
      <c r="F4" s="3402"/>
      <c r="G4" s="3377" t="s">
        <v>524</v>
      </c>
      <c r="H4" s="3378"/>
      <c r="I4" s="3377" t="s">
        <v>525</v>
      </c>
      <c r="J4" s="3378"/>
      <c r="K4" s="853"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0" t="s">
        <v>524</v>
      </c>
      <c r="AC4" s="3360" t="s">
        <v>525</v>
      </c>
    </row>
    <row r="5" spans="1:29">
      <c r="A5" s="515"/>
      <c r="B5" s="516"/>
      <c r="C5" s="3388" t="s">
        <v>2928</v>
      </c>
      <c r="D5" s="3389"/>
      <c r="E5" s="3489" t="s">
        <v>3105</v>
      </c>
      <c r="F5" s="3404"/>
      <c r="G5" s="3490" t="s">
        <v>3106</v>
      </c>
      <c r="H5" s="3389"/>
      <c r="I5" s="3490" t="s">
        <v>3107</v>
      </c>
      <c r="J5" s="3389"/>
      <c r="K5" s="854"/>
      <c r="L5" s="2119"/>
      <c r="M5" s="2120"/>
      <c r="N5" s="2120"/>
      <c r="O5" s="2120"/>
      <c r="P5" s="3381"/>
      <c r="Q5" s="3382"/>
      <c r="R5" s="3367"/>
      <c r="S5" s="3368"/>
      <c r="T5" s="3367"/>
      <c r="U5" s="3368"/>
      <c r="V5" s="3385"/>
      <c r="W5" s="3385"/>
      <c r="X5" s="1554"/>
      <c r="Y5" s="3367"/>
      <c r="Z5" s="3368"/>
      <c r="AA5" s="3361"/>
      <c r="AB5" s="3361"/>
      <c r="AC5" s="3361"/>
    </row>
    <row r="6" spans="1:29" ht="15" thickBot="1">
      <c r="A6" s="517"/>
      <c r="B6" s="518"/>
      <c r="C6" s="3386" t="s">
        <v>2932</v>
      </c>
      <c r="D6" s="3387"/>
      <c r="E6" s="3405" t="s">
        <v>2932</v>
      </c>
      <c r="F6" s="3406"/>
      <c r="G6" s="3386" t="s">
        <v>2932</v>
      </c>
      <c r="H6" s="3387"/>
      <c r="I6" s="3386" t="s">
        <v>2932</v>
      </c>
      <c r="J6" s="3387"/>
      <c r="K6" s="854" t="s">
        <v>528</v>
      </c>
      <c r="L6" s="2119"/>
      <c r="M6" s="2120"/>
      <c r="N6" s="2120"/>
      <c r="O6" s="2120"/>
      <c r="P6" s="3383"/>
      <c r="Q6" s="3384"/>
      <c r="R6" s="3367"/>
      <c r="S6" s="3368"/>
      <c r="T6" s="3369"/>
      <c r="U6" s="3370"/>
      <c r="V6" s="3385"/>
      <c r="W6" s="3385"/>
      <c r="X6" s="1554"/>
      <c r="Y6" s="3369"/>
      <c r="Z6" s="3370"/>
      <c r="AA6" s="3362"/>
      <c r="AB6" s="3362"/>
      <c r="AC6" s="3362"/>
    </row>
    <row r="7" spans="1:29" s="1216" customFormat="1" ht="14.5" thickBot="1">
      <c r="A7" s="2868"/>
      <c r="B7" s="2875" t="s">
        <v>529</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1"/>
      <c r="M7" s="2122"/>
      <c r="N7" s="2122"/>
      <c r="O7" s="2122"/>
      <c r="P7" s="3363" t="s">
        <v>530</v>
      </c>
      <c r="Q7" s="3372"/>
      <c r="R7" s="1555" t="s">
        <v>13</v>
      </c>
      <c r="S7" s="1556">
        <f t="shared" ref="S7:S15" si="0">F7</f>
        <v>100</v>
      </c>
      <c r="T7" s="1555" t="s">
        <v>13</v>
      </c>
      <c r="U7" s="1556">
        <f t="shared" ref="U7:U15" si="1">H7</f>
        <v>100</v>
      </c>
      <c r="V7" s="1555" t="s">
        <v>13</v>
      </c>
      <c r="W7" s="1556">
        <f t="shared" ref="W7:W15" si="2">J7</f>
        <v>100</v>
      </c>
      <c r="X7" s="1557"/>
      <c r="Y7" s="3363" t="s">
        <v>530</v>
      </c>
      <c r="Z7" s="3364"/>
      <c r="AA7" s="1558">
        <f>D7/F7</f>
        <v>1</v>
      </c>
      <c r="AB7" s="1558">
        <f>D7/H7</f>
        <v>1</v>
      </c>
      <c r="AC7" s="1558">
        <f>D7/J7</f>
        <v>1</v>
      </c>
    </row>
    <row r="8" spans="1:29" s="1216" customFormat="1" ht="14.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63" t="s">
        <v>533</v>
      </c>
      <c r="Q8" s="3364"/>
      <c r="R8" s="1555" t="s">
        <v>13</v>
      </c>
      <c r="S8" s="1556">
        <f t="shared" si="0"/>
        <v>100</v>
      </c>
      <c r="T8" s="1555" t="s">
        <v>13</v>
      </c>
      <c r="U8" s="1556">
        <f t="shared" si="1"/>
        <v>100</v>
      </c>
      <c r="V8" s="1555" t="s">
        <v>13</v>
      </c>
      <c r="W8" s="1556">
        <f t="shared" si="2"/>
        <v>100</v>
      </c>
      <c r="X8" s="1557"/>
      <c r="Y8" s="3363" t="s">
        <v>533</v>
      </c>
      <c r="Z8" s="3364"/>
      <c r="AA8" s="1558">
        <f t="shared" ref="AA8:AA46" si="3">D8/F8</f>
        <v>1</v>
      </c>
      <c r="AB8" s="1558">
        <f t="shared" ref="AB8:AB46" si="4">D8/H8</f>
        <v>1</v>
      </c>
      <c r="AC8" s="1558">
        <f t="shared" ref="AC8:AC46" si="5">D8/J8</f>
        <v>1</v>
      </c>
    </row>
    <row r="9" spans="1:29" s="1216" customFormat="1">
      <c r="A9" s="2870"/>
      <c r="B9" s="2877" t="s">
        <v>2753</v>
      </c>
      <c r="C9" s="3491" t="s">
        <v>3108</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8">
      <c r="A10" s="2871"/>
      <c r="B10" s="2876" t="s">
        <v>2754</v>
      </c>
      <c r="C10" s="861" t="s">
        <v>3109</v>
      </c>
      <c r="D10" s="255">
        <v>100</v>
      </c>
      <c r="E10" s="862" t="s">
        <v>3109</v>
      </c>
      <c r="F10" s="863">
        <f>SUMIF(65:65,E10,66:66)-SUMIF(65:65,C10,66:66)+100</f>
        <v>100</v>
      </c>
      <c r="G10" s="861" t="s">
        <v>3109</v>
      </c>
      <c r="H10" s="255">
        <f>SUMIF(65:65,G10,66:66)-SUMIF(65:65,C10,66:66)+100</f>
        <v>100</v>
      </c>
      <c r="I10" s="861" t="s">
        <v>3109</v>
      </c>
      <c r="J10" s="255">
        <f>SUMIF(65:65,I10,66:66)-SUMIF(65:65,C10,66:66)+100</f>
        <v>100</v>
      </c>
      <c r="K10" s="864">
        <v>1</v>
      </c>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6" thickBot="1">
      <c r="A11" s="2872"/>
      <c r="B11" s="2876" t="s">
        <v>2755</v>
      </c>
      <c r="C11" s="533">
        <f>'数据-汇总表'!I6</f>
        <v>2.2999999999999998</v>
      </c>
      <c r="D11" s="255">
        <v>100</v>
      </c>
      <c r="E11" s="534">
        <v>2.62</v>
      </c>
      <c r="F11" s="863">
        <f>LOOKUP(E11,68:68,69:69)-LOOKUP(C11,68:68,69:69)+100</f>
        <v>100</v>
      </c>
      <c r="G11" s="533">
        <v>5.83</v>
      </c>
      <c r="H11" s="255">
        <f>LOOKUP(G11,68:68,69:69)-LOOKUP(C11,68:68,69:69)+100</f>
        <v>97</v>
      </c>
      <c r="I11" s="533">
        <v>1.1000000000000001</v>
      </c>
      <c r="J11" s="255">
        <f>LOOKUP(I11,68:68,69:69)-LOOKUP(C11,68:68,69:69)+100</f>
        <v>101</v>
      </c>
      <c r="K11" s="864">
        <v>1</v>
      </c>
      <c r="L11" s="2126"/>
      <c r="M11" s="2120"/>
      <c r="N11" s="2120"/>
      <c r="O11" s="2127"/>
      <c r="P11" s="3371"/>
      <c r="Q11" s="1147" t="str">
        <f t="shared" si="6"/>
        <v>容积率</v>
      </c>
      <c r="R11" s="1555" t="s">
        <v>11</v>
      </c>
      <c r="S11" s="1556">
        <f t="shared" si="0"/>
        <v>100</v>
      </c>
      <c r="T11" s="1555" t="s">
        <v>11</v>
      </c>
      <c r="U11" s="1556">
        <f t="shared" si="1"/>
        <v>97</v>
      </c>
      <c r="V11" s="1555" t="s">
        <v>11</v>
      </c>
      <c r="W11" s="1556">
        <f t="shared" si="2"/>
        <v>101</v>
      </c>
      <c r="X11" s="1557"/>
      <c r="Y11" s="3328"/>
      <c r="Z11" s="1146" t="str">
        <f t="shared" si="7"/>
        <v>容积率</v>
      </c>
      <c r="AA11" s="1558">
        <f t="shared" si="3"/>
        <v>1</v>
      </c>
      <c r="AB11" s="1558">
        <f t="shared" si="4"/>
        <v>1.0309278350515463</v>
      </c>
      <c r="AC11" s="1558">
        <f t="shared" si="5"/>
        <v>0.99009900990099009</v>
      </c>
    </row>
    <row r="12" spans="1:29" s="1216" customFormat="1" ht="15.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1"/>
      <c r="Q12" s="1147">
        <f t="shared" si="6"/>
        <v>111</v>
      </c>
      <c r="R12" s="1555" t="s">
        <v>11</v>
      </c>
      <c r="S12" s="1556">
        <f t="shared" si="0"/>
        <v>100</v>
      </c>
      <c r="T12" s="1555" t="s">
        <v>11</v>
      </c>
      <c r="U12" s="1556">
        <f t="shared" si="1"/>
        <v>100</v>
      </c>
      <c r="V12" s="1555" t="s">
        <v>11</v>
      </c>
      <c r="W12" s="1556">
        <f t="shared" si="2"/>
        <v>100</v>
      </c>
      <c r="X12" s="1557"/>
      <c r="Y12" s="3328"/>
      <c r="Z12" s="1146">
        <f t="shared" si="7"/>
        <v>111</v>
      </c>
      <c r="AA12" s="1558">
        <f>D12/F12</f>
        <v>1</v>
      </c>
      <c r="AB12" s="1558">
        <f>D12/H12</f>
        <v>1</v>
      </c>
      <c r="AC12" s="1558">
        <f>D12/J12</f>
        <v>1</v>
      </c>
    </row>
    <row r="13" spans="1:29" ht="15.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1"/>
      <c r="Q13" s="1147">
        <f t="shared" si="6"/>
        <v>111</v>
      </c>
      <c r="R13" s="1555" t="s">
        <v>11</v>
      </c>
      <c r="S13" s="1556">
        <f t="shared" si="0"/>
        <v>100</v>
      </c>
      <c r="T13" s="1555" t="s">
        <v>11</v>
      </c>
      <c r="U13" s="1556">
        <f t="shared" si="1"/>
        <v>100</v>
      </c>
      <c r="V13" s="1555" t="s">
        <v>11</v>
      </c>
      <c r="W13" s="1556">
        <f t="shared" si="2"/>
        <v>100</v>
      </c>
      <c r="X13" s="1557"/>
      <c r="Y13" s="3328"/>
      <c r="Z13" s="1146">
        <f t="shared" si="7"/>
        <v>111</v>
      </c>
      <c r="AA13" s="1558">
        <f t="shared" si="3"/>
        <v>1</v>
      </c>
      <c r="AB13" s="1558">
        <f t="shared" si="4"/>
        <v>1</v>
      </c>
      <c r="AC13" s="1558">
        <f t="shared" si="5"/>
        <v>1</v>
      </c>
    </row>
    <row r="14" spans="1:29" ht="16"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1"/>
      <c r="Q14" s="1147">
        <f t="shared" si="6"/>
        <v>111</v>
      </c>
      <c r="R14" s="1555" t="s">
        <v>11</v>
      </c>
      <c r="S14" s="1556">
        <f t="shared" si="0"/>
        <v>100</v>
      </c>
      <c r="T14" s="1555" t="s">
        <v>11</v>
      </c>
      <c r="U14" s="1556">
        <f t="shared" si="1"/>
        <v>100</v>
      </c>
      <c r="V14" s="1555" t="s">
        <v>11</v>
      </c>
      <c r="W14" s="1556">
        <f t="shared" si="2"/>
        <v>100</v>
      </c>
      <c r="X14" s="1557"/>
      <c r="Y14" s="3328"/>
      <c r="Z14" s="1146">
        <f t="shared" si="7"/>
        <v>111</v>
      </c>
      <c r="AA14" s="1558">
        <f t="shared" si="3"/>
        <v>1</v>
      </c>
      <c r="AB14" s="1558">
        <f t="shared" si="4"/>
        <v>1</v>
      </c>
      <c r="AC14" s="1558">
        <f t="shared" si="5"/>
        <v>1</v>
      </c>
    </row>
    <row r="15" spans="1:29" ht="98">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73" t="s">
        <v>540</v>
      </c>
      <c r="Q15" s="1559" t="str">
        <f t="shared" si="6"/>
        <v>居住社区成熟度</v>
      </c>
      <c r="R15" s="1560" t="s">
        <v>11</v>
      </c>
      <c r="S15" s="1561">
        <f t="shared" si="0"/>
        <v>100</v>
      </c>
      <c r="T15" s="1560" t="s">
        <v>11</v>
      </c>
      <c r="U15" s="1561">
        <f t="shared" si="1"/>
        <v>100</v>
      </c>
      <c r="V15" s="1560" t="s">
        <v>11</v>
      </c>
      <c r="W15" s="1561">
        <f t="shared" si="2"/>
        <v>100</v>
      </c>
      <c r="X15" s="1554"/>
      <c r="Y15" s="3373" t="s">
        <v>540</v>
      </c>
      <c r="Z15" s="1562" t="str">
        <f t="shared" si="7"/>
        <v>居住社区成熟度</v>
      </c>
      <c r="AA15" s="1563">
        <f t="shared" si="3"/>
        <v>1</v>
      </c>
      <c r="AB15" s="1563">
        <f t="shared" si="4"/>
        <v>1</v>
      </c>
      <c r="AC15" s="1563">
        <f t="shared" si="5"/>
        <v>1</v>
      </c>
    </row>
    <row r="16" spans="1:29" ht="15.5">
      <c r="A16" s="532"/>
      <c r="B16" s="869"/>
      <c r="C16" s="576" t="s">
        <v>3073</v>
      </c>
      <c r="D16" s="555"/>
      <c r="E16" s="556" t="s">
        <v>3073</v>
      </c>
      <c r="F16" s="557"/>
      <c r="G16" s="558" t="s">
        <v>3073</v>
      </c>
      <c r="H16" s="559"/>
      <c r="I16" s="556" t="s">
        <v>3073</v>
      </c>
      <c r="J16" s="555"/>
      <c r="K16" s="870"/>
      <c r="L16" s="2128"/>
      <c r="M16" s="2120"/>
      <c r="N16" s="2120"/>
      <c r="O16" s="2127"/>
      <c r="P16" s="3374"/>
      <c r="Q16" s="1559"/>
      <c r="R16" s="1560"/>
      <c r="S16" s="1561"/>
      <c r="T16" s="1560"/>
      <c r="U16" s="1561"/>
      <c r="V16" s="1560"/>
      <c r="W16" s="1561"/>
      <c r="X16" s="1554"/>
      <c r="Y16" s="3374"/>
      <c r="Z16" s="1562"/>
      <c r="AA16" s="1563">
        <v>1</v>
      </c>
      <c r="AB16" s="1563">
        <v>1</v>
      </c>
      <c r="AC16" s="1563">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28"/>
      <c r="M17" s="2120"/>
      <c r="N17" s="2120"/>
      <c r="O17" s="2127"/>
      <c r="P17" s="3374"/>
      <c r="Q17" s="1559" t="str">
        <f>B17</f>
        <v>交通便捷度</v>
      </c>
      <c r="R17" s="1560" t="s">
        <v>11</v>
      </c>
      <c r="S17" s="1561">
        <f>F17</f>
        <v>100</v>
      </c>
      <c r="T17" s="1560" t="s">
        <v>11</v>
      </c>
      <c r="U17" s="1561">
        <f>H17</f>
        <v>100</v>
      </c>
      <c r="V17" s="1560" t="s">
        <v>11</v>
      </c>
      <c r="W17" s="1561">
        <f>J17</f>
        <v>98</v>
      </c>
      <c r="X17" s="1554"/>
      <c r="Y17" s="3374"/>
      <c r="Z17" s="1562" t="str">
        <f>Q17</f>
        <v>交通便捷度</v>
      </c>
      <c r="AA17" s="1563">
        <f t="shared" si="3"/>
        <v>1</v>
      </c>
      <c r="AB17" s="1563">
        <f t="shared" si="4"/>
        <v>1</v>
      </c>
      <c r="AC17" s="1563">
        <f t="shared" si="5"/>
        <v>1.0204081632653061</v>
      </c>
    </row>
    <row r="18" spans="1:29" ht="15.5">
      <c r="A18" s="532"/>
      <c r="B18" s="595"/>
      <c r="C18" s="873" t="s">
        <v>3073</v>
      </c>
      <c r="D18" s="559"/>
      <c r="E18" s="568" t="s">
        <v>3073</v>
      </c>
      <c r="F18" s="563"/>
      <c r="G18" s="569" t="s">
        <v>3073</v>
      </c>
      <c r="H18" s="555"/>
      <c r="I18" s="568" t="s">
        <v>3074</v>
      </c>
      <c r="J18" s="555"/>
      <c r="K18" s="870"/>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98</v>
      </c>
      <c r="K19" s="868">
        <v>2</v>
      </c>
      <c r="L19" s="2128"/>
      <c r="M19" s="2120"/>
      <c r="N19" s="2120"/>
      <c r="O19" s="2127"/>
      <c r="P19" s="3374"/>
      <c r="Q19" s="1559" t="str">
        <f>B19</f>
        <v>公共配套设施</v>
      </c>
      <c r="R19" s="1560" t="s">
        <v>11</v>
      </c>
      <c r="S19" s="1561">
        <f>F19</f>
        <v>100</v>
      </c>
      <c r="T19" s="1560" t="s">
        <v>11</v>
      </c>
      <c r="U19" s="1561">
        <f>H19</f>
        <v>100</v>
      </c>
      <c r="V19" s="1560" t="s">
        <v>11</v>
      </c>
      <c r="W19" s="1561">
        <f>J19</f>
        <v>98</v>
      </c>
      <c r="X19" s="1554"/>
      <c r="Y19" s="3374"/>
      <c r="Z19" s="1562" t="str">
        <f>Q19</f>
        <v>公共配套设施</v>
      </c>
      <c r="AA19" s="1563">
        <f t="shared" si="3"/>
        <v>1</v>
      </c>
      <c r="AB19" s="1563">
        <f t="shared" si="4"/>
        <v>1</v>
      </c>
      <c r="AC19" s="1563">
        <f t="shared" si="5"/>
        <v>1.0204081632653061</v>
      </c>
    </row>
    <row r="20" spans="1:29" ht="15.5">
      <c r="A20" s="532"/>
      <c r="B20" s="595"/>
      <c r="C20" s="576" t="s">
        <v>3073</v>
      </c>
      <c r="D20" s="555"/>
      <c r="E20" s="556" t="s">
        <v>3073</v>
      </c>
      <c r="F20" s="557"/>
      <c r="G20" s="558" t="s">
        <v>3073</v>
      </c>
      <c r="H20" s="555"/>
      <c r="I20" s="556" t="s">
        <v>3074</v>
      </c>
      <c r="J20" s="555"/>
      <c r="K20" s="870"/>
      <c r="L20" s="2128"/>
      <c r="M20" s="2120"/>
      <c r="N20" s="2120"/>
      <c r="O20" s="2127"/>
      <c r="P20" s="3374"/>
      <c r="Q20" s="1559"/>
      <c r="R20" s="1560"/>
      <c r="S20" s="1561"/>
      <c r="T20" s="1560"/>
      <c r="U20" s="1561"/>
      <c r="V20" s="1560"/>
      <c r="W20" s="1561"/>
      <c r="X20" s="1554"/>
      <c r="Y20" s="3374"/>
      <c r="Z20" s="1562"/>
      <c r="AA20" s="1563">
        <v>1</v>
      </c>
      <c r="AB20" s="1563">
        <v>1</v>
      </c>
      <c r="AC20" s="1563">
        <v>1</v>
      </c>
    </row>
    <row r="21" spans="1:29" ht="28">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74"/>
      <c r="Q21" s="2544" t="str">
        <f>B21</f>
        <v>基础设施水平</v>
      </c>
      <c r="R21" s="1560" t="s">
        <v>11</v>
      </c>
      <c r="S21" s="1561">
        <f>F21</f>
        <v>100</v>
      </c>
      <c r="T21" s="1560" t="s">
        <v>11</v>
      </c>
      <c r="U21" s="1561">
        <f>H21</f>
        <v>100</v>
      </c>
      <c r="V21" s="1560" t="s">
        <v>11</v>
      </c>
      <c r="W21" s="1561">
        <f>J21</f>
        <v>100</v>
      </c>
      <c r="X21" s="2546"/>
      <c r="Y21" s="3374"/>
      <c r="Z21" s="2545" t="str">
        <f>Q21</f>
        <v>基础设施水平</v>
      </c>
      <c r="AA21" s="1563">
        <f t="shared" ref="AA21" si="8">D21/F21</f>
        <v>1</v>
      </c>
      <c r="AB21" s="1563">
        <f t="shared" ref="AB21" si="9">D21/H21</f>
        <v>1</v>
      </c>
      <c r="AC21" s="1563">
        <f t="shared" ref="AC21" si="10">D21/J21</f>
        <v>1</v>
      </c>
    </row>
    <row r="22" spans="1:29" ht="15.5">
      <c r="A22" s="532"/>
      <c r="B22" s="922"/>
      <c r="C22" s="873" t="s">
        <v>3075</v>
      </c>
      <c r="D22" s="555"/>
      <c r="E22" s="576" t="s">
        <v>3075</v>
      </c>
      <c r="F22" s="557"/>
      <c r="G22" s="576" t="s">
        <v>3075</v>
      </c>
      <c r="H22" s="555"/>
      <c r="I22" s="576" t="s">
        <v>3075</v>
      </c>
      <c r="J22" s="555"/>
      <c r="K22" s="2564"/>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74"/>
      <c r="Q23" s="1559" t="str">
        <f>B23</f>
        <v>自然及人文环境</v>
      </c>
      <c r="R23" s="1560" t="s">
        <v>11</v>
      </c>
      <c r="S23" s="1561">
        <f>F23</f>
        <v>100</v>
      </c>
      <c r="T23" s="1560" t="s">
        <v>11</v>
      </c>
      <c r="U23" s="1561">
        <f>H23</f>
        <v>100</v>
      </c>
      <c r="V23" s="1560" t="s">
        <v>11</v>
      </c>
      <c r="W23" s="1561">
        <f>J23</f>
        <v>100</v>
      </c>
      <c r="X23" s="1554"/>
      <c r="Y23" s="3374"/>
      <c r="Z23" s="1562" t="str">
        <f>Q23</f>
        <v>自然及人文环境</v>
      </c>
      <c r="AA23" s="1563">
        <f t="shared" si="3"/>
        <v>1</v>
      </c>
      <c r="AB23" s="1563">
        <f t="shared" si="4"/>
        <v>1</v>
      </c>
      <c r="AC23" s="1563">
        <f t="shared" si="5"/>
        <v>1</v>
      </c>
    </row>
    <row r="24" spans="1:29" ht="15.5">
      <c r="A24" s="532"/>
      <c r="B24" s="595"/>
      <c r="C24" s="576" t="s">
        <v>3073</v>
      </c>
      <c r="D24" s="555"/>
      <c r="E24" s="556" t="s">
        <v>3073</v>
      </c>
      <c r="F24" s="557"/>
      <c r="G24" s="558" t="s">
        <v>3073</v>
      </c>
      <c r="H24" s="555"/>
      <c r="I24" s="556" t="s">
        <v>3073</v>
      </c>
      <c r="J24" s="555"/>
      <c r="K24" s="870"/>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4"/>
      <c r="Q25" s="1559" t="str">
        <f t="shared" ref="Q25:Q46" si="11">B25</f>
        <v>楼层-1</v>
      </c>
      <c r="R25" s="1560" t="s">
        <v>11</v>
      </c>
      <c r="S25" s="1561">
        <f>F25</f>
        <v>100</v>
      </c>
      <c r="T25" s="1560" t="s">
        <v>11</v>
      </c>
      <c r="U25" s="1561">
        <f>H25</f>
        <v>100</v>
      </c>
      <c r="V25" s="1560" t="s">
        <v>11</v>
      </c>
      <c r="W25" s="1561">
        <f>J25</f>
        <v>100</v>
      </c>
      <c r="X25" s="1554"/>
      <c r="Y25" s="3374"/>
      <c r="Z25" s="1562" t="str">
        <f>Q25</f>
        <v>楼层-1</v>
      </c>
      <c r="AA25" s="1563">
        <f t="shared" si="3"/>
        <v>1</v>
      </c>
      <c r="AB25" s="1563">
        <f t="shared" si="4"/>
        <v>1</v>
      </c>
      <c r="AC25" s="1563">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4"/>
      <c r="Q26" s="1559" t="str">
        <f t="shared" si="11"/>
        <v>朝向</v>
      </c>
      <c r="R26" s="1560" t="s">
        <v>11</v>
      </c>
      <c r="S26" s="1561">
        <f>F26</f>
        <v>100</v>
      </c>
      <c r="T26" s="1560" t="s">
        <v>11</v>
      </c>
      <c r="U26" s="1561">
        <f>H26</f>
        <v>100</v>
      </c>
      <c r="V26" s="1560" t="s">
        <v>11</v>
      </c>
      <c r="W26" s="1561">
        <f>J26</f>
        <v>100</v>
      </c>
      <c r="X26" s="1554"/>
      <c r="Y26" s="3374"/>
      <c r="Z26" s="1562" t="str">
        <f>Q26</f>
        <v>朝向</v>
      </c>
      <c r="AA26" s="1563">
        <f t="shared" si="3"/>
        <v>1</v>
      </c>
      <c r="AB26" s="1563">
        <f t="shared" si="4"/>
        <v>1</v>
      </c>
      <c r="AC26" s="1563">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4"/>
      <c r="Q27" s="1147" t="str">
        <f t="shared" si="11"/>
        <v>道路级别</v>
      </c>
      <c r="R27" s="1555" t="s">
        <v>11</v>
      </c>
      <c r="S27" s="1556">
        <f>F27</f>
        <v>100</v>
      </c>
      <c r="T27" s="1555" t="s">
        <v>11</v>
      </c>
      <c r="U27" s="1556">
        <f>H27</f>
        <v>100</v>
      </c>
      <c r="V27" s="1555" t="s">
        <v>11</v>
      </c>
      <c r="W27" s="1556">
        <f>J27</f>
        <v>100</v>
      </c>
      <c r="X27" s="1557"/>
      <c r="Y27" s="3374"/>
      <c r="Z27" s="1146" t="str">
        <f>Q27</f>
        <v>道路级别</v>
      </c>
      <c r="AA27" s="1563">
        <f>D27/F27</f>
        <v>1</v>
      </c>
      <c r="AB27" s="1563">
        <f>D27/H27</f>
        <v>1</v>
      </c>
      <c r="AC27" s="1563">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4"/>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4"/>
      <c r="Z28" s="1562">
        <f t="shared" ref="Z28:Z46" si="15">Q28</f>
        <v>111</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4"/>
      <c r="Q29" s="1559">
        <f t="shared" si="11"/>
        <v>111</v>
      </c>
      <c r="R29" s="1560" t="s">
        <v>11</v>
      </c>
      <c r="S29" s="1561">
        <f t="shared" si="12"/>
        <v>100</v>
      </c>
      <c r="T29" s="1560" t="s">
        <v>11</v>
      </c>
      <c r="U29" s="1561">
        <f t="shared" si="13"/>
        <v>100</v>
      </c>
      <c r="V29" s="1560" t="s">
        <v>11</v>
      </c>
      <c r="W29" s="1561">
        <f t="shared" si="14"/>
        <v>100</v>
      </c>
      <c r="X29" s="1554"/>
      <c r="Y29" s="3374"/>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4"/>
      <c r="Q30" s="1559">
        <f t="shared" si="11"/>
        <v>111</v>
      </c>
      <c r="R30" s="1560" t="s">
        <v>11</v>
      </c>
      <c r="S30" s="1561">
        <f t="shared" si="12"/>
        <v>100</v>
      </c>
      <c r="T30" s="1560" t="s">
        <v>11</v>
      </c>
      <c r="U30" s="1561">
        <f t="shared" si="13"/>
        <v>100</v>
      </c>
      <c r="V30" s="1560" t="s">
        <v>11</v>
      </c>
      <c r="W30" s="1561">
        <f t="shared" si="14"/>
        <v>100</v>
      </c>
      <c r="X30" s="1554"/>
      <c r="Y30" s="3374"/>
      <c r="Z30" s="1562">
        <f t="shared" si="15"/>
        <v>111</v>
      </c>
      <c r="AA30" s="1563">
        <f t="shared" si="3"/>
        <v>1</v>
      </c>
      <c r="AB30" s="1563">
        <f t="shared" si="4"/>
        <v>1</v>
      </c>
      <c r="AC30" s="1563">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4"/>
      <c r="Q31" s="1559">
        <f t="shared" si="11"/>
        <v>111</v>
      </c>
      <c r="R31" s="1560" t="s">
        <v>11</v>
      </c>
      <c r="S31" s="1561">
        <f t="shared" si="12"/>
        <v>100</v>
      </c>
      <c r="T31" s="1560" t="s">
        <v>11</v>
      </c>
      <c r="U31" s="1561">
        <f t="shared" si="13"/>
        <v>100</v>
      </c>
      <c r="V31" s="1560" t="s">
        <v>11</v>
      </c>
      <c r="W31" s="1561">
        <f t="shared" si="14"/>
        <v>100</v>
      </c>
      <c r="X31" s="1554"/>
      <c r="Y31" s="3374"/>
      <c r="Z31" s="1562">
        <f t="shared" si="15"/>
        <v>111</v>
      </c>
      <c r="AA31" s="1563">
        <f t="shared" si="3"/>
        <v>1</v>
      </c>
      <c r="AB31" s="1563">
        <f t="shared" si="4"/>
        <v>1</v>
      </c>
      <c r="AC31" s="1563">
        <f t="shared" si="5"/>
        <v>1</v>
      </c>
    </row>
    <row r="32" spans="1:29" ht="15.5">
      <c r="A32" s="2863" t="s">
        <v>2752</v>
      </c>
      <c r="B32" s="172" t="s">
        <v>725</v>
      </c>
      <c r="C32" s="878" t="s">
        <v>3112</v>
      </c>
      <c r="D32" s="597">
        <v>100</v>
      </c>
      <c r="E32" s="879" t="s">
        <v>3110</v>
      </c>
      <c r="F32" s="575">
        <f>SUMIF(100:100,E32,101:101)-SUMIF(100:100,C32,101:101)+100</f>
        <v>98</v>
      </c>
      <c r="G32" s="878" t="s">
        <v>3110</v>
      </c>
      <c r="H32" s="597">
        <f>SUMIF(100:100,G32,101:101)-SUMIF(100:100,C32,101:101)+100</f>
        <v>98</v>
      </c>
      <c r="I32" s="879" t="s">
        <v>3112</v>
      </c>
      <c r="J32" s="540">
        <f>SUMIF(100:100,I32,101:101)-SUMIF(100:100,C32,101:101)+100</f>
        <v>100</v>
      </c>
      <c r="K32" s="864">
        <v>2</v>
      </c>
      <c r="L32" s="2128"/>
      <c r="M32" s="2120"/>
      <c r="N32" s="2120"/>
      <c r="O32" s="2127"/>
      <c r="P32" s="3375" t="s">
        <v>550</v>
      </c>
      <c r="Q32" s="1559" t="str">
        <f t="shared" si="11"/>
        <v>建筑类型</v>
      </c>
      <c r="R32" s="1560" t="s">
        <v>11</v>
      </c>
      <c r="S32" s="1561">
        <f t="shared" si="12"/>
        <v>98</v>
      </c>
      <c r="T32" s="1560" t="s">
        <v>11</v>
      </c>
      <c r="U32" s="1561">
        <f t="shared" si="13"/>
        <v>98</v>
      </c>
      <c r="V32" s="1560" t="s">
        <v>11</v>
      </c>
      <c r="W32" s="1561">
        <f t="shared" si="14"/>
        <v>100</v>
      </c>
      <c r="X32" s="1554"/>
      <c r="Y32" s="3376" t="s">
        <v>550</v>
      </c>
      <c r="Z32" s="1562" t="str">
        <f t="shared" si="15"/>
        <v>建筑类型</v>
      </c>
      <c r="AA32" s="1563">
        <f t="shared" si="3"/>
        <v>1.0204081632653061</v>
      </c>
      <c r="AB32" s="1563">
        <f t="shared" si="4"/>
        <v>1.0204081632653061</v>
      </c>
      <c r="AC32" s="1563">
        <f t="shared" si="5"/>
        <v>1</v>
      </c>
    </row>
    <row r="33" spans="1:29" s="1335" customFormat="1" ht="15.5">
      <c r="A33" s="603"/>
      <c r="B33" s="527" t="s">
        <v>726</v>
      </c>
      <c r="C33" s="880">
        <f>'数据-汇总表'!E3</f>
        <v>300432.67</v>
      </c>
      <c r="D33" s="255">
        <v>100</v>
      </c>
      <c r="E33" s="534">
        <v>91795.35</v>
      </c>
      <c r="F33" s="863">
        <f>LOOKUP(E33,103:103,104:104)-LOOKUP(C33,103:103,104:104)+100</f>
        <v>99</v>
      </c>
      <c r="G33" s="533">
        <v>61452.81</v>
      </c>
      <c r="H33" s="255">
        <f>LOOKUP(G33,103:103,104:104)-LOOKUP(C33,103:103,104:104)+100</f>
        <v>99</v>
      </c>
      <c r="I33" s="534">
        <v>456600</v>
      </c>
      <c r="J33" s="255">
        <f>LOOKUP(I33,103:103,104:104)-LOOKUP(C33,103:103,104:104)+100</f>
        <v>101</v>
      </c>
      <c r="K33" s="865"/>
      <c r="L33" s="2126"/>
      <c r="M33" s="2157"/>
      <c r="N33" s="2157"/>
      <c r="O33" s="2129"/>
      <c r="P33" s="3376"/>
      <c r="Q33" s="1591" t="str">
        <f t="shared" si="11"/>
        <v>项目建筑规模</v>
      </c>
      <c r="R33" s="1564" t="s">
        <v>11</v>
      </c>
      <c r="S33" s="1565">
        <f t="shared" si="12"/>
        <v>99</v>
      </c>
      <c r="T33" s="1564" t="s">
        <v>11</v>
      </c>
      <c r="U33" s="1565">
        <f t="shared" si="13"/>
        <v>99</v>
      </c>
      <c r="V33" s="1564" t="s">
        <v>11</v>
      </c>
      <c r="W33" s="1565">
        <f t="shared" si="14"/>
        <v>101</v>
      </c>
      <c r="X33" s="1566"/>
      <c r="Y33" s="3376"/>
      <c r="Z33" s="1567" t="str">
        <f t="shared" si="15"/>
        <v>项目建筑规模</v>
      </c>
      <c r="AA33" s="1563">
        <f t="shared" si="3"/>
        <v>1.0101010101010102</v>
      </c>
      <c r="AB33" s="1563">
        <f t="shared" si="4"/>
        <v>1.0101010101010102</v>
      </c>
      <c r="AC33" s="1563">
        <f t="shared" si="5"/>
        <v>0.99009900990099009</v>
      </c>
    </row>
    <row r="34" spans="1:29" ht="15.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6"/>
      <c r="Q34" s="1559" t="str">
        <f t="shared" si="11"/>
        <v>建筑结构</v>
      </c>
      <c r="R34" s="1560" t="s">
        <v>11</v>
      </c>
      <c r="S34" s="1561">
        <f t="shared" si="12"/>
        <v>100</v>
      </c>
      <c r="T34" s="1560" t="s">
        <v>11</v>
      </c>
      <c r="U34" s="1561">
        <f t="shared" si="13"/>
        <v>100</v>
      </c>
      <c r="V34" s="1560" t="s">
        <v>11</v>
      </c>
      <c r="W34" s="1561">
        <f t="shared" si="14"/>
        <v>100</v>
      </c>
      <c r="X34" s="1554"/>
      <c r="Y34" s="3376"/>
      <c r="Z34" s="1562" t="str">
        <f t="shared" si="15"/>
        <v>建筑结构</v>
      </c>
      <c r="AA34" s="1563">
        <f t="shared" si="3"/>
        <v>1</v>
      </c>
      <c r="AB34" s="1563">
        <f t="shared" si="4"/>
        <v>1</v>
      </c>
      <c r="AC34" s="1563">
        <f t="shared" si="5"/>
        <v>1</v>
      </c>
    </row>
    <row r="35" spans="1:29" ht="15.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6"/>
      <c r="Q35" s="1559" t="str">
        <f t="shared" si="11"/>
        <v>建筑品质</v>
      </c>
      <c r="R35" s="1560" t="s">
        <v>11</v>
      </c>
      <c r="S35" s="1561">
        <f t="shared" si="12"/>
        <v>100</v>
      </c>
      <c r="T35" s="1560" t="s">
        <v>11</v>
      </c>
      <c r="U35" s="1561">
        <f t="shared" si="13"/>
        <v>100</v>
      </c>
      <c r="V35" s="1560" t="s">
        <v>11</v>
      </c>
      <c r="W35" s="1561">
        <f t="shared" si="14"/>
        <v>100</v>
      </c>
      <c r="X35" s="1554"/>
      <c r="Y35" s="3376"/>
      <c r="Z35" s="1562" t="str">
        <f t="shared" si="15"/>
        <v>建筑品质</v>
      </c>
      <c r="AA35" s="1563">
        <f t="shared" si="3"/>
        <v>1</v>
      </c>
      <c r="AB35" s="1563">
        <f t="shared" si="4"/>
        <v>1</v>
      </c>
      <c r="AC35" s="1563">
        <f t="shared" si="5"/>
        <v>1</v>
      </c>
    </row>
    <row r="36" spans="1:29" ht="15.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6"/>
      <c r="Q36" s="1559" t="str">
        <f t="shared" si="11"/>
        <v>公共部分装修</v>
      </c>
      <c r="R36" s="1560" t="s">
        <v>11</v>
      </c>
      <c r="S36" s="1561">
        <f t="shared" si="12"/>
        <v>100</v>
      </c>
      <c r="T36" s="1560" t="s">
        <v>11</v>
      </c>
      <c r="U36" s="1561">
        <f t="shared" si="13"/>
        <v>100</v>
      </c>
      <c r="V36" s="1560" t="s">
        <v>11</v>
      </c>
      <c r="W36" s="1561">
        <f t="shared" si="14"/>
        <v>100</v>
      </c>
      <c r="X36" s="1554"/>
      <c r="Y36" s="3376"/>
      <c r="Z36" s="1562" t="str">
        <f t="shared" si="15"/>
        <v>公共部分装修</v>
      </c>
      <c r="AA36" s="1563">
        <f t="shared" si="3"/>
        <v>1</v>
      </c>
      <c r="AB36" s="1563">
        <f t="shared" si="4"/>
        <v>1</v>
      </c>
      <c r="AC36" s="1563">
        <f t="shared" si="5"/>
        <v>1</v>
      </c>
    </row>
    <row r="37" spans="1:29" s="1216" customFormat="1" ht="15.5">
      <c r="A37" s="600"/>
      <c r="B37" s="527" t="s">
        <v>730</v>
      </c>
      <c r="C37" s="883">
        <v>1</v>
      </c>
      <c r="D37" s="255">
        <v>100</v>
      </c>
      <c r="E37" s="884">
        <f>C37</f>
        <v>1</v>
      </c>
      <c r="F37" s="863">
        <f>LOOKUP(E37,112:112,113:113)-LOOKUP(C37,112:112,113:113)+100</f>
        <v>100</v>
      </c>
      <c r="G37" s="885">
        <f>C37</f>
        <v>1</v>
      </c>
      <c r="H37" s="255">
        <f>LOOKUP(G37,112:112,113:113)-LOOKUP(C37,112:112,113:113)+100</f>
        <v>100</v>
      </c>
      <c r="I37" s="884">
        <f>C37</f>
        <v>1</v>
      </c>
      <c r="J37" s="255">
        <f>LOOKUP(I37,112:112,113:113)-LOOKUP(C37,112:112,113:113)+100</f>
        <v>100</v>
      </c>
      <c r="K37" s="864"/>
      <c r="L37" s="2121"/>
      <c r="M37" s="2122"/>
      <c r="N37" s="2122"/>
      <c r="O37" s="2123"/>
      <c r="P37" s="3376"/>
      <c r="Q37" s="1147" t="str">
        <f t="shared" si="11"/>
        <v>成新度</v>
      </c>
      <c r="R37" s="1555" t="s">
        <v>11</v>
      </c>
      <c r="S37" s="1556">
        <f t="shared" si="12"/>
        <v>100</v>
      </c>
      <c r="T37" s="1555" t="s">
        <v>11</v>
      </c>
      <c r="U37" s="1556">
        <f t="shared" si="13"/>
        <v>100</v>
      </c>
      <c r="V37" s="1555" t="s">
        <v>11</v>
      </c>
      <c r="W37" s="1556">
        <f t="shared" si="14"/>
        <v>100</v>
      </c>
      <c r="X37" s="1557"/>
      <c r="Y37" s="3376"/>
      <c r="Z37" s="1146" t="str">
        <f t="shared" si="15"/>
        <v>成新度</v>
      </c>
      <c r="AA37" s="1558">
        <f t="shared" si="3"/>
        <v>1</v>
      </c>
      <c r="AB37" s="1558">
        <f t="shared" si="4"/>
        <v>1</v>
      </c>
      <c r="AC37" s="1558">
        <f t="shared" si="5"/>
        <v>1</v>
      </c>
    </row>
    <row r="38" spans="1:29" ht="15.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6" t="s">
        <v>550</v>
      </c>
      <c r="Q38" s="1559" t="str">
        <f t="shared" si="11"/>
        <v>物业管理</v>
      </c>
      <c r="R38" s="1560" t="s">
        <v>11</v>
      </c>
      <c r="S38" s="1561">
        <f t="shared" si="12"/>
        <v>100</v>
      </c>
      <c r="T38" s="1560" t="s">
        <v>11</v>
      </c>
      <c r="U38" s="1561">
        <f t="shared" si="13"/>
        <v>100</v>
      </c>
      <c r="V38" s="1560" t="s">
        <v>11</v>
      </c>
      <c r="W38" s="1561">
        <f t="shared" si="14"/>
        <v>100</v>
      </c>
      <c r="X38" s="1554"/>
      <c r="Y38" s="3376" t="s">
        <v>550</v>
      </c>
      <c r="Z38" s="1562" t="str">
        <f t="shared" si="15"/>
        <v>物业管理</v>
      </c>
      <c r="AA38" s="1563">
        <f t="shared" si="3"/>
        <v>1</v>
      </c>
      <c r="AB38" s="1563">
        <f t="shared" si="4"/>
        <v>1</v>
      </c>
      <c r="AC38" s="1563">
        <f t="shared" si="5"/>
        <v>1</v>
      </c>
    </row>
    <row r="39" spans="1:29" ht="15.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6"/>
      <c r="Q39" s="1559" t="str">
        <f t="shared" si="11"/>
        <v>市政基础设施</v>
      </c>
      <c r="R39" s="1560" t="s">
        <v>11</v>
      </c>
      <c r="S39" s="1561">
        <f t="shared" si="12"/>
        <v>100</v>
      </c>
      <c r="T39" s="1560" t="s">
        <v>11</v>
      </c>
      <c r="U39" s="1561">
        <f t="shared" si="13"/>
        <v>100</v>
      </c>
      <c r="V39" s="1560" t="s">
        <v>11</v>
      </c>
      <c r="W39" s="1561">
        <f t="shared" si="14"/>
        <v>100</v>
      </c>
      <c r="X39" s="1554"/>
      <c r="Y39" s="3376"/>
      <c r="Z39" s="1562" t="str">
        <f t="shared" si="15"/>
        <v>市政基础设施</v>
      </c>
      <c r="AA39" s="1563">
        <f t="shared" si="3"/>
        <v>1</v>
      </c>
      <c r="AB39" s="1563">
        <f t="shared" si="4"/>
        <v>1</v>
      </c>
      <c r="AC39" s="1563">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6"/>
      <c r="Q40" s="1559" t="str">
        <f t="shared" si="11"/>
        <v>房型</v>
      </c>
      <c r="R40" s="1560" t="s">
        <v>11</v>
      </c>
      <c r="S40" s="1561">
        <f t="shared" si="12"/>
        <v>100</v>
      </c>
      <c r="T40" s="1560" t="s">
        <v>11</v>
      </c>
      <c r="U40" s="1561">
        <f t="shared" si="13"/>
        <v>100</v>
      </c>
      <c r="V40" s="1560" t="s">
        <v>11</v>
      </c>
      <c r="W40" s="1561">
        <f t="shared" si="14"/>
        <v>100</v>
      </c>
      <c r="X40" s="1554"/>
      <c r="Y40" s="337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6"/>
      <c r="Q41" s="1591" t="str">
        <f t="shared" si="11"/>
        <v>单套/主力户型建筑面积</v>
      </c>
      <c r="R41" s="1564" t="s">
        <v>11</v>
      </c>
      <c r="S41" s="1565">
        <f t="shared" si="12"/>
        <v>100</v>
      </c>
      <c r="T41" s="1564" t="s">
        <v>11</v>
      </c>
      <c r="U41" s="1565">
        <f t="shared" si="13"/>
        <v>100</v>
      </c>
      <c r="V41" s="1564" t="s">
        <v>11</v>
      </c>
      <c r="W41" s="1565">
        <f t="shared" si="14"/>
        <v>100</v>
      </c>
      <c r="X41" s="1566"/>
      <c r="Y41" s="3376"/>
      <c r="Z41" s="1567" t="str">
        <f t="shared" si="15"/>
        <v>单套/主力户型建筑面积</v>
      </c>
      <c r="AA41" s="1563">
        <f t="shared" si="3"/>
        <v>1</v>
      </c>
      <c r="AB41" s="1563">
        <f t="shared" si="4"/>
        <v>1</v>
      </c>
      <c r="AC41" s="1563">
        <f t="shared" si="5"/>
        <v>1</v>
      </c>
    </row>
    <row r="42" spans="1:29" ht="15.5">
      <c r="A42" s="594"/>
      <c r="B42" s="527" t="s">
        <v>734</v>
      </c>
      <c r="C42" s="599" t="s">
        <v>3116</v>
      </c>
      <c r="D42" s="540">
        <v>100</v>
      </c>
      <c r="E42" s="599" t="s">
        <v>3116</v>
      </c>
      <c r="F42" s="575">
        <f>SUMIF(122:122,E42,123:123)-SUMIF(122:122,C42,123:123)+100</f>
        <v>100</v>
      </c>
      <c r="G42" s="599" t="s">
        <v>3116</v>
      </c>
      <c r="H42" s="540">
        <f>SUMIF(122:122,G42,123:123)-SUMIF(122:122,C42,123:123)+100</f>
        <v>100</v>
      </c>
      <c r="I42" s="599" t="s">
        <v>3116</v>
      </c>
      <c r="J42" s="540">
        <f>SUMIF(122:122,I42,123:123)-SUMIF(122:122,C42,123:123)+100</f>
        <v>100</v>
      </c>
      <c r="K42" s="864">
        <v>1</v>
      </c>
      <c r="L42" s="2128"/>
      <c r="M42" s="2120"/>
      <c r="N42" s="2120"/>
      <c r="O42" s="2127"/>
      <c r="P42" s="3376"/>
      <c r="Q42" s="1559" t="str">
        <f t="shared" si="11"/>
        <v>内部装修</v>
      </c>
      <c r="R42" s="1560" t="s">
        <v>11</v>
      </c>
      <c r="S42" s="1561">
        <f t="shared" si="12"/>
        <v>100</v>
      </c>
      <c r="T42" s="1560" t="s">
        <v>11</v>
      </c>
      <c r="U42" s="1561">
        <f t="shared" si="13"/>
        <v>100</v>
      </c>
      <c r="V42" s="1560" t="s">
        <v>11</v>
      </c>
      <c r="W42" s="1561">
        <f t="shared" si="14"/>
        <v>100</v>
      </c>
      <c r="X42" s="1554"/>
      <c r="Y42" s="3376"/>
      <c r="Z42" s="1562" t="str">
        <f t="shared" si="15"/>
        <v>内部装修</v>
      </c>
      <c r="AA42" s="1563">
        <f t="shared" si="3"/>
        <v>1</v>
      </c>
      <c r="AB42" s="1563">
        <f t="shared" si="4"/>
        <v>1</v>
      </c>
      <c r="AC42" s="1563">
        <f t="shared" si="5"/>
        <v>1</v>
      </c>
    </row>
    <row r="43" spans="1:29" ht="2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6"/>
      <c r="Q43" s="1559" t="str">
        <f t="shared" si="11"/>
        <v>内部装修维护情况</v>
      </c>
      <c r="R43" s="1560" t="s">
        <v>11</v>
      </c>
      <c r="S43" s="1561">
        <f t="shared" si="12"/>
        <v>100</v>
      </c>
      <c r="T43" s="1560" t="s">
        <v>11</v>
      </c>
      <c r="U43" s="1561">
        <f t="shared" si="13"/>
        <v>100</v>
      </c>
      <c r="V43" s="1560" t="s">
        <v>11</v>
      </c>
      <c r="W43" s="1561">
        <f t="shared" si="14"/>
        <v>100</v>
      </c>
      <c r="X43" s="1554"/>
      <c r="Y43" s="3376"/>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6"/>
      <c r="Q44" s="1147">
        <f t="shared" si="11"/>
        <v>111</v>
      </c>
      <c r="R44" s="1555" t="s">
        <v>11</v>
      </c>
      <c r="S44" s="1556">
        <f t="shared" si="12"/>
        <v>100</v>
      </c>
      <c r="T44" s="1555" t="s">
        <v>11</v>
      </c>
      <c r="U44" s="1556">
        <f t="shared" si="13"/>
        <v>100</v>
      </c>
      <c r="V44" s="1555" t="s">
        <v>11</v>
      </c>
      <c r="W44" s="1556">
        <f t="shared" si="14"/>
        <v>100</v>
      </c>
      <c r="X44" s="1557"/>
      <c r="Y44" s="3376"/>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6"/>
      <c r="Q45" s="1559">
        <f t="shared" si="11"/>
        <v>111</v>
      </c>
      <c r="R45" s="1560" t="s">
        <v>11</v>
      </c>
      <c r="S45" s="1561">
        <f t="shared" si="12"/>
        <v>100</v>
      </c>
      <c r="T45" s="1560" t="s">
        <v>11</v>
      </c>
      <c r="U45" s="1561">
        <f t="shared" si="13"/>
        <v>100</v>
      </c>
      <c r="V45" s="1560" t="s">
        <v>11</v>
      </c>
      <c r="W45" s="1561">
        <f t="shared" si="14"/>
        <v>100</v>
      </c>
      <c r="X45" s="1554"/>
      <c r="Y45" s="3376"/>
      <c r="Z45" s="1562">
        <f t="shared" si="15"/>
        <v>111</v>
      </c>
      <c r="AA45" s="1563">
        <f t="shared" si="3"/>
        <v>1</v>
      </c>
      <c r="AB45" s="1563">
        <f t="shared" si="4"/>
        <v>1</v>
      </c>
      <c r="AC45" s="1563">
        <f t="shared" si="5"/>
        <v>1</v>
      </c>
    </row>
    <row r="46" spans="1:29" ht="1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c r="A47" s="607" t="s">
        <v>736</v>
      </c>
      <c r="B47" s="887"/>
      <c r="C47" s="2592" t="s">
        <v>9</v>
      </c>
      <c r="D47" s="2593"/>
      <c r="E47" s="2594">
        <f>7000*0.98</f>
        <v>6860</v>
      </c>
      <c r="F47" s="2595"/>
      <c r="G47" s="2596">
        <f>7000*0.98</f>
        <v>6860</v>
      </c>
      <c r="H47" s="2597"/>
      <c r="I47" s="2594">
        <f>6700*0.98</f>
        <v>6566</v>
      </c>
      <c r="J47" s="2597"/>
      <c r="K47" s="1592"/>
      <c r="L47" s="2130"/>
      <c r="M47" s="2131"/>
      <c r="N47" s="2120"/>
      <c r="O47" s="2131"/>
      <c r="P47" s="3371" t="str">
        <f>A47</f>
        <v>成交单价（元/平方米）</v>
      </c>
      <c r="Q47" s="3371"/>
      <c r="R47" s="3475">
        <f>E47</f>
        <v>6860</v>
      </c>
      <c r="S47" s="3475"/>
      <c r="T47" s="3475">
        <f>G47</f>
        <v>6860</v>
      </c>
      <c r="U47" s="3475"/>
      <c r="V47" s="3475">
        <f>I47</f>
        <v>6566</v>
      </c>
      <c r="W47" s="3475"/>
      <c r="X47" s="1546"/>
      <c r="Y47" s="1568"/>
      <c r="Z47" s="1546"/>
      <c r="AA47" s="1546"/>
      <c r="AB47" s="1546"/>
      <c r="AC47" s="1546"/>
    </row>
    <row r="48" spans="1:29" ht="14.5" thickBot="1">
      <c r="A48" s="615" t="s">
        <v>2757</v>
      </c>
      <c r="B48" s="888"/>
      <c r="C48" s="2598">
        <f>R49</f>
        <v>7021</v>
      </c>
      <c r="D48" s="2599"/>
      <c r="E48" s="2600">
        <f>R48</f>
        <v>7071</v>
      </c>
      <c r="F48" s="2600"/>
      <c r="G48" s="2598">
        <f>T48</f>
        <v>7289</v>
      </c>
      <c r="H48" s="2599"/>
      <c r="I48" s="2600">
        <f>V48</f>
        <v>6702</v>
      </c>
      <c r="J48" s="2599"/>
      <c r="K48" s="1593"/>
      <c r="L48" s="2130"/>
      <c r="M48" s="2131"/>
      <c r="N48" s="2131"/>
      <c r="O48" s="2131"/>
      <c r="P48" s="3371" t="str">
        <f>A48</f>
        <v>比较价格（元/平方米）</v>
      </c>
      <c r="Q48" s="3371"/>
      <c r="R48" s="3475">
        <f>IF(F1="售价",ROUND(PRODUCT(R47,AA7:AA46),0),ROUND(PRODUCT(R47,AA7:AA46),1))</f>
        <v>7071</v>
      </c>
      <c r="S48" s="3475"/>
      <c r="T48" s="3475">
        <f>IF(F1="售价",ROUND(PRODUCT(T47,AB7:AB46),0),ROUND(PRODUCT(T47,AB7:AB46),1))</f>
        <v>7289</v>
      </c>
      <c r="U48" s="3475"/>
      <c r="V48" s="3475">
        <f>IF(F1="售价",ROUND(PRODUCT(V47,AC7:AC46),0),ROUND(PRODUCT(V47,AC7:AC46),1))</f>
        <v>6702</v>
      </c>
      <c r="W48" s="3475"/>
      <c r="X48" s="1546"/>
      <c r="Y48" s="1546"/>
      <c r="Z48" s="1546"/>
      <c r="AA48" s="1546"/>
      <c r="AB48" s="1546"/>
      <c r="AC48" s="1546"/>
    </row>
    <row r="49" spans="1:29" ht="14.5" thickBot="1">
      <c r="A49" s="621" t="s">
        <v>2934</v>
      </c>
      <c r="B49" s="622"/>
      <c r="C49" s="2601">
        <f>R49</f>
        <v>7021</v>
      </c>
      <c r="D49" s="2601"/>
      <c r="E49" s="2601"/>
      <c r="F49" s="2601"/>
      <c r="G49" s="2601"/>
      <c r="H49" s="2601"/>
      <c r="I49" s="2601"/>
      <c r="J49" s="2601"/>
      <c r="K49" s="1594"/>
      <c r="L49" s="2130"/>
      <c r="M49" s="2131"/>
      <c r="N49" s="2131"/>
      <c r="O49" s="2131"/>
      <c r="P49" s="3392" t="str">
        <f>A49</f>
        <v>估价对象XX用房的比较价格（楼面单价，元/平方米）</v>
      </c>
      <c r="Q49" s="3393"/>
      <c r="R49" s="3474">
        <f>IF(F1="售价",ROUND(AVERAGE(R48:V48),0),ROUND(AVERAGE(R48:V48),1))</f>
        <v>7021</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3.0758017492711343E-2</v>
      </c>
      <c r="F52" s="627" t="str">
        <f>IF(OR(E52&gt;=0.3,E52&lt;=-0.3),"超过30%","")</f>
        <v/>
      </c>
      <c r="G52" s="626">
        <f>IF(G47&lt;G48,G48/G47-1,G47/G48-1)</f>
        <v>6.2536443148688114E-2</v>
      </c>
      <c r="H52" s="627" t="str">
        <f>IF(OR(G52&gt;=0.3,G52&lt;=-0.3),"超过30%","")</f>
        <v/>
      </c>
      <c r="I52" s="626">
        <f>IF(I47&lt;I48,I48/I47-1,I47/I48-1)</f>
        <v>2.0712762717027156E-2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3.0830151322302379E-2</v>
      </c>
      <c r="F53" s="627" t="str">
        <f>IF(OR(E53&gt;=0.2,E53&lt;=-0.2),"超过20%","")</f>
        <v/>
      </c>
      <c r="G53" s="626">
        <f>IF(G48&lt;I48,I48/G48-1,G48/I48-1)</f>
        <v>8.7585795284989665E-2</v>
      </c>
      <c r="H53" s="627" t="str">
        <f>IF(OR(G53&gt;=0.2,G53&lt;=-0.2),"超过20%","")</f>
        <v/>
      </c>
      <c r="I53" s="626">
        <f>IF(I48&lt;E48,E48/I48-1,I48/E48-1)</f>
        <v>5.5058191584601568E-2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4.4776119402984982E-2</v>
      </c>
      <c r="H54" s="627" t="str">
        <f>IF(OR(G54&gt;=0.3,G54&lt;=-0.3),"超过30%","")</f>
        <v/>
      </c>
      <c r="I54" s="626">
        <f>IF(I47&lt;E47,E47/I47-1,I47/E47-1)</f>
        <v>4.4776119402984982E-2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v>6</v>
      </c>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3113</v>
      </c>
      <c r="D100" s="3188" t="s">
        <v>3111</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200000</v>
      </c>
      <c r="E103" s="730">
        <v>400000</v>
      </c>
      <c r="F103" s="730">
        <v>600000</v>
      </c>
      <c r="G103" s="730">
        <v>800000</v>
      </c>
      <c r="H103" s="730">
        <v>1000000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v>100</v>
      </c>
      <c r="D104" s="671">
        <v>101</v>
      </c>
      <c r="E104" s="671">
        <v>102</v>
      </c>
      <c r="F104" s="671">
        <v>103</v>
      </c>
      <c r="G104" s="671">
        <v>104</v>
      </c>
      <c r="H104" s="671">
        <v>105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3488"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3488" t="s">
        <v>3117</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4.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D7D2-DC1F-48AE-A9D6-D60B12781C38}">
  <dimension ref="A1"/>
  <sheetViews>
    <sheetView workbookViewId="0">
      <selection activeCell="R12" sqref="R12"/>
    </sheetView>
  </sheetViews>
  <sheetFormatPr defaultRowHeight="1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85" t="s">
        <v>524</v>
      </c>
      <c r="AC4" s="3360" t="s">
        <v>525</v>
      </c>
    </row>
    <row r="5" spans="1:29">
      <c r="A5" s="515"/>
      <c r="B5" s="516"/>
      <c r="C5" s="3388" t="s">
        <v>2928</v>
      </c>
      <c r="D5" s="3389"/>
      <c r="E5" s="3403" t="s">
        <v>2929</v>
      </c>
      <c r="F5" s="3404"/>
      <c r="G5" s="3388" t="s">
        <v>2930</v>
      </c>
      <c r="H5" s="3389"/>
      <c r="I5" s="3388" t="s">
        <v>2931</v>
      </c>
      <c r="J5" s="3389"/>
      <c r="K5" s="514"/>
      <c r="L5" s="2119"/>
      <c r="M5" s="2120"/>
      <c r="N5" s="2120"/>
      <c r="O5" s="2120"/>
      <c r="P5" s="3381"/>
      <c r="Q5" s="3382"/>
      <c r="R5" s="3367"/>
      <c r="S5" s="3368"/>
      <c r="T5" s="3367"/>
      <c r="U5" s="3368"/>
      <c r="V5" s="3385"/>
      <c r="W5" s="3385"/>
      <c r="X5" s="1554"/>
      <c r="Y5" s="3367"/>
      <c r="Z5" s="3368"/>
      <c r="AA5" s="3361"/>
      <c r="AB5" s="3385"/>
      <c r="AC5" s="3361"/>
    </row>
    <row r="6" spans="1:29" ht="15" thickBot="1">
      <c r="A6" s="517"/>
      <c r="B6" s="518"/>
      <c r="C6" s="3386" t="s">
        <v>2932</v>
      </c>
      <c r="D6" s="3387"/>
      <c r="E6" s="3405" t="s">
        <v>2932</v>
      </c>
      <c r="F6" s="3406"/>
      <c r="G6" s="3386" t="s">
        <v>2932</v>
      </c>
      <c r="H6" s="3387"/>
      <c r="I6" s="3386" t="s">
        <v>2932</v>
      </c>
      <c r="J6" s="3387"/>
      <c r="K6" s="514" t="s">
        <v>528</v>
      </c>
      <c r="L6" s="2119"/>
      <c r="M6" s="2120"/>
      <c r="N6" s="2120"/>
      <c r="O6" s="2120"/>
      <c r="P6" s="3383"/>
      <c r="Q6" s="3384"/>
      <c r="R6" s="3367"/>
      <c r="S6" s="3368"/>
      <c r="T6" s="3369"/>
      <c r="U6" s="3370"/>
      <c r="V6" s="3385"/>
      <c r="W6" s="3385"/>
      <c r="X6" s="1554"/>
      <c r="Y6" s="3369"/>
      <c r="Z6" s="3370"/>
      <c r="AA6" s="3362"/>
      <c r="AB6" s="3385"/>
      <c r="AC6" s="3362"/>
    </row>
    <row r="7" spans="1:29" s="1216" customFormat="1" ht="14.5" thickBot="1">
      <c r="A7" s="2868"/>
      <c r="B7" s="2875"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4.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84">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3" t="s">
        <v>540</v>
      </c>
      <c r="Q15" s="1559" t="str">
        <f t="shared" si="6"/>
        <v>商业繁华度</v>
      </c>
      <c r="R15" s="1560" t="s">
        <v>8</v>
      </c>
      <c r="S15" s="1561">
        <f t="shared" si="0"/>
        <v>100</v>
      </c>
      <c r="T15" s="1560" t="s">
        <v>8</v>
      </c>
      <c r="U15" s="1561">
        <f t="shared" si="1"/>
        <v>100</v>
      </c>
      <c r="V15" s="1560" t="s">
        <v>8</v>
      </c>
      <c r="W15" s="1561">
        <f t="shared" si="2"/>
        <v>100</v>
      </c>
      <c r="X15" s="1554"/>
      <c r="Y15" s="3373" t="s">
        <v>540</v>
      </c>
      <c r="Z15" s="1562" t="str">
        <f t="shared" si="7"/>
        <v>商业繁华度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42">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4"/>
      <c r="Q23" s="1559" t="str">
        <f>B23</f>
        <v>自然及人文环境</v>
      </c>
      <c r="R23" s="1560" t="s">
        <v>8</v>
      </c>
      <c r="S23" s="1561">
        <f>F23</f>
        <v>100</v>
      </c>
      <c r="T23" s="1560" t="s">
        <v>8</v>
      </c>
      <c r="U23" s="1561">
        <f>H23</f>
        <v>100</v>
      </c>
      <c r="V23" s="1560" t="s">
        <v>8</v>
      </c>
      <c r="W23" s="1561">
        <f>J23</f>
        <v>100</v>
      </c>
      <c r="X23" s="1554"/>
      <c r="Y23" s="3374"/>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4"/>
      <c r="Q25" s="1559" t="str">
        <f t="shared" ref="Q25:Q46" si="11">B25</f>
        <v>临街状况</v>
      </c>
      <c r="R25" s="1560" t="s">
        <v>8</v>
      </c>
      <c r="S25" s="1561">
        <f>F25</f>
        <v>100</v>
      </c>
      <c r="T25" s="1560" t="s">
        <v>8</v>
      </c>
      <c r="U25" s="1561">
        <f>H25</f>
        <v>100</v>
      </c>
      <c r="V25" s="1560" t="s">
        <v>8</v>
      </c>
      <c r="W25" s="1561">
        <f>J25</f>
        <v>100</v>
      </c>
      <c r="X25" s="1554"/>
      <c r="Y25" s="3374"/>
      <c r="Z25" s="1562" t="str">
        <f>Q25</f>
        <v>临街状况</v>
      </c>
      <c r="AA25" s="1563">
        <f t="shared" si="3"/>
        <v>1</v>
      </c>
      <c r="AB25" s="1563">
        <f t="shared" si="4"/>
        <v>1</v>
      </c>
      <c r="AC25" s="1563">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4"/>
      <c r="Q26" s="1559" t="str">
        <f t="shared" si="11"/>
        <v>平面位置/可视性</v>
      </c>
      <c r="R26" s="1560" t="s">
        <v>8</v>
      </c>
      <c r="S26" s="1561">
        <f>F26</f>
        <v>100</v>
      </c>
      <c r="T26" s="1560" t="s">
        <v>8</v>
      </c>
      <c r="U26" s="1561">
        <f>H26</f>
        <v>100</v>
      </c>
      <c r="V26" s="1560" t="s">
        <v>8</v>
      </c>
      <c r="W26" s="1561">
        <f>J26</f>
        <v>100</v>
      </c>
      <c r="X26" s="1554"/>
      <c r="Y26" s="3374"/>
      <c r="Z26" s="1562" t="str">
        <f>Q26</f>
        <v>平面位置/可视性</v>
      </c>
      <c r="AA26" s="1563">
        <f t="shared" si="3"/>
        <v>1</v>
      </c>
      <c r="AB26" s="1563">
        <f t="shared" si="4"/>
        <v>1</v>
      </c>
      <c r="AC26" s="1563">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4"/>
      <c r="Q27" s="1147" t="str">
        <f t="shared" si="11"/>
        <v>人流量</v>
      </c>
      <c r="R27" s="1555" t="s">
        <v>8</v>
      </c>
      <c r="S27" s="1556">
        <f>F27</f>
        <v>100</v>
      </c>
      <c r="T27" s="1555" t="s">
        <v>8</v>
      </c>
      <c r="U27" s="1556">
        <f>H27</f>
        <v>100</v>
      </c>
      <c r="V27" s="1555" t="s">
        <v>8</v>
      </c>
      <c r="W27" s="1556">
        <f>J27</f>
        <v>100</v>
      </c>
      <c r="X27" s="1557"/>
      <c r="Y27" s="3374"/>
      <c r="Z27" s="1146" t="str">
        <f>Q27</f>
        <v>人流量</v>
      </c>
      <c r="AA27" s="1563">
        <f>D27/F27</f>
        <v>1</v>
      </c>
      <c r="AB27" s="1563">
        <f>D27/H27</f>
        <v>1</v>
      </c>
      <c r="AC27" s="1563">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4"/>
      <c r="Z28" s="1562" t="str">
        <f t="shared" ref="Z28:Z46" si="15">Q28</f>
        <v>楼层</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4"/>
      <c r="Q29" s="1559">
        <f t="shared" si="11"/>
        <v>111</v>
      </c>
      <c r="R29" s="1560" t="s">
        <v>8</v>
      </c>
      <c r="S29" s="1561">
        <f t="shared" si="12"/>
        <v>100</v>
      </c>
      <c r="T29" s="1560" t="s">
        <v>8</v>
      </c>
      <c r="U29" s="1561">
        <f t="shared" si="13"/>
        <v>100</v>
      </c>
      <c r="V29" s="1560" t="s">
        <v>8</v>
      </c>
      <c r="W29" s="1561">
        <f t="shared" si="14"/>
        <v>100</v>
      </c>
      <c r="X29" s="1554"/>
      <c r="Y29" s="3374"/>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5.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5" t="s">
        <v>550</v>
      </c>
      <c r="Q32" s="1559" t="str">
        <f t="shared" si="11"/>
        <v>商业类型</v>
      </c>
      <c r="R32" s="1560" t="s">
        <v>8</v>
      </c>
      <c r="S32" s="1561">
        <f t="shared" si="12"/>
        <v>100</v>
      </c>
      <c r="T32" s="1560" t="s">
        <v>8</v>
      </c>
      <c r="U32" s="1561">
        <f t="shared" si="13"/>
        <v>100</v>
      </c>
      <c r="V32" s="1560" t="s">
        <v>8</v>
      </c>
      <c r="W32" s="1561">
        <f t="shared" si="14"/>
        <v>100</v>
      </c>
      <c r="X32" s="1554"/>
      <c r="Y32" s="3376" t="s">
        <v>550</v>
      </c>
      <c r="Z32" s="1562" t="str">
        <f t="shared" si="15"/>
        <v>商业类型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6"/>
      <c r="Q33" s="1591" t="str">
        <f t="shared" si="11"/>
        <v>项目建筑规模</v>
      </c>
      <c r="R33" s="1564" t="s">
        <v>8</v>
      </c>
      <c r="S33" s="1565" t="e">
        <f t="shared" si="12"/>
        <v>#N/A</v>
      </c>
      <c r="T33" s="1564" t="s">
        <v>8</v>
      </c>
      <c r="U33" s="1565" t="e">
        <f t="shared" si="13"/>
        <v>#N/A</v>
      </c>
      <c r="V33" s="1564" t="s">
        <v>8</v>
      </c>
      <c r="W33" s="1565" t="e">
        <f t="shared" si="14"/>
        <v>#N/A</v>
      </c>
      <c r="X33" s="1566"/>
      <c r="Y33" s="3376"/>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6"/>
      <c r="Q34" s="1559" t="str">
        <f t="shared" si="11"/>
        <v>建筑结构</v>
      </c>
      <c r="R34" s="1560" t="s">
        <v>8</v>
      </c>
      <c r="S34" s="1561">
        <f t="shared" si="12"/>
        <v>100</v>
      </c>
      <c r="T34" s="1560" t="s">
        <v>8</v>
      </c>
      <c r="U34" s="1561">
        <f t="shared" si="13"/>
        <v>100</v>
      </c>
      <c r="V34" s="1560" t="s">
        <v>8</v>
      </c>
      <c r="W34" s="1561">
        <f t="shared" si="14"/>
        <v>100</v>
      </c>
      <c r="X34" s="1554"/>
      <c r="Y34" s="3376"/>
      <c r="Z34" s="1562" t="str">
        <f t="shared" si="15"/>
        <v>建筑结构</v>
      </c>
      <c r="AA34" s="1563">
        <f t="shared" si="3"/>
        <v>1</v>
      </c>
      <c r="AB34" s="1563">
        <f t="shared" si="4"/>
        <v>1</v>
      </c>
      <c r="AC34" s="1563">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6"/>
      <c r="Q35" s="1559" t="str">
        <f t="shared" si="11"/>
        <v>公共部分装修</v>
      </c>
      <c r="R35" s="1560" t="s">
        <v>8</v>
      </c>
      <c r="S35" s="1561">
        <f t="shared" si="12"/>
        <v>100</v>
      </c>
      <c r="T35" s="1560" t="s">
        <v>8</v>
      </c>
      <c r="U35" s="1561">
        <f t="shared" si="13"/>
        <v>100</v>
      </c>
      <c r="V35" s="1560" t="s">
        <v>8</v>
      </c>
      <c r="W35" s="1561">
        <f t="shared" si="14"/>
        <v>100</v>
      </c>
      <c r="X35" s="1554"/>
      <c r="Y35" s="3376"/>
      <c r="Z35" s="1562" t="str">
        <f t="shared" si="15"/>
        <v>公共部分装修</v>
      </c>
      <c r="AA35" s="1563">
        <f t="shared" si="3"/>
        <v>1</v>
      </c>
      <c r="AB35" s="1563">
        <f t="shared" si="4"/>
        <v>1</v>
      </c>
      <c r="AC35" s="1563">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6"/>
      <c r="Q36" s="1559" t="str">
        <f t="shared" si="11"/>
        <v>成新度</v>
      </c>
      <c r="R36" s="1560" t="s">
        <v>8</v>
      </c>
      <c r="S36" s="1561" t="e">
        <f t="shared" si="12"/>
        <v>#N/A</v>
      </c>
      <c r="T36" s="1560" t="s">
        <v>8</v>
      </c>
      <c r="U36" s="1561" t="e">
        <f t="shared" si="13"/>
        <v>#N/A</v>
      </c>
      <c r="V36" s="1560" t="s">
        <v>8</v>
      </c>
      <c r="W36" s="1561" t="e">
        <f t="shared" si="14"/>
        <v>#N/A</v>
      </c>
      <c r="X36" s="1554"/>
      <c r="Y36" s="3376"/>
      <c r="Z36" s="1562" t="str">
        <f t="shared" si="15"/>
        <v>成新度</v>
      </c>
      <c r="AA36" s="1563" t="e">
        <f t="shared" si="3"/>
        <v>#N/A</v>
      </c>
      <c r="AB36" s="1563" t="e">
        <f t="shared" si="4"/>
        <v>#N/A</v>
      </c>
      <c r="AC36" s="1563" t="e">
        <f t="shared" si="5"/>
        <v>#N/A</v>
      </c>
    </row>
    <row r="37" spans="1:29" s="1216" customFormat="1" ht="15.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6"/>
      <c r="Q37" s="1147" t="str">
        <f t="shared" si="11"/>
        <v>市政基础设施</v>
      </c>
      <c r="R37" s="1555" t="s">
        <v>8</v>
      </c>
      <c r="S37" s="1556">
        <f t="shared" si="12"/>
        <v>100</v>
      </c>
      <c r="T37" s="1555" t="s">
        <v>8</v>
      </c>
      <c r="U37" s="1556">
        <f t="shared" si="13"/>
        <v>100</v>
      </c>
      <c r="V37" s="1555" t="s">
        <v>8</v>
      </c>
      <c r="W37" s="1556">
        <f t="shared" si="14"/>
        <v>100</v>
      </c>
      <c r="X37" s="1557"/>
      <c r="Y37" s="3376"/>
      <c r="Z37" s="1146" t="str">
        <f t="shared" si="15"/>
        <v>市政基础设施</v>
      </c>
      <c r="AA37" s="1558">
        <f t="shared" si="3"/>
        <v>1</v>
      </c>
      <c r="AB37" s="1558">
        <f t="shared" si="4"/>
        <v>1</v>
      </c>
      <c r="AC37" s="1558">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6" t="s">
        <v>766</v>
      </c>
      <c r="Q38" s="1559" t="str">
        <f t="shared" si="11"/>
        <v>业态</v>
      </c>
      <c r="R38" s="1560" t="s">
        <v>8</v>
      </c>
      <c r="S38" s="1561">
        <f t="shared" si="12"/>
        <v>100</v>
      </c>
      <c r="T38" s="1560" t="s">
        <v>8</v>
      </c>
      <c r="U38" s="1561">
        <f t="shared" si="13"/>
        <v>100</v>
      </c>
      <c r="V38" s="1560" t="s">
        <v>8</v>
      </c>
      <c r="W38" s="1561">
        <f t="shared" si="14"/>
        <v>100</v>
      </c>
      <c r="X38" s="1554"/>
      <c r="Y38" s="3376" t="s">
        <v>766</v>
      </c>
      <c r="Z38" s="1562" t="str">
        <f t="shared" si="15"/>
        <v>业态</v>
      </c>
      <c r="AA38" s="1563">
        <f t="shared" si="3"/>
        <v>1</v>
      </c>
      <c r="AB38" s="1563">
        <f t="shared" si="4"/>
        <v>1</v>
      </c>
      <c r="AC38" s="1563">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6"/>
      <c r="Q39" s="1559" t="str">
        <f t="shared" si="11"/>
        <v>层高</v>
      </c>
      <c r="R39" s="1560" t="s">
        <v>8</v>
      </c>
      <c r="S39" s="1561">
        <f t="shared" si="12"/>
        <v>100</v>
      </c>
      <c r="T39" s="1560" t="s">
        <v>8</v>
      </c>
      <c r="U39" s="1561">
        <f t="shared" si="13"/>
        <v>100</v>
      </c>
      <c r="V39" s="1560" t="s">
        <v>8</v>
      </c>
      <c r="W39" s="1561">
        <f t="shared" si="14"/>
        <v>100</v>
      </c>
      <c r="X39" s="1554"/>
      <c r="Y39" s="3376"/>
      <c r="Z39" s="1562" t="str">
        <f t="shared" si="15"/>
        <v>层高</v>
      </c>
      <c r="AA39" s="1563">
        <f t="shared" si="3"/>
        <v>1</v>
      </c>
      <c r="AB39" s="1563">
        <f t="shared" si="4"/>
        <v>1</v>
      </c>
      <c r="AC39" s="1563">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6"/>
      <c r="Q40" s="1559" t="str">
        <f t="shared" si="11"/>
        <v>单套建筑面积</v>
      </c>
      <c r="R40" s="1560" t="s">
        <v>8</v>
      </c>
      <c r="S40" s="1561">
        <f t="shared" si="12"/>
        <v>100</v>
      </c>
      <c r="T40" s="1560" t="s">
        <v>8</v>
      </c>
      <c r="U40" s="1561">
        <f t="shared" si="13"/>
        <v>100</v>
      </c>
      <c r="V40" s="1560" t="s">
        <v>8</v>
      </c>
      <c r="W40" s="1561">
        <f t="shared" si="14"/>
        <v>100</v>
      </c>
      <c r="X40" s="1554"/>
      <c r="Y40" s="3376"/>
      <c r="Z40" s="1562" t="str">
        <f t="shared" si="15"/>
        <v>单套建筑面积</v>
      </c>
      <c r="AA40" s="1563">
        <f t="shared" si="3"/>
        <v>1</v>
      </c>
      <c r="AB40" s="1563">
        <f t="shared" si="4"/>
        <v>1</v>
      </c>
      <c r="AC40" s="1563">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6"/>
      <c r="Q41" s="1591" t="str">
        <f t="shared" si="11"/>
        <v>进深比</v>
      </c>
      <c r="R41" s="1564" t="s">
        <v>8</v>
      </c>
      <c r="S41" s="1565">
        <f t="shared" si="12"/>
        <v>100</v>
      </c>
      <c r="T41" s="1564" t="s">
        <v>8</v>
      </c>
      <c r="U41" s="1565">
        <f t="shared" si="13"/>
        <v>100</v>
      </c>
      <c r="V41" s="1564" t="s">
        <v>8</v>
      </c>
      <c r="W41" s="1565">
        <f t="shared" si="14"/>
        <v>100</v>
      </c>
      <c r="X41" s="1566"/>
      <c r="Y41" s="3376"/>
      <c r="Z41" s="1567" t="str">
        <f t="shared" si="15"/>
        <v>进深比</v>
      </c>
      <c r="AA41" s="1563">
        <f t="shared" si="3"/>
        <v>1</v>
      </c>
      <c r="AB41" s="1563">
        <f t="shared" si="4"/>
        <v>1</v>
      </c>
      <c r="AC41" s="1563">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6"/>
      <c r="Q42" s="1559" t="str">
        <f t="shared" si="11"/>
        <v>内部装修</v>
      </c>
      <c r="R42" s="1560" t="s">
        <v>8</v>
      </c>
      <c r="S42" s="1561">
        <f t="shared" si="12"/>
        <v>100</v>
      </c>
      <c r="T42" s="1560" t="s">
        <v>8</v>
      </c>
      <c r="U42" s="1561">
        <f t="shared" si="13"/>
        <v>100</v>
      </c>
      <c r="V42" s="1560" t="s">
        <v>8</v>
      </c>
      <c r="W42" s="1561">
        <f t="shared" si="14"/>
        <v>100</v>
      </c>
      <c r="X42" s="1554"/>
      <c r="Y42" s="3376"/>
      <c r="Z42" s="1562" t="str">
        <f t="shared" si="15"/>
        <v>内部装修</v>
      </c>
      <c r="AA42" s="1563">
        <f t="shared" si="3"/>
        <v>1</v>
      </c>
      <c r="AB42" s="1563">
        <f t="shared" si="4"/>
        <v>1</v>
      </c>
      <c r="AC42" s="1563">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6"/>
      <c r="Q43" s="1559" t="str">
        <f t="shared" si="11"/>
        <v>内部装修维护情况</v>
      </c>
      <c r="R43" s="1560" t="s">
        <v>8</v>
      </c>
      <c r="S43" s="1561">
        <f t="shared" si="12"/>
        <v>100</v>
      </c>
      <c r="T43" s="1560" t="s">
        <v>8</v>
      </c>
      <c r="U43" s="1561">
        <f t="shared" si="13"/>
        <v>100</v>
      </c>
      <c r="V43" s="1560" t="s">
        <v>8</v>
      </c>
      <c r="W43" s="1561">
        <f t="shared" si="14"/>
        <v>100</v>
      </c>
      <c r="X43" s="1554"/>
      <c r="Y43" s="3376"/>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6"/>
      <c r="Q44" s="1147">
        <f t="shared" si="11"/>
        <v>111</v>
      </c>
      <c r="R44" s="1555" t="s">
        <v>8</v>
      </c>
      <c r="S44" s="1556">
        <f t="shared" si="12"/>
        <v>100</v>
      </c>
      <c r="T44" s="1555" t="s">
        <v>8</v>
      </c>
      <c r="U44" s="1556">
        <f t="shared" si="13"/>
        <v>100</v>
      </c>
      <c r="V44" s="1555" t="s">
        <v>8</v>
      </c>
      <c r="W44" s="1556">
        <f t="shared" si="14"/>
        <v>100</v>
      </c>
      <c r="X44" s="1557"/>
      <c r="Y44" s="3376"/>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6"/>
      <c r="Q45" s="1559">
        <f t="shared" si="11"/>
        <v>111</v>
      </c>
      <c r="R45" s="1560" t="s">
        <v>8</v>
      </c>
      <c r="S45" s="1561">
        <f t="shared" si="12"/>
        <v>100</v>
      </c>
      <c r="T45" s="1560" t="s">
        <v>8</v>
      </c>
      <c r="U45" s="1561">
        <f t="shared" si="13"/>
        <v>100</v>
      </c>
      <c r="V45" s="1560" t="s">
        <v>8</v>
      </c>
      <c r="W45" s="1561">
        <f t="shared" si="14"/>
        <v>100</v>
      </c>
      <c r="X45" s="1554"/>
      <c r="Y45" s="3376"/>
      <c r="Z45" s="1562">
        <f t="shared" si="15"/>
        <v>111</v>
      </c>
      <c r="AA45" s="1563">
        <f t="shared" si="3"/>
        <v>1</v>
      </c>
      <c r="AB45" s="1563">
        <f t="shared" si="4"/>
        <v>1</v>
      </c>
      <c r="AC45" s="1563">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c r="A47" s="607" t="s">
        <v>736</v>
      </c>
      <c r="B47" s="887"/>
      <c r="C47" s="2592" t="s">
        <v>1</v>
      </c>
      <c r="D47" s="2593"/>
      <c r="E47" s="2594"/>
      <c r="F47" s="2595"/>
      <c r="G47" s="2596"/>
      <c r="H47" s="2597"/>
      <c r="I47" s="2594"/>
      <c r="J47" s="2597"/>
      <c r="K47" s="1597"/>
      <c r="L47" s="2130"/>
      <c r="M47" s="2131"/>
      <c r="N47" s="2120"/>
      <c r="O47" s="2131"/>
      <c r="P47" s="3371" t="str">
        <f>A47</f>
        <v>成交单价（元/平方米）</v>
      </c>
      <c r="Q47" s="3371"/>
      <c r="R47" s="3475">
        <f>E47</f>
        <v>0</v>
      </c>
      <c r="S47" s="3475"/>
      <c r="T47" s="3475">
        <f>G47</f>
        <v>0</v>
      </c>
      <c r="U47" s="3475"/>
      <c r="V47" s="3475">
        <f>I47</f>
        <v>0</v>
      </c>
      <c r="W47" s="3475"/>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1" t="str">
        <f>A48</f>
        <v>比较价格（元/平方米）</v>
      </c>
      <c r="Q48" s="3371"/>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9"/>
      <c r="L49" s="2130"/>
      <c r="M49" s="2131"/>
      <c r="N49" s="2120"/>
      <c r="O49" s="2131"/>
      <c r="P49" s="3392" t="str">
        <f>A49</f>
        <v>估价对象XX用房的比较价格（楼面单价，元/平方米）</v>
      </c>
      <c r="Q49" s="3393"/>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4.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4.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2207"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c r="A4" s="512" t="s">
        <v>521</v>
      </c>
      <c r="B4" s="513"/>
      <c r="C4" s="3377" t="s">
        <v>522</v>
      </c>
      <c r="D4" s="3378"/>
      <c r="E4" s="3401" t="s">
        <v>523</v>
      </c>
      <c r="F4" s="3402"/>
      <c r="G4" s="3377" t="s">
        <v>524</v>
      </c>
      <c r="H4" s="3378"/>
      <c r="I4" s="3377" t="s">
        <v>525</v>
      </c>
      <c r="J4" s="3378"/>
      <c r="K4" s="514" t="s">
        <v>526</v>
      </c>
      <c r="L4" s="2119"/>
      <c r="M4" s="2120"/>
      <c r="N4" s="2120"/>
      <c r="O4" s="2120"/>
      <c r="P4" s="3477" t="s">
        <v>527</v>
      </c>
      <c r="Q4" s="3380"/>
      <c r="R4" s="3365" t="s">
        <v>523</v>
      </c>
      <c r="S4" s="3366"/>
      <c r="T4" s="3365" t="s">
        <v>524</v>
      </c>
      <c r="U4" s="3366"/>
      <c r="V4" s="3385" t="s">
        <v>525</v>
      </c>
      <c r="W4" s="3385"/>
      <c r="X4" s="1554"/>
      <c r="Y4" s="3365" t="s">
        <v>527</v>
      </c>
      <c r="Z4" s="3366"/>
      <c r="AA4" s="3360" t="s">
        <v>523</v>
      </c>
      <c r="AB4" s="3360" t="s">
        <v>524</v>
      </c>
      <c r="AC4" s="3360" t="s">
        <v>525</v>
      </c>
    </row>
    <row r="5" spans="1:29">
      <c r="A5" s="515"/>
      <c r="B5" s="516"/>
      <c r="C5" s="3388" t="s">
        <v>2928</v>
      </c>
      <c r="D5" s="3389"/>
      <c r="E5" s="3403" t="s">
        <v>2929</v>
      </c>
      <c r="F5" s="3404"/>
      <c r="G5" s="3388" t="s">
        <v>2930</v>
      </c>
      <c r="H5" s="3389"/>
      <c r="I5" s="3388" t="s">
        <v>2931</v>
      </c>
      <c r="J5" s="3389"/>
      <c r="K5" s="514"/>
      <c r="L5" s="2119"/>
      <c r="M5" s="2120"/>
      <c r="N5" s="2120"/>
      <c r="O5" s="2120"/>
      <c r="P5" s="3478"/>
      <c r="Q5" s="3382"/>
      <c r="R5" s="3367"/>
      <c r="S5" s="3368"/>
      <c r="T5" s="3367"/>
      <c r="U5" s="3368"/>
      <c r="V5" s="3385"/>
      <c r="W5" s="3385"/>
      <c r="X5" s="1554"/>
      <c r="Y5" s="3367"/>
      <c r="Z5" s="3368"/>
      <c r="AA5" s="3361"/>
      <c r="AB5" s="3361"/>
      <c r="AC5" s="3361"/>
    </row>
    <row r="6" spans="1:29" ht="15" thickBot="1">
      <c r="A6" s="517"/>
      <c r="B6" s="518"/>
      <c r="C6" s="3386" t="s">
        <v>2932</v>
      </c>
      <c r="D6" s="3387"/>
      <c r="E6" s="3405" t="s">
        <v>2932</v>
      </c>
      <c r="F6" s="3406"/>
      <c r="G6" s="3386" t="s">
        <v>2932</v>
      </c>
      <c r="H6" s="3387"/>
      <c r="I6" s="3386" t="s">
        <v>2932</v>
      </c>
      <c r="J6" s="3387"/>
      <c r="K6" s="514" t="s">
        <v>528</v>
      </c>
      <c r="L6" s="2119"/>
      <c r="M6" s="2120"/>
      <c r="N6" s="2120"/>
      <c r="O6" s="2120"/>
      <c r="P6" s="3479"/>
      <c r="Q6" s="3384"/>
      <c r="R6" s="3367"/>
      <c r="S6" s="3368"/>
      <c r="T6" s="3369"/>
      <c r="U6" s="3370"/>
      <c r="V6" s="3385"/>
      <c r="W6" s="3385"/>
      <c r="X6" s="1554"/>
      <c r="Y6" s="3369"/>
      <c r="Z6" s="3370"/>
      <c r="AA6" s="3362"/>
      <c r="AB6" s="3362"/>
      <c r="AC6" s="3362"/>
    </row>
    <row r="7" spans="1:29" s="1216" customFormat="1" ht="14.5" thickBot="1">
      <c r="A7" s="2868"/>
      <c r="B7" s="2875"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2"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4.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2" t="s">
        <v>533</v>
      </c>
      <c r="Q8" s="3364"/>
      <c r="R8" s="1555" t="s">
        <v>8</v>
      </c>
      <c r="S8" s="1556">
        <f t="shared" si="0"/>
        <v>0</v>
      </c>
      <c r="T8" s="1555" t="s">
        <v>8</v>
      </c>
      <c r="U8" s="1556">
        <f t="shared" si="1"/>
        <v>0</v>
      </c>
      <c r="V8" s="1555" t="s">
        <v>8</v>
      </c>
      <c r="W8" s="1556">
        <f t="shared" si="2"/>
        <v>0</v>
      </c>
      <c r="X8" s="1557"/>
      <c r="Y8" s="3363" t="s">
        <v>533</v>
      </c>
      <c r="Z8" s="3364"/>
      <c r="AA8" s="1558" t="e">
        <f t="shared" ref="AA8:AA47" si="3">D8/F8</f>
        <v>#DIV/0!</v>
      </c>
      <c r="AB8" s="1558" t="e">
        <f t="shared" ref="AB8:AB47" si="4">D8/H8</f>
        <v>#DIV/0!</v>
      </c>
      <c r="AC8" s="1558" t="e">
        <f t="shared" ref="AC8:AC47" si="5">D8/J8</f>
        <v>#DIV/0!</v>
      </c>
    </row>
    <row r="9" spans="1:29" s="1216" customFormat="1">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84">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3" t="s">
        <v>540</v>
      </c>
      <c r="Q15" s="1559" t="str">
        <f t="shared" si="6"/>
        <v>办公集聚程度</v>
      </c>
      <c r="R15" s="1560" t="s">
        <v>8</v>
      </c>
      <c r="S15" s="1561">
        <f t="shared" si="0"/>
        <v>100</v>
      </c>
      <c r="T15" s="1560" t="s">
        <v>8</v>
      </c>
      <c r="U15" s="1561">
        <f t="shared" si="1"/>
        <v>100</v>
      </c>
      <c r="V15" s="1560" t="s">
        <v>8</v>
      </c>
      <c r="W15" s="1561">
        <f t="shared" si="2"/>
        <v>100</v>
      </c>
      <c r="X15" s="1554"/>
      <c r="Y15" s="3373" t="s">
        <v>540</v>
      </c>
      <c r="Z15" s="1562" t="str">
        <f t="shared" si="7"/>
        <v>办公集聚程度</v>
      </c>
      <c r="AA15" s="1563">
        <f t="shared" si="3"/>
        <v>1</v>
      </c>
      <c r="AB15" s="1563">
        <f t="shared" si="4"/>
        <v>1</v>
      </c>
      <c r="AC15" s="1563">
        <f t="shared" si="5"/>
        <v>1</v>
      </c>
    </row>
    <row r="16" spans="1:29" ht="15.5">
      <c r="A16" s="532"/>
      <c r="B16" s="553"/>
      <c r="C16" s="554"/>
      <c r="D16" s="555"/>
      <c r="E16" s="576"/>
      <c r="F16" s="555"/>
      <c r="G16" s="554"/>
      <c r="H16" s="559"/>
      <c r="I16" s="576"/>
      <c r="J16" s="555"/>
      <c r="K16" s="899"/>
      <c r="L16" s="2128"/>
      <c r="M16" s="2120"/>
      <c r="N16" s="2120"/>
      <c r="O16" s="2120"/>
      <c r="P16" s="3374"/>
      <c r="Q16" s="1559"/>
      <c r="R16" s="1560"/>
      <c r="S16" s="1561"/>
      <c r="T16" s="1560"/>
      <c r="U16" s="1561"/>
      <c r="V16" s="1560"/>
      <c r="W16" s="1561"/>
      <c r="X16" s="1554"/>
      <c r="Y16" s="3374"/>
      <c r="Z16" s="1562"/>
      <c r="AA16" s="1563">
        <v>1</v>
      </c>
      <c r="AB16" s="1563">
        <v>1</v>
      </c>
      <c r="AC16" s="1563">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5">
      <c r="A18" s="532"/>
      <c r="B18" s="566"/>
      <c r="C18" s="567"/>
      <c r="D18" s="559"/>
      <c r="E18" s="569"/>
      <c r="F18" s="559"/>
      <c r="G18" s="568"/>
      <c r="H18" s="555"/>
      <c r="I18" s="568"/>
      <c r="J18" s="555"/>
      <c r="K18" s="899"/>
      <c r="L18" s="2128"/>
      <c r="M18" s="2120"/>
      <c r="N18" s="2120"/>
      <c r="O18" s="2120"/>
      <c r="P18" s="3374"/>
      <c r="Q18" s="1559"/>
      <c r="R18" s="1560"/>
      <c r="S18" s="1561"/>
      <c r="T18" s="1560"/>
      <c r="U18" s="1561"/>
      <c r="V18" s="1560"/>
      <c r="W18" s="1561"/>
      <c r="X18" s="1554"/>
      <c r="Y18" s="3374"/>
      <c r="Z18" s="1562"/>
      <c r="AA18" s="1563">
        <v>1</v>
      </c>
      <c r="AB18" s="1563">
        <v>1</v>
      </c>
      <c r="AC18" s="1563">
        <v>1</v>
      </c>
    </row>
    <row r="19" spans="1:29" ht="42">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5">
      <c r="A20" s="532"/>
      <c r="B20" s="566"/>
      <c r="C20" s="554"/>
      <c r="D20" s="555"/>
      <c r="E20" s="558"/>
      <c r="F20" s="555"/>
      <c r="G20" s="556"/>
      <c r="H20" s="555"/>
      <c r="I20" s="556"/>
      <c r="J20" s="555"/>
      <c r="K20" s="899"/>
      <c r="L20" s="2128"/>
      <c r="M20" s="2120"/>
      <c r="N20" s="2120"/>
      <c r="O20" s="2120"/>
      <c r="P20" s="3374"/>
      <c r="Q20" s="1559"/>
      <c r="R20" s="1560"/>
      <c r="S20" s="1561"/>
      <c r="T20" s="1560"/>
      <c r="U20" s="1561"/>
      <c r="V20" s="1560"/>
      <c r="W20" s="1561"/>
      <c r="X20" s="1554"/>
      <c r="Y20" s="3374"/>
      <c r="Z20" s="1562"/>
      <c r="AA20" s="1563">
        <v>1</v>
      </c>
      <c r="AB20" s="1563">
        <v>1</v>
      </c>
      <c r="AC20" s="1563">
        <v>1</v>
      </c>
    </row>
    <row r="21" spans="1:29" ht="42">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5">
      <c r="A22" s="532"/>
      <c r="B22" s="578"/>
      <c r="C22" s="567"/>
      <c r="D22" s="555"/>
      <c r="E22" s="576"/>
      <c r="F22" s="555"/>
      <c r="G22" s="554"/>
      <c r="H22" s="555"/>
      <c r="I22" s="554"/>
      <c r="J22" s="555"/>
      <c r="K22" s="2567"/>
      <c r="L22" s="2128"/>
      <c r="M22" s="2120"/>
      <c r="N22" s="2120"/>
      <c r="O22" s="2120"/>
      <c r="P22" s="3374"/>
      <c r="Q22" s="2544"/>
      <c r="R22" s="1560"/>
      <c r="S22" s="1561"/>
      <c r="T22" s="1560"/>
      <c r="U22" s="1561"/>
      <c r="V22" s="1560"/>
      <c r="W22" s="1561"/>
      <c r="X22" s="2546"/>
      <c r="Y22" s="3374"/>
      <c r="Z22" s="2545"/>
      <c r="AA22" s="1563">
        <v>1</v>
      </c>
      <c r="AB22" s="1563">
        <v>1</v>
      </c>
      <c r="AC22" s="1563">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5">
      <c r="A24" s="532"/>
      <c r="B24" s="578"/>
      <c r="C24" s="554"/>
      <c r="D24" s="555"/>
      <c r="E24" s="558"/>
      <c r="F24" s="555"/>
      <c r="G24" s="556"/>
      <c r="H24" s="555"/>
      <c r="I24" s="556"/>
      <c r="J24" s="555"/>
      <c r="K24" s="899"/>
      <c r="L24" s="2128"/>
      <c r="M24" s="2120"/>
      <c r="N24" s="2120"/>
      <c r="O24" s="2120"/>
      <c r="P24" s="3374"/>
      <c r="Q24" s="1559"/>
      <c r="R24" s="1560"/>
      <c r="S24" s="1561"/>
      <c r="T24" s="1560"/>
      <c r="U24" s="1561"/>
      <c r="V24" s="1560"/>
      <c r="W24" s="1561"/>
      <c r="X24" s="1554"/>
      <c r="Y24" s="3374"/>
      <c r="Z24" s="1562"/>
      <c r="AA24" s="1563">
        <v>1</v>
      </c>
      <c r="AB24" s="1563">
        <v>1</v>
      </c>
      <c r="AC24" s="1563">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4"/>
      <c r="Q25" s="1559" t="str">
        <f>B25</f>
        <v>毗邻道路的类型与等级</v>
      </c>
      <c r="R25" s="1560" t="s">
        <v>8</v>
      </c>
      <c r="S25" s="1561">
        <f>F25</f>
        <v>100</v>
      </c>
      <c r="T25" s="1560" t="s">
        <v>8</v>
      </c>
      <c r="U25" s="1561">
        <f>H25</f>
        <v>100</v>
      </c>
      <c r="V25" s="1560" t="s">
        <v>8</v>
      </c>
      <c r="W25" s="1561">
        <f>J25</f>
        <v>100</v>
      </c>
      <c r="X25" s="1554"/>
      <c r="Y25" s="3374"/>
      <c r="Z25" s="1562" t="str">
        <f>Q25</f>
        <v>毗邻道路的类型与等级</v>
      </c>
      <c r="AA25" s="1563">
        <f t="shared" si="3"/>
        <v>1</v>
      </c>
      <c r="AB25" s="1563">
        <f t="shared" si="4"/>
        <v>1</v>
      </c>
      <c r="AC25" s="1563">
        <f t="shared" si="5"/>
        <v>1</v>
      </c>
    </row>
    <row r="26" spans="1:29" ht="15.5">
      <c r="A26" s="515"/>
      <c r="B26" s="566"/>
      <c r="C26" s="580"/>
      <c r="D26" s="540"/>
      <c r="E26" s="583"/>
      <c r="F26" s="540"/>
      <c r="G26" s="580"/>
      <c r="H26" s="540"/>
      <c r="I26" s="583"/>
      <c r="J26" s="540"/>
      <c r="K26" s="899"/>
      <c r="L26" s="2128"/>
      <c r="M26" s="2120"/>
      <c r="N26" s="2120"/>
      <c r="O26" s="2120"/>
      <c r="P26" s="3374"/>
      <c r="Q26" s="1559"/>
      <c r="R26" s="1560"/>
      <c r="S26" s="1561"/>
      <c r="T26" s="1560"/>
      <c r="U26" s="1561"/>
      <c r="V26" s="1560"/>
      <c r="W26" s="1561"/>
      <c r="X26" s="1554"/>
      <c r="Y26" s="3374"/>
      <c r="Z26" s="1562"/>
      <c r="AA26" s="1563">
        <v>1</v>
      </c>
      <c r="AB26" s="1563">
        <v>1</v>
      </c>
      <c r="AC26" s="1563">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4"/>
      <c r="Q27" s="1559" t="str">
        <f t="shared" ref="Q27:Q47" si="11">B27</f>
        <v>楼层</v>
      </c>
      <c r="R27" s="1560" t="s">
        <v>8</v>
      </c>
      <c r="S27" s="1561">
        <f>F27</f>
        <v>100</v>
      </c>
      <c r="T27" s="1560" t="s">
        <v>8</v>
      </c>
      <c r="U27" s="1561">
        <f>H27</f>
        <v>100</v>
      </c>
      <c r="V27" s="1560" t="s">
        <v>8</v>
      </c>
      <c r="W27" s="1561">
        <f>J27</f>
        <v>100</v>
      </c>
      <c r="X27" s="1554"/>
      <c r="Y27" s="3374"/>
      <c r="Z27" s="1562" t="str">
        <f>Q27</f>
        <v>楼层</v>
      </c>
      <c r="AA27" s="1563">
        <f t="shared" si="3"/>
        <v>1</v>
      </c>
      <c r="AB27" s="1563">
        <f t="shared" si="4"/>
        <v>1</v>
      </c>
      <c r="AC27" s="1563">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4"/>
      <c r="Q28" s="1147" t="str">
        <f t="shared" si="11"/>
        <v>朝向</v>
      </c>
      <c r="R28" s="1555" t="s">
        <v>8</v>
      </c>
      <c r="S28" s="1556">
        <f>F28</f>
        <v>100</v>
      </c>
      <c r="T28" s="1555" t="s">
        <v>8</v>
      </c>
      <c r="U28" s="1556">
        <f>H28</f>
        <v>100</v>
      </c>
      <c r="V28" s="1555" t="s">
        <v>8</v>
      </c>
      <c r="W28" s="1556">
        <f>J28</f>
        <v>100</v>
      </c>
      <c r="X28" s="1557"/>
      <c r="Y28" s="3374"/>
      <c r="Z28" s="1146" t="str">
        <f>Q28</f>
        <v>朝向</v>
      </c>
      <c r="AA28" s="1563">
        <f>D28/F28</f>
        <v>1</v>
      </c>
      <c r="AB28" s="1563">
        <f>D28/H28</f>
        <v>1</v>
      </c>
      <c r="AC28" s="1563">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4"/>
      <c r="Q29" s="1559">
        <f t="shared" si="11"/>
        <v>111</v>
      </c>
      <c r="R29" s="1560" t="s">
        <v>8</v>
      </c>
      <c r="S29" s="1561">
        <f t="shared" ref="S29:S47" si="12">F29</f>
        <v>100</v>
      </c>
      <c r="T29" s="1560" t="s">
        <v>8</v>
      </c>
      <c r="U29" s="1561">
        <f t="shared" ref="U29:U47" si="13">H29</f>
        <v>100</v>
      </c>
      <c r="V29" s="1560" t="s">
        <v>8</v>
      </c>
      <c r="W29" s="1561">
        <f t="shared" ref="W29:W47" si="14">J29</f>
        <v>100</v>
      </c>
      <c r="X29" s="1554"/>
      <c r="Y29" s="3374"/>
      <c r="Z29" s="1562">
        <f t="shared" ref="Z29:Z47" si="15">Q29</f>
        <v>111</v>
      </c>
      <c r="AA29" s="1563">
        <f t="shared" si="3"/>
        <v>1</v>
      </c>
      <c r="AB29" s="1563">
        <f t="shared" si="4"/>
        <v>1</v>
      </c>
      <c r="AC29" s="1563">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4"/>
      <c r="Q30" s="1559">
        <f t="shared" si="11"/>
        <v>111</v>
      </c>
      <c r="R30" s="1560" t="s">
        <v>8</v>
      </c>
      <c r="S30" s="1561">
        <f t="shared" si="12"/>
        <v>100</v>
      </c>
      <c r="T30" s="1560" t="s">
        <v>8</v>
      </c>
      <c r="U30" s="1561">
        <f t="shared" si="13"/>
        <v>100</v>
      </c>
      <c r="V30" s="1560" t="s">
        <v>8</v>
      </c>
      <c r="W30" s="1561">
        <f t="shared" si="14"/>
        <v>100</v>
      </c>
      <c r="X30" s="1554"/>
      <c r="Y30" s="3374"/>
      <c r="Z30" s="1562">
        <f t="shared" si="15"/>
        <v>111</v>
      </c>
      <c r="AA30" s="1563">
        <f t="shared" si="3"/>
        <v>1</v>
      </c>
      <c r="AB30" s="1563">
        <f t="shared" si="4"/>
        <v>1</v>
      </c>
      <c r="AC30" s="1563">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4"/>
      <c r="Q31" s="1559">
        <f t="shared" si="11"/>
        <v>111</v>
      </c>
      <c r="R31" s="1560" t="s">
        <v>8</v>
      </c>
      <c r="S31" s="1561">
        <f t="shared" si="12"/>
        <v>100</v>
      </c>
      <c r="T31" s="1560" t="s">
        <v>8</v>
      </c>
      <c r="U31" s="1561">
        <f t="shared" si="13"/>
        <v>100</v>
      </c>
      <c r="V31" s="1560" t="s">
        <v>8</v>
      </c>
      <c r="W31" s="1561">
        <f t="shared" si="14"/>
        <v>100</v>
      </c>
      <c r="X31" s="1554"/>
      <c r="Y31" s="3374"/>
      <c r="Z31" s="1562">
        <f t="shared" si="15"/>
        <v>111</v>
      </c>
      <c r="AA31" s="1563">
        <f t="shared" si="3"/>
        <v>1</v>
      </c>
      <c r="AB31" s="1563">
        <f t="shared" si="4"/>
        <v>1</v>
      </c>
      <c r="AC31" s="1563">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4"/>
      <c r="Q32" s="1559">
        <f t="shared" si="11"/>
        <v>111</v>
      </c>
      <c r="R32" s="1560" t="s">
        <v>8</v>
      </c>
      <c r="S32" s="1561">
        <f t="shared" si="12"/>
        <v>100</v>
      </c>
      <c r="T32" s="1560" t="s">
        <v>8</v>
      </c>
      <c r="U32" s="1561">
        <f t="shared" si="13"/>
        <v>100</v>
      </c>
      <c r="V32" s="1560" t="s">
        <v>8</v>
      </c>
      <c r="W32" s="1561">
        <f t="shared" si="14"/>
        <v>100</v>
      </c>
      <c r="X32" s="1554"/>
      <c r="Y32" s="3374"/>
      <c r="Z32" s="1562">
        <f t="shared" si="15"/>
        <v>111</v>
      </c>
      <c r="AA32" s="1563">
        <f t="shared" si="3"/>
        <v>1</v>
      </c>
      <c r="AB32" s="1563">
        <f t="shared" si="4"/>
        <v>1</v>
      </c>
      <c r="AC32" s="1563">
        <f t="shared" si="5"/>
        <v>1</v>
      </c>
    </row>
    <row r="33" spans="1:29" ht="15.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5" t="s">
        <v>550</v>
      </c>
      <c r="Q33" s="1559" t="str">
        <f t="shared" si="11"/>
        <v>建筑类型</v>
      </c>
      <c r="R33" s="1560" t="s">
        <v>8</v>
      </c>
      <c r="S33" s="1561">
        <f t="shared" si="12"/>
        <v>100</v>
      </c>
      <c r="T33" s="1560" t="s">
        <v>8</v>
      </c>
      <c r="U33" s="1561">
        <f t="shared" si="13"/>
        <v>100</v>
      </c>
      <c r="V33" s="1560" t="s">
        <v>8</v>
      </c>
      <c r="W33" s="1561">
        <f t="shared" si="14"/>
        <v>100</v>
      </c>
      <c r="X33" s="1554"/>
      <c r="Y33" s="3376" t="s">
        <v>550</v>
      </c>
      <c r="Z33" s="1562" t="str">
        <f t="shared" si="15"/>
        <v>建筑类型</v>
      </c>
      <c r="AA33" s="1563">
        <f t="shared" si="3"/>
        <v>1</v>
      </c>
      <c r="AB33" s="1563">
        <f t="shared" si="4"/>
        <v>1</v>
      </c>
      <c r="AC33" s="1563">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6"/>
      <c r="Q34" s="1591" t="str">
        <f t="shared" si="11"/>
        <v>项目建筑规模</v>
      </c>
      <c r="R34" s="1564" t="s">
        <v>8</v>
      </c>
      <c r="S34" s="1565" t="e">
        <f t="shared" si="12"/>
        <v>#N/A</v>
      </c>
      <c r="T34" s="1564" t="s">
        <v>8</v>
      </c>
      <c r="U34" s="1565" t="e">
        <f t="shared" si="13"/>
        <v>#N/A</v>
      </c>
      <c r="V34" s="1564" t="s">
        <v>8</v>
      </c>
      <c r="W34" s="1565" t="e">
        <f t="shared" si="14"/>
        <v>#N/A</v>
      </c>
      <c r="X34" s="1566"/>
      <c r="Y34" s="3376"/>
      <c r="Z34" s="1567" t="str">
        <f t="shared" si="15"/>
        <v>项目建筑规模</v>
      </c>
      <c r="AA34" s="1563" t="e">
        <f t="shared" si="3"/>
        <v>#N/A</v>
      </c>
      <c r="AB34" s="1563" t="e">
        <f t="shared" si="4"/>
        <v>#N/A</v>
      </c>
      <c r="AC34" s="1563"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6"/>
      <c r="Q35" s="1559" t="str">
        <f t="shared" si="11"/>
        <v>建筑结构</v>
      </c>
      <c r="R35" s="1560" t="s">
        <v>8</v>
      </c>
      <c r="S35" s="1561">
        <f t="shared" si="12"/>
        <v>100</v>
      </c>
      <c r="T35" s="1560" t="s">
        <v>8</v>
      </c>
      <c r="U35" s="1561">
        <f t="shared" si="13"/>
        <v>100</v>
      </c>
      <c r="V35" s="1560" t="s">
        <v>8</v>
      </c>
      <c r="W35" s="1561">
        <f t="shared" si="14"/>
        <v>100</v>
      </c>
      <c r="X35" s="1554"/>
      <c r="Y35" s="3376"/>
      <c r="Z35" s="1562" t="str">
        <f t="shared" si="15"/>
        <v>建筑结构</v>
      </c>
      <c r="AA35" s="1563">
        <f t="shared" si="3"/>
        <v>1</v>
      </c>
      <c r="AB35" s="1563">
        <f t="shared" si="4"/>
        <v>1</v>
      </c>
      <c r="AC35" s="1563">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6"/>
      <c r="Q36" s="1559" t="str">
        <f t="shared" si="11"/>
        <v>公共部分装修</v>
      </c>
      <c r="R36" s="1560" t="s">
        <v>8</v>
      </c>
      <c r="S36" s="1561">
        <f t="shared" si="12"/>
        <v>100</v>
      </c>
      <c r="T36" s="1560" t="s">
        <v>8</v>
      </c>
      <c r="U36" s="1561">
        <f t="shared" si="13"/>
        <v>100</v>
      </c>
      <c r="V36" s="1560" t="s">
        <v>8</v>
      </c>
      <c r="W36" s="1561">
        <f t="shared" si="14"/>
        <v>100</v>
      </c>
      <c r="X36" s="1554"/>
      <c r="Y36" s="3376"/>
      <c r="Z36" s="1562" t="str">
        <f t="shared" si="15"/>
        <v>公共部分装修</v>
      </c>
      <c r="AA36" s="1563">
        <f t="shared" si="3"/>
        <v>1</v>
      </c>
      <c r="AB36" s="1563">
        <f t="shared" si="4"/>
        <v>1</v>
      </c>
      <c r="AC36" s="1563">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6"/>
      <c r="Q37" s="1559" t="str">
        <f t="shared" si="11"/>
        <v>成新度</v>
      </c>
      <c r="R37" s="1560" t="s">
        <v>8</v>
      </c>
      <c r="S37" s="1561" t="e">
        <f t="shared" si="12"/>
        <v>#N/A</v>
      </c>
      <c r="T37" s="1560" t="s">
        <v>8</v>
      </c>
      <c r="U37" s="1561" t="e">
        <f t="shared" si="13"/>
        <v>#N/A</v>
      </c>
      <c r="V37" s="1560" t="s">
        <v>8</v>
      </c>
      <c r="W37" s="1561" t="e">
        <f t="shared" si="14"/>
        <v>#N/A</v>
      </c>
      <c r="X37" s="1554"/>
      <c r="Y37" s="3376"/>
      <c r="Z37" s="1562" t="str">
        <f t="shared" si="15"/>
        <v>成新度</v>
      </c>
      <c r="AA37" s="1563" t="e">
        <f t="shared" si="3"/>
        <v>#N/A</v>
      </c>
      <c r="AB37" s="1563" t="e">
        <f t="shared" si="4"/>
        <v>#N/A</v>
      </c>
      <c r="AC37" s="1563"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6"/>
      <c r="Q38" s="1147" t="str">
        <f t="shared" si="11"/>
        <v>写字楼等级</v>
      </c>
      <c r="R38" s="1555" t="s">
        <v>8</v>
      </c>
      <c r="S38" s="1556">
        <f t="shared" si="12"/>
        <v>100</v>
      </c>
      <c r="T38" s="1555" t="s">
        <v>8</v>
      </c>
      <c r="U38" s="1556">
        <f t="shared" si="13"/>
        <v>100</v>
      </c>
      <c r="V38" s="1555" t="s">
        <v>8</v>
      </c>
      <c r="W38" s="1556">
        <f t="shared" si="14"/>
        <v>100</v>
      </c>
      <c r="X38" s="1557"/>
      <c r="Y38" s="3376"/>
      <c r="Z38" s="1146" t="str">
        <f t="shared" si="15"/>
        <v>写字楼等级</v>
      </c>
      <c r="AA38" s="1558">
        <f t="shared" si="3"/>
        <v>1</v>
      </c>
      <c r="AB38" s="1558">
        <f t="shared" si="4"/>
        <v>1</v>
      </c>
      <c r="AC38" s="1558">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6" t="s">
        <v>550</v>
      </c>
      <c r="Q39" s="1559" t="str">
        <f t="shared" si="11"/>
        <v>物业管理</v>
      </c>
      <c r="R39" s="1560" t="s">
        <v>8</v>
      </c>
      <c r="S39" s="1561">
        <f t="shared" si="12"/>
        <v>100</v>
      </c>
      <c r="T39" s="1560" t="s">
        <v>8</v>
      </c>
      <c r="U39" s="1561">
        <f t="shared" si="13"/>
        <v>100</v>
      </c>
      <c r="V39" s="1560" t="s">
        <v>8</v>
      </c>
      <c r="W39" s="1561">
        <f t="shared" si="14"/>
        <v>100</v>
      </c>
      <c r="X39" s="1554"/>
      <c r="Y39" s="3376" t="s">
        <v>550</v>
      </c>
      <c r="Z39" s="1562" t="str">
        <f t="shared" si="15"/>
        <v>物业管理</v>
      </c>
      <c r="AA39" s="1563">
        <f t="shared" si="3"/>
        <v>1</v>
      </c>
      <c r="AB39" s="1563">
        <f t="shared" si="4"/>
        <v>1</v>
      </c>
      <c r="AC39" s="1563">
        <f t="shared" si="5"/>
        <v>1</v>
      </c>
    </row>
    <row r="40" spans="1:29" ht="15.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6"/>
      <c r="Q40" s="1559" t="str">
        <f t="shared" si="11"/>
        <v>市政基础设施</v>
      </c>
      <c r="R40" s="1560" t="s">
        <v>8</v>
      </c>
      <c r="S40" s="1561">
        <f t="shared" si="12"/>
        <v>100</v>
      </c>
      <c r="T40" s="1560" t="s">
        <v>8</v>
      </c>
      <c r="U40" s="1561">
        <f t="shared" si="13"/>
        <v>100</v>
      </c>
      <c r="V40" s="1560" t="s">
        <v>8</v>
      </c>
      <c r="W40" s="1561">
        <f t="shared" si="14"/>
        <v>100</v>
      </c>
      <c r="X40" s="1554"/>
      <c r="Y40" s="3376"/>
      <c r="Z40" s="1562" t="str">
        <f t="shared" si="15"/>
        <v>市政基础设施</v>
      </c>
      <c r="AA40" s="1563">
        <f t="shared" si="3"/>
        <v>1</v>
      </c>
      <c r="AB40" s="1563">
        <f t="shared" si="4"/>
        <v>1</v>
      </c>
      <c r="AC40" s="1563">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6"/>
      <c r="Q41" s="1559" t="str">
        <f t="shared" si="11"/>
        <v>层高</v>
      </c>
      <c r="R41" s="1560" t="s">
        <v>8</v>
      </c>
      <c r="S41" s="1561">
        <f t="shared" si="12"/>
        <v>100</v>
      </c>
      <c r="T41" s="1560" t="s">
        <v>8</v>
      </c>
      <c r="U41" s="1561">
        <f t="shared" si="13"/>
        <v>100</v>
      </c>
      <c r="V41" s="1560" t="s">
        <v>8</v>
      </c>
      <c r="W41" s="1561">
        <f t="shared" si="14"/>
        <v>100</v>
      </c>
      <c r="X41" s="1554"/>
      <c r="Y41" s="3376"/>
      <c r="Z41" s="1562" t="str">
        <f t="shared" si="15"/>
        <v>层高</v>
      </c>
      <c r="AA41" s="1563">
        <f t="shared" si="3"/>
        <v>1</v>
      </c>
      <c r="AB41" s="1563">
        <f t="shared" si="4"/>
        <v>1</v>
      </c>
      <c r="AC41" s="1563">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6"/>
      <c r="Q42" s="1591" t="str">
        <f t="shared" si="11"/>
        <v>单套建筑面积</v>
      </c>
      <c r="R42" s="1564" t="s">
        <v>8</v>
      </c>
      <c r="S42" s="1565">
        <f t="shared" si="12"/>
        <v>100</v>
      </c>
      <c r="T42" s="1564" t="s">
        <v>8</v>
      </c>
      <c r="U42" s="1565">
        <f t="shared" si="13"/>
        <v>100</v>
      </c>
      <c r="V42" s="1564" t="s">
        <v>8</v>
      </c>
      <c r="W42" s="1565">
        <f t="shared" si="14"/>
        <v>100</v>
      </c>
      <c r="X42" s="1566"/>
      <c r="Y42" s="3376"/>
      <c r="Z42" s="1567" t="str">
        <f t="shared" si="15"/>
        <v>单套建筑面积</v>
      </c>
      <c r="AA42" s="1563">
        <f t="shared" si="3"/>
        <v>1</v>
      </c>
      <c r="AB42" s="1563">
        <f t="shared" si="4"/>
        <v>1</v>
      </c>
      <c r="AC42" s="1563">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6"/>
      <c r="Q43" s="1559" t="str">
        <f t="shared" si="11"/>
        <v>内部装修</v>
      </c>
      <c r="R43" s="1560" t="s">
        <v>8</v>
      </c>
      <c r="S43" s="1561">
        <f t="shared" si="12"/>
        <v>100</v>
      </c>
      <c r="T43" s="1560" t="s">
        <v>8</v>
      </c>
      <c r="U43" s="1561">
        <f t="shared" si="13"/>
        <v>100</v>
      </c>
      <c r="V43" s="1560" t="s">
        <v>8</v>
      </c>
      <c r="W43" s="1561">
        <f t="shared" si="14"/>
        <v>100</v>
      </c>
      <c r="X43" s="1554"/>
      <c r="Y43" s="3376"/>
      <c r="Z43" s="1562" t="str">
        <f t="shared" si="15"/>
        <v>内部装修</v>
      </c>
      <c r="AA43" s="1563">
        <f t="shared" si="3"/>
        <v>1</v>
      </c>
      <c r="AB43" s="1563">
        <f t="shared" si="4"/>
        <v>1</v>
      </c>
      <c r="AC43" s="1563">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6"/>
      <c r="Q44" s="1559" t="str">
        <f t="shared" si="11"/>
        <v>内部装修维护情况</v>
      </c>
      <c r="R44" s="1560" t="s">
        <v>8</v>
      </c>
      <c r="S44" s="1561">
        <f t="shared" si="12"/>
        <v>100</v>
      </c>
      <c r="T44" s="1560" t="s">
        <v>8</v>
      </c>
      <c r="U44" s="1561">
        <f t="shared" si="13"/>
        <v>100</v>
      </c>
      <c r="V44" s="1560" t="s">
        <v>8</v>
      </c>
      <c r="W44" s="1561">
        <f t="shared" si="14"/>
        <v>100</v>
      </c>
      <c r="X44" s="1554"/>
      <c r="Y44" s="3376"/>
      <c r="Z44" s="1562" t="str">
        <f t="shared" si="15"/>
        <v>内部装修维护情况</v>
      </c>
      <c r="AA44" s="1563">
        <f t="shared" si="3"/>
        <v>1</v>
      </c>
      <c r="AB44" s="1563">
        <f t="shared" si="4"/>
        <v>1</v>
      </c>
      <c r="AC44" s="1563">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6"/>
      <c r="Q45" s="1147">
        <f t="shared" si="11"/>
        <v>111</v>
      </c>
      <c r="R45" s="1555" t="s">
        <v>8</v>
      </c>
      <c r="S45" s="1556">
        <f t="shared" si="12"/>
        <v>100</v>
      </c>
      <c r="T45" s="1555" t="s">
        <v>8</v>
      </c>
      <c r="U45" s="1556">
        <f t="shared" si="13"/>
        <v>100</v>
      </c>
      <c r="V45" s="1555" t="s">
        <v>8</v>
      </c>
      <c r="W45" s="1556">
        <f t="shared" si="14"/>
        <v>100</v>
      </c>
      <c r="X45" s="1557"/>
      <c r="Y45" s="3376"/>
      <c r="Z45" s="1146">
        <f t="shared" si="15"/>
        <v>111</v>
      </c>
      <c r="AA45" s="1558">
        <f t="shared" si="3"/>
        <v>1</v>
      </c>
      <c r="AB45" s="1558">
        <f t="shared" si="4"/>
        <v>1</v>
      </c>
      <c r="AC45" s="1558">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6"/>
      <c r="Q46" s="1559">
        <f t="shared" si="11"/>
        <v>111</v>
      </c>
      <c r="R46" s="1560" t="s">
        <v>8</v>
      </c>
      <c r="S46" s="1561">
        <f t="shared" si="12"/>
        <v>100</v>
      </c>
      <c r="T46" s="1560" t="s">
        <v>8</v>
      </c>
      <c r="U46" s="1561">
        <f t="shared" si="13"/>
        <v>100</v>
      </c>
      <c r="V46" s="1560" t="s">
        <v>8</v>
      </c>
      <c r="W46" s="1561">
        <f t="shared" si="14"/>
        <v>100</v>
      </c>
      <c r="X46" s="1554"/>
      <c r="Y46" s="3376"/>
      <c r="Z46" s="1562">
        <f t="shared" si="15"/>
        <v>111</v>
      </c>
      <c r="AA46" s="1563">
        <f t="shared" si="3"/>
        <v>1</v>
      </c>
      <c r="AB46" s="1563">
        <f t="shared" si="4"/>
        <v>1</v>
      </c>
      <c r="AC46" s="1563">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c r="A48" s="607" t="s">
        <v>736</v>
      </c>
      <c r="B48" s="887"/>
      <c r="C48" s="2592" t="s">
        <v>1</v>
      </c>
      <c r="D48" s="2593"/>
      <c r="E48" s="2594"/>
      <c r="F48" s="2595"/>
      <c r="G48" s="2596"/>
      <c r="H48" s="2597"/>
      <c r="I48" s="2594"/>
      <c r="J48" s="2597"/>
      <c r="K48" s="1597"/>
      <c r="L48" s="2130"/>
      <c r="M48" s="2120"/>
      <c r="N48" s="2120"/>
      <c r="O48" s="2120"/>
      <c r="P48" s="3393" t="str">
        <f>A48</f>
        <v>成交单价（元/平方米）</v>
      </c>
      <c r="Q48" s="3371"/>
      <c r="R48" s="3475">
        <f>E48</f>
        <v>0</v>
      </c>
      <c r="S48" s="3475"/>
      <c r="T48" s="3475">
        <f>G48</f>
        <v>0</v>
      </c>
      <c r="U48" s="3475"/>
      <c r="V48" s="3475">
        <f>I48</f>
        <v>0</v>
      </c>
      <c r="W48" s="3475"/>
      <c r="X48" s="1546"/>
      <c r="Y48" s="1568"/>
      <c r="Z48" s="1546"/>
      <c r="AA48" s="1546"/>
      <c r="AB48" s="1546"/>
      <c r="AC48" s="1546"/>
    </row>
    <row r="49" spans="1:29" ht="14.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93" t="str">
        <f>A49</f>
        <v>比较价格（元/平方米）</v>
      </c>
      <c r="Q49" s="3371"/>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4.5" thickBot="1">
      <c r="A50" s="621" t="s">
        <v>2934</v>
      </c>
      <c r="B50" s="622"/>
      <c r="C50" s="2601" t="e">
        <f>R50</f>
        <v>#DIV/0!</v>
      </c>
      <c r="D50" s="2601"/>
      <c r="E50" s="2601"/>
      <c r="F50" s="2601"/>
      <c r="G50" s="2601"/>
      <c r="H50" s="2601"/>
      <c r="I50" s="2601"/>
      <c r="J50" s="2601"/>
      <c r="K50" s="1599"/>
      <c r="L50" s="2130"/>
      <c r="M50" s="2120"/>
      <c r="N50" s="2120"/>
      <c r="O50" s="2120"/>
      <c r="P50" s="3480" t="str">
        <f>A50</f>
        <v>估价对象XX用房的比较价格（楼面单价，元/平方米）</v>
      </c>
      <c r="Q50" s="3393"/>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4.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4.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4.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4.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4.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8.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4.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4.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4.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4.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4.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4.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4.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4.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521</v>
      </c>
      <c r="B4" s="513"/>
      <c r="C4" s="3377" t="s">
        <v>522</v>
      </c>
      <c r="D4" s="3378"/>
      <c r="E4" s="3401" t="s">
        <v>523</v>
      </c>
      <c r="F4" s="3402"/>
      <c r="G4" s="3377" t="s">
        <v>524</v>
      </c>
      <c r="H4" s="3378"/>
      <c r="I4" s="3377" t="s">
        <v>525</v>
      </c>
      <c r="J4" s="3378"/>
      <c r="K4" s="514" t="s">
        <v>526</v>
      </c>
      <c r="L4" s="2119"/>
      <c r="M4" s="2120"/>
      <c r="N4" s="2120"/>
      <c r="O4" s="2120"/>
      <c r="P4" s="3379" t="s">
        <v>527</v>
      </c>
      <c r="Q4" s="3380"/>
      <c r="R4" s="3365" t="s">
        <v>523</v>
      </c>
      <c r="S4" s="3366"/>
      <c r="T4" s="3365" t="s">
        <v>524</v>
      </c>
      <c r="U4" s="3366"/>
      <c r="V4" s="3385" t="s">
        <v>525</v>
      </c>
      <c r="W4" s="3385"/>
      <c r="X4" s="1554"/>
      <c r="Y4" s="3365" t="s">
        <v>527</v>
      </c>
      <c r="Z4" s="3366"/>
      <c r="AA4" s="3360" t="s">
        <v>523</v>
      </c>
      <c r="AB4" s="3361" t="s">
        <v>524</v>
      </c>
      <c r="AC4" s="3360" t="s">
        <v>525</v>
      </c>
    </row>
    <row r="5" spans="1:29">
      <c r="A5" s="515"/>
      <c r="B5" s="516"/>
      <c r="C5" s="3388" t="s">
        <v>2928</v>
      </c>
      <c r="D5" s="3389"/>
      <c r="E5" s="3403" t="s">
        <v>2929</v>
      </c>
      <c r="F5" s="3404"/>
      <c r="G5" s="3388" t="s">
        <v>2930</v>
      </c>
      <c r="H5" s="3389"/>
      <c r="I5" s="3388" t="s">
        <v>2931</v>
      </c>
      <c r="J5" s="3389"/>
      <c r="K5" s="514"/>
      <c r="L5" s="2119"/>
      <c r="M5" s="2120"/>
      <c r="N5" s="2120"/>
      <c r="O5" s="2120"/>
      <c r="P5" s="3381"/>
      <c r="Q5" s="3382"/>
      <c r="R5" s="3367"/>
      <c r="S5" s="3368"/>
      <c r="T5" s="3367"/>
      <c r="U5" s="3368"/>
      <c r="V5" s="3385"/>
      <c r="W5" s="3385"/>
      <c r="X5" s="1554"/>
      <c r="Y5" s="3367"/>
      <c r="Z5" s="3368"/>
      <c r="AA5" s="3361"/>
      <c r="AB5" s="3361"/>
      <c r="AC5" s="3361"/>
    </row>
    <row r="6" spans="1:29" ht="15" thickBot="1">
      <c r="A6" s="517"/>
      <c r="B6" s="518"/>
      <c r="C6" s="3386" t="s">
        <v>2932</v>
      </c>
      <c r="D6" s="3387"/>
      <c r="E6" s="3405" t="s">
        <v>2932</v>
      </c>
      <c r="F6" s="3406"/>
      <c r="G6" s="3386" t="s">
        <v>2932</v>
      </c>
      <c r="H6" s="3387"/>
      <c r="I6" s="3386" t="s">
        <v>2932</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4.5" thickBot="1">
      <c r="A7" s="2868"/>
      <c r="B7" s="2875"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3" t="s">
        <v>530</v>
      </c>
      <c r="Q7" s="3372"/>
      <c r="R7" s="1555" t="s">
        <v>8</v>
      </c>
      <c r="S7" s="1556">
        <f t="shared" ref="S7:S15" si="0">F7</f>
        <v>0</v>
      </c>
      <c r="T7" s="1555" t="s">
        <v>8</v>
      </c>
      <c r="U7" s="1556">
        <f t="shared" ref="U7:U15" si="1">H7</f>
        <v>0</v>
      </c>
      <c r="V7" s="1555" t="s">
        <v>8</v>
      </c>
      <c r="W7" s="1556">
        <f t="shared" ref="W7:W15" si="2">J7</f>
        <v>0</v>
      </c>
      <c r="X7" s="1557"/>
      <c r="Y7" s="3363" t="s">
        <v>530</v>
      </c>
      <c r="Z7" s="3364"/>
      <c r="AA7" s="1558" t="e">
        <f>D7/F7</f>
        <v>#DIV/0!</v>
      </c>
      <c r="AB7" s="1558" t="e">
        <f>D7/H7</f>
        <v>#DIV/0!</v>
      </c>
      <c r="AC7" s="1558" t="e">
        <f>D7/J7</f>
        <v>#DIV/0!</v>
      </c>
    </row>
    <row r="8" spans="1:29" s="1216" customFormat="1" ht="14.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40" si="3">D8/F8</f>
        <v>#DIV/0!</v>
      </c>
      <c r="AB8" s="1558" t="e">
        <f t="shared" ref="AB8:AB40" si="4">D8/H8</f>
        <v>#DIV/0!</v>
      </c>
      <c r="AC8" s="1558" t="e">
        <f t="shared" ref="AC8:AC40" si="5">D8/J8</f>
        <v>#DIV/0!</v>
      </c>
    </row>
    <row r="9" spans="1:29" s="1216" customFormat="1">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1" t="s">
        <v>535</v>
      </c>
      <c r="Q9" s="1147" t="str">
        <f t="shared" ref="Q9:Q15" si="6">B9</f>
        <v>用途</v>
      </c>
      <c r="R9" s="1555" t="s">
        <v>8</v>
      </c>
      <c r="S9" s="1556">
        <f t="shared" si="0"/>
        <v>100</v>
      </c>
      <c r="T9" s="1555" t="s">
        <v>8</v>
      </c>
      <c r="U9" s="1556">
        <f t="shared" si="1"/>
        <v>100</v>
      </c>
      <c r="V9" s="1555" t="s">
        <v>8</v>
      </c>
      <c r="W9" s="1556">
        <f t="shared" si="2"/>
        <v>100</v>
      </c>
      <c r="X9" s="1557"/>
      <c r="Y9" s="3328"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1"/>
      <c r="Q11" s="1147" t="str">
        <f t="shared" si="6"/>
        <v>容积率</v>
      </c>
      <c r="R11" s="1555" t="s">
        <v>8</v>
      </c>
      <c r="S11" s="1556" t="e">
        <f t="shared" si="0"/>
        <v>#N/A</v>
      </c>
      <c r="T11" s="1555" t="s">
        <v>8</v>
      </c>
      <c r="U11" s="1556" t="e">
        <f t="shared" si="1"/>
        <v>#N/A</v>
      </c>
      <c r="V11" s="1555" t="s">
        <v>8</v>
      </c>
      <c r="W11" s="1556" t="e">
        <f t="shared" si="2"/>
        <v>#N/A</v>
      </c>
      <c r="X11" s="1557"/>
      <c r="Y11" s="3328"/>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5.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1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1"/>
      <c r="Q14" s="1147">
        <f t="shared" si="6"/>
        <v>111</v>
      </c>
      <c r="R14" s="1555" t="s">
        <v>8</v>
      </c>
      <c r="S14" s="1556">
        <f t="shared" si="0"/>
        <v>100</v>
      </c>
      <c r="T14" s="1555" t="s">
        <v>8</v>
      </c>
      <c r="U14" s="1556">
        <f t="shared" si="1"/>
        <v>100</v>
      </c>
      <c r="V14" s="1555" t="s">
        <v>8</v>
      </c>
      <c r="W14" s="1556">
        <f t="shared" si="2"/>
        <v>100</v>
      </c>
      <c r="X14" s="1557"/>
      <c r="Y14" s="3328"/>
      <c r="Z14" s="1146">
        <f t="shared" si="7"/>
        <v>111</v>
      </c>
      <c r="AA14" s="1558">
        <f t="shared" si="3"/>
        <v>1</v>
      </c>
      <c r="AB14" s="1558">
        <f t="shared" si="4"/>
        <v>1</v>
      </c>
      <c r="AC14" s="1558">
        <f t="shared" si="5"/>
        <v>1</v>
      </c>
    </row>
    <row r="15" spans="1:29" ht="70">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3" t="s">
        <v>540</v>
      </c>
      <c r="Q15" s="1559" t="str">
        <f t="shared" si="6"/>
        <v>产业集聚程度</v>
      </c>
      <c r="R15" s="1560" t="s">
        <v>8</v>
      </c>
      <c r="S15" s="1561">
        <f t="shared" si="0"/>
        <v>100</v>
      </c>
      <c r="T15" s="1560" t="s">
        <v>8</v>
      </c>
      <c r="U15" s="1561">
        <f t="shared" si="1"/>
        <v>100</v>
      </c>
      <c r="V15" s="1560" t="s">
        <v>8</v>
      </c>
      <c r="W15" s="1561">
        <f t="shared" si="2"/>
        <v>100</v>
      </c>
      <c r="X15" s="1554"/>
      <c r="Y15" s="3373" t="s">
        <v>540</v>
      </c>
      <c r="Z15" s="1562" t="str">
        <f t="shared" si="7"/>
        <v>产业集聚程度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74"/>
      <c r="Q16" s="1559"/>
      <c r="R16" s="1560"/>
      <c r="S16" s="1561"/>
      <c r="T16" s="1560"/>
      <c r="U16" s="1561"/>
      <c r="V16" s="1560"/>
      <c r="W16" s="1561"/>
      <c r="X16" s="1554"/>
      <c r="Y16" s="3374"/>
      <c r="Z16" s="1562"/>
      <c r="AA16" s="1563">
        <v>1</v>
      </c>
      <c r="AB16" s="1563">
        <v>1</v>
      </c>
      <c r="AC16" s="1563">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4"/>
      <c r="Q17" s="1559" t="str">
        <f>B17</f>
        <v>交通便捷度</v>
      </c>
      <c r="R17" s="1560" t="s">
        <v>8</v>
      </c>
      <c r="S17" s="1561">
        <f>F17</f>
        <v>100</v>
      </c>
      <c r="T17" s="1560" t="s">
        <v>8</v>
      </c>
      <c r="U17" s="1561">
        <f>H17</f>
        <v>100</v>
      </c>
      <c r="V17" s="1560" t="s">
        <v>8</v>
      </c>
      <c r="W17" s="1561">
        <f>J17</f>
        <v>100</v>
      </c>
      <c r="X17" s="1554"/>
      <c r="Y17" s="3374"/>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74"/>
      <c r="Q18" s="1559"/>
      <c r="R18" s="1560"/>
      <c r="S18" s="1561"/>
      <c r="T18" s="1560"/>
      <c r="U18" s="1561"/>
      <c r="V18" s="1560"/>
      <c r="W18" s="1561"/>
      <c r="X18" s="1554"/>
      <c r="Y18" s="3374"/>
      <c r="Z18" s="1562"/>
      <c r="AA18" s="1563">
        <v>1</v>
      </c>
      <c r="AB18" s="1563">
        <v>1</v>
      </c>
      <c r="AC18" s="1563">
        <v>1</v>
      </c>
    </row>
    <row r="19" spans="1:29" ht="42">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4"/>
      <c r="Q19" s="1559" t="str">
        <f>B19</f>
        <v>公共配套设施</v>
      </c>
      <c r="R19" s="1560" t="s">
        <v>8</v>
      </c>
      <c r="S19" s="1561">
        <f>F19</f>
        <v>100</v>
      </c>
      <c r="T19" s="1560" t="s">
        <v>8</v>
      </c>
      <c r="U19" s="1561">
        <f>H19</f>
        <v>100</v>
      </c>
      <c r="V19" s="1560" t="s">
        <v>8</v>
      </c>
      <c r="W19" s="1561">
        <f>J19</f>
        <v>100</v>
      </c>
      <c r="X19" s="1554"/>
      <c r="Y19" s="3374"/>
      <c r="Z19" s="1562" t="str">
        <f>Q19</f>
        <v>公共配套设施</v>
      </c>
      <c r="AA19" s="1563">
        <f t="shared" si="3"/>
        <v>1</v>
      </c>
      <c r="AB19" s="1563">
        <f t="shared" si="4"/>
        <v>1</v>
      </c>
      <c r="AC19" s="1563">
        <f t="shared" si="5"/>
        <v>1</v>
      </c>
    </row>
    <row r="20" spans="1:29" ht="15.5">
      <c r="A20" s="532"/>
      <c r="B20" s="566"/>
      <c r="C20" s="576"/>
      <c r="D20" s="555"/>
      <c r="E20" s="556"/>
      <c r="F20" s="557"/>
      <c r="G20" s="558"/>
      <c r="H20" s="555"/>
      <c r="I20" s="556"/>
      <c r="J20" s="555"/>
      <c r="K20" s="899"/>
      <c r="L20" s="2128"/>
      <c r="M20" s="2120"/>
      <c r="N20" s="2120"/>
      <c r="O20" s="2127"/>
      <c r="P20" s="3374"/>
      <c r="Q20" s="1559"/>
      <c r="R20" s="1560"/>
      <c r="S20" s="1561"/>
      <c r="T20" s="1560"/>
      <c r="U20" s="1561"/>
      <c r="V20" s="1560"/>
      <c r="W20" s="1561"/>
      <c r="X20" s="1554"/>
      <c r="Y20" s="3374"/>
      <c r="Z20" s="1562"/>
      <c r="AA20" s="1563">
        <v>1</v>
      </c>
      <c r="AB20" s="1563">
        <v>1</v>
      </c>
      <c r="AC20" s="1563">
        <v>1</v>
      </c>
    </row>
    <row r="21" spans="1:29" ht="42">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4"/>
      <c r="Q21" s="2544" t="str">
        <f>B21</f>
        <v>基础设施水平</v>
      </c>
      <c r="R21" s="1560" t="s">
        <v>8</v>
      </c>
      <c r="S21" s="1561">
        <f>F21</f>
        <v>100</v>
      </c>
      <c r="T21" s="1560" t="s">
        <v>8</v>
      </c>
      <c r="U21" s="1561">
        <f>H21</f>
        <v>100</v>
      </c>
      <c r="V21" s="1560" t="s">
        <v>8</v>
      </c>
      <c r="W21" s="1561">
        <f>J21</f>
        <v>100</v>
      </c>
      <c r="X21" s="2546"/>
      <c r="Y21" s="3374"/>
      <c r="Z21" s="2545" t="str">
        <f>Q21</f>
        <v>基础设施水平</v>
      </c>
      <c r="AA21" s="1563">
        <f t="shared" ref="AA21" si="8">D21/F21</f>
        <v>1</v>
      </c>
      <c r="AB21" s="1563">
        <f t="shared" ref="AB21" si="9">D21/H21</f>
        <v>1</v>
      </c>
      <c r="AC21" s="1563">
        <f t="shared" ref="AC21" si="10">D21/J21</f>
        <v>1</v>
      </c>
    </row>
    <row r="22" spans="1:29" ht="15.5">
      <c r="A22" s="532"/>
      <c r="B22" s="578"/>
      <c r="C22" s="873"/>
      <c r="D22" s="555"/>
      <c r="E22" s="576"/>
      <c r="F22" s="557"/>
      <c r="G22" s="576"/>
      <c r="H22" s="555"/>
      <c r="I22" s="576"/>
      <c r="J22" s="555"/>
      <c r="K22" s="2567"/>
      <c r="L22" s="2128"/>
      <c r="M22" s="2120"/>
      <c r="N22" s="2120"/>
      <c r="O22" s="2127"/>
      <c r="P22" s="3374"/>
      <c r="Q22" s="2544"/>
      <c r="R22" s="1560"/>
      <c r="S22" s="1561"/>
      <c r="T22" s="1560"/>
      <c r="U22" s="1561"/>
      <c r="V22" s="1560"/>
      <c r="W22" s="1561"/>
      <c r="X22" s="2546"/>
      <c r="Y22" s="3374"/>
      <c r="Z22" s="2545"/>
      <c r="AA22" s="1563">
        <v>1</v>
      </c>
      <c r="AB22" s="1563">
        <v>1</v>
      </c>
      <c r="AC22" s="1563">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4"/>
      <c r="Q23" s="1559" t="str">
        <f>B23</f>
        <v>环境质量</v>
      </c>
      <c r="R23" s="1560" t="s">
        <v>8</v>
      </c>
      <c r="S23" s="1561">
        <f>F23</f>
        <v>100</v>
      </c>
      <c r="T23" s="1560" t="s">
        <v>8</v>
      </c>
      <c r="U23" s="1561">
        <f>H23</f>
        <v>100</v>
      </c>
      <c r="V23" s="1560" t="s">
        <v>8</v>
      </c>
      <c r="W23" s="1561">
        <f>J23</f>
        <v>100</v>
      </c>
      <c r="X23" s="1554"/>
      <c r="Y23" s="3374"/>
      <c r="Z23" s="1562" t="str">
        <f>Q23</f>
        <v>环境质量</v>
      </c>
      <c r="AA23" s="1563">
        <f t="shared" si="3"/>
        <v>1</v>
      </c>
      <c r="AB23" s="1563">
        <f t="shared" si="4"/>
        <v>1</v>
      </c>
      <c r="AC23" s="1563">
        <f t="shared" si="5"/>
        <v>1</v>
      </c>
    </row>
    <row r="24" spans="1:29" ht="15.5">
      <c r="A24" s="532"/>
      <c r="B24" s="922"/>
      <c r="C24" s="576"/>
      <c r="D24" s="555"/>
      <c r="E24" s="556"/>
      <c r="F24" s="557"/>
      <c r="G24" s="558"/>
      <c r="H24" s="555"/>
      <c r="I24" s="556"/>
      <c r="J24" s="555"/>
      <c r="K24" s="899"/>
      <c r="L24" s="2128"/>
      <c r="M24" s="2120"/>
      <c r="N24" s="2120"/>
      <c r="O24" s="2127"/>
      <c r="P24" s="3374"/>
      <c r="Q24" s="1559"/>
      <c r="R24" s="1560"/>
      <c r="S24" s="1561"/>
      <c r="T24" s="1560"/>
      <c r="U24" s="1561"/>
      <c r="V24" s="1560"/>
      <c r="W24" s="1561"/>
      <c r="X24" s="1554"/>
      <c r="Y24" s="3374"/>
      <c r="Z24" s="1562"/>
      <c r="AA24" s="1563">
        <v>1</v>
      </c>
      <c r="AB24" s="1563">
        <v>1</v>
      </c>
      <c r="AC24" s="1563">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4"/>
      <c r="Q25" s="1559">
        <f>B25</f>
        <v>111</v>
      </c>
      <c r="R25" s="1560" t="s">
        <v>8</v>
      </c>
      <c r="S25" s="1561">
        <f>F25</f>
        <v>100</v>
      </c>
      <c r="T25" s="1560" t="s">
        <v>8</v>
      </c>
      <c r="U25" s="1561">
        <f>H25</f>
        <v>100</v>
      </c>
      <c r="V25" s="1560" t="s">
        <v>8</v>
      </c>
      <c r="W25" s="1561">
        <f>J25</f>
        <v>100</v>
      </c>
      <c r="X25" s="1554"/>
      <c r="Y25" s="3374"/>
      <c r="Z25" s="1562">
        <f>Q25</f>
        <v>111</v>
      </c>
      <c r="AA25" s="1563">
        <f t="shared" si="3"/>
        <v>1</v>
      </c>
      <c r="AB25" s="1563">
        <f t="shared" si="4"/>
        <v>1</v>
      </c>
      <c r="AC25" s="1563">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4"/>
      <c r="Q26" s="1559">
        <f t="shared" ref="Q26:Q40" si="11">B26</f>
        <v>111</v>
      </c>
      <c r="R26" s="1560" t="s">
        <v>8</v>
      </c>
      <c r="S26" s="1561">
        <f>F26</f>
        <v>100</v>
      </c>
      <c r="T26" s="1560" t="s">
        <v>8</v>
      </c>
      <c r="U26" s="1561">
        <f>H26</f>
        <v>100</v>
      </c>
      <c r="V26" s="1560" t="s">
        <v>8</v>
      </c>
      <c r="W26" s="1561">
        <f>J26</f>
        <v>100</v>
      </c>
      <c r="X26" s="1554"/>
      <c r="Y26" s="3374"/>
      <c r="Z26" s="1562">
        <f>Q26</f>
        <v>111</v>
      </c>
      <c r="AA26" s="1563">
        <f t="shared" si="3"/>
        <v>1</v>
      </c>
      <c r="AB26" s="1563">
        <f t="shared" si="4"/>
        <v>1</v>
      </c>
      <c r="AC26" s="1563">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4"/>
      <c r="Q27" s="1147">
        <f t="shared" si="11"/>
        <v>111</v>
      </c>
      <c r="R27" s="1555" t="s">
        <v>8</v>
      </c>
      <c r="S27" s="1556">
        <f>F27</f>
        <v>100</v>
      </c>
      <c r="T27" s="1555" t="s">
        <v>8</v>
      </c>
      <c r="U27" s="1556">
        <f>H27</f>
        <v>100</v>
      </c>
      <c r="V27" s="1555" t="s">
        <v>8</v>
      </c>
      <c r="W27" s="1556">
        <f>J27</f>
        <v>100</v>
      </c>
      <c r="X27" s="1557"/>
      <c r="Y27" s="3374"/>
      <c r="Z27" s="1146">
        <f>Q27</f>
        <v>111</v>
      </c>
      <c r="AA27" s="1563">
        <f>D27/F27</f>
        <v>1</v>
      </c>
      <c r="AB27" s="1563">
        <f>D27/H27</f>
        <v>1</v>
      </c>
      <c r="AC27" s="1563">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4"/>
      <c r="Q28" s="1559">
        <f t="shared" si="11"/>
        <v>111</v>
      </c>
      <c r="R28" s="1560" t="s">
        <v>8</v>
      </c>
      <c r="S28" s="1561">
        <f t="shared" ref="S28:S40" si="12">F28</f>
        <v>100</v>
      </c>
      <c r="T28" s="1560" t="s">
        <v>8</v>
      </c>
      <c r="U28" s="1561">
        <f t="shared" ref="U28:U40" si="13">H28</f>
        <v>100</v>
      </c>
      <c r="V28" s="1560" t="s">
        <v>8</v>
      </c>
      <c r="W28" s="1561">
        <f t="shared" ref="W28:W40" si="14">J28</f>
        <v>100</v>
      </c>
      <c r="X28" s="1554"/>
      <c r="Y28" s="3374"/>
      <c r="Z28" s="1562">
        <f t="shared" ref="Z28:Z40" si="15">Q28</f>
        <v>111</v>
      </c>
      <c r="AA28" s="1563">
        <f t="shared" si="3"/>
        <v>1</v>
      </c>
      <c r="AB28" s="1563">
        <f t="shared" si="4"/>
        <v>1</v>
      </c>
      <c r="AC28" s="1563">
        <f t="shared" si="5"/>
        <v>1</v>
      </c>
    </row>
    <row r="29" spans="1:29" ht="15.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5" t="s">
        <v>550</v>
      </c>
      <c r="Q29" s="1559" t="str">
        <f t="shared" si="11"/>
        <v>建筑类型</v>
      </c>
      <c r="R29" s="1560" t="s">
        <v>8</v>
      </c>
      <c r="S29" s="1561">
        <f t="shared" si="12"/>
        <v>100</v>
      </c>
      <c r="T29" s="1560" t="s">
        <v>8</v>
      </c>
      <c r="U29" s="1561">
        <f t="shared" si="13"/>
        <v>100</v>
      </c>
      <c r="V29" s="1560" t="s">
        <v>8</v>
      </c>
      <c r="W29" s="1561">
        <f t="shared" si="14"/>
        <v>100</v>
      </c>
      <c r="X29" s="1554"/>
      <c r="Y29" s="3376" t="s">
        <v>550</v>
      </c>
      <c r="Z29" s="1562" t="str">
        <f t="shared" si="15"/>
        <v>建筑类型</v>
      </c>
      <c r="AA29" s="1563">
        <f t="shared" si="3"/>
        <v>1</v>
      </c>
      <c r="AB29" s="1563">
        <f t="shared" si="4"/>
        <v>1</v>
      </c>
      <c r="AC29" s="1563">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6"/>
      <c r="Q30" s="1591" t="str">
        <f t="shared" si="11"/>
        <v>项目建筑规模</v>
      </c>
      <c r="R30" s="1564" t="s">
        <v>8</v>
      </c>
      <c r="S30" s="1565" t="e">
        <f t="shared" si="12"/>
        <v>#N/A</v>
      </c>
      <c r="T30" s="1564" t="s">
        <v>8</v>
      </c>
      <c r="U30" s="1565" t="e">
        <f t="shared" si="13"/>
        <v>#N/A</v>
      </c>
      <c r="V30" s="1564" t="s">
        <v>8</v>
      </c>
      <c r="W30" s="1565" t="e">
        <f t="shared" si="14"/>
        <v>#N/A</v>
      </c>
      <c r="X30" s="1566"/>
      <c r="Y30" s="3376"/>
      <c r="Z30" s="1567" t="str">
        <f t="shared" si="15"/>
        <v>项目建筑规模</v>
      </c>
      <c r="AA30" s="1563" t="e">
        <f t="shared" si="3"/>
        <v>#N/A</v>
      </c>
      <c r="AB30" s="1563" t="e">
        <f t="shared" si="4"/>
        <v>#N/A</v>
      </c>
      <c r="AC30" s="1563"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6"/>
      <c r="Q31" s="1559" t="str">
        <f t="shared" si="11"/>
        <v>建筑结构</v>
      </c>
      <c r="R31" s="1560" t="s">
        <v>8</v>
      </c>
      <c r="S31" s="1561">
        <f t="shared" si="12"/>
        <v>100</v>
      </c>
      <c r="T31" s="1560" t="s">
        <v>8</v>
      </c>
      <c r="U31" s="1561">
        <f t="shared" si="13"/>
        <v>100</v>
      </c>
      <c r="V31" s="1560" t="s">
        <v>8</v>
      </c>
      <c r="W31" s="1561">
        <f t="shared" si="14"/>
        <v>100</v>
      </c>
      <c r="X31" s="1554"/>
      <c r="Y31" s="3376"/>
      <c r="Z31" s="1562" t="str">
        <f t="shared" si="15"/>
        <v>建筑结构</v>
      </c>
      <c r="AA31" s="1563">
        <f t="shared" si="3"/>
        <v>1</v>
      </c>
      <c r="AB31" s="1563">
        <f t="shared" si="4"/>
        <v>1</v>
      </c>
      <c r="AC31" s="1563">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6"/>
      <c r="Q32" s="1559" t="str">
        <f t="shared" si="11"/>
        <v>公共部分装修</v>
      </c>
      <c r="R32" s="1560" t="s">
        <v>8</v>
      </c>
      <c r="S32" s="1561">
        <f t="shared" si="12"/>
        <v>100</v>
      </c>
      <c r="T32" s="1560" t="s">
        <v>8</v>
      </c>
      <c r="U32" s="1561">
        <f t="shared" si="13"/>
        <v>100</v>
      </c>
      <c r="V32" s="1560" t="s">
        <v>8</v>
      </c>
      <c r="W32" s="1561">
        <f t="shared" si="14"/>
        <v>100</v>
      </c>
      <c r="X32" s="1554"/>
      <c r="Y32" s="3376"/>
      <c r="Z32" s="1562" t="str">
        <f t="shared" si="15"/>
        <v>公共部分装修</v>
      </c>
      <c r="AA32" s="1563">
        <f t="shared" si="3"/>
        <v>1</v>
      </c>
      <c r="AB32" s="1563">
        <f t="shared" si="4"/>
        <v>1</v>
      </c>
      <c r="AC32" s="1563">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6"/>
      <c r="Q33" s="1559" t="str">
        <f t="shared" si="11"/>
        <v>成新度</v>
      </c>
      <c r="R33" s="1560" t="s">
        <v>8</v>
      </c>
      <c r="S33" s="1561" t="e">
        <f t="shared" si="12"/>
        <v>#N/A</v>
      </c>
      <c r="T33" s="1560" t="s">
        <v>8</v>
      </c>
      <c r="U33" s="1561" t="e">
        <f t="shared" si="13"/>
        <v>#N/A</v>
      </c>
      <c r="V33" s="1560" t="s">
        <v>8</v>
      </c>
      <c r="W33" s="1561" t="e">
        <f t="shared" si="14"/>
        <v>#N/A</v>
      </c>
      <c r="X33" s="1554"/>
      <c r="Y33" s="3376"/>
      <c r="Z33" s="1562" t="str">
        <f t="shared" si="15"/>
        <v>成新度</v>
      </c>
      <c r="AA33" s="1563" t="e">
        <f t="shared" si="3"/>
        <v>#N/A</v>
      </c>
      <c r="AB33" s="1563" t="e">
        <f t="shared" si="4"/>
        <v>#N/A</v>
      </c>
      <c r="AC33" s="1563"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6"/>
      <c r="Q34" s="1147" t="str">
        <f t="shared" si="11"/>
        <v>物业管理</v>
      </c>
      <c r="R34" s="1555" t="s">
        <v>8</v>
      </c>
      <c r="S34" s="1556">
        <f t="shared" si="12"/>
        <v>100</v>
      </c>
      <c r="T34" s="1555" t="s">
        <v>8</v>
      </c>
      <c r="U34" s="1556">
        <f t="shared" si="13"/>
        <v>100</v>
      </c>
      <c r="V34" s="1555" t="s">
        <v>8</v>
      </c>
      <c r="W34" s="1556">
        <f t="shared" si="14"/>
        <v>100</v>
      </c>
      <c r="X34" s="1557"/>
      <c r="Y34" s="3376"/>
      <c r="Z34" s="1146" t="str">
        <f t="shared" si="15"/>
        <v>物业管理</v>
      </c>
      <c r="AA34" s="1558">
        <f t="shared" si="3"/>
        <v>1</v>
      </c>
      <c r="AB34" s="1558">
        <f t="shared" si="4"/>
        <v>1</v>
      </c>
      <c r="AC34" s="1558">
        <f t="shared" si="5"/>
        <v>1</v>
      </c>
    </row>
    <row r="35" spans="1:29" ht="15.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6" t="s">
        <v>550</v>
      </c>
      <c r="Q35" s="1559" t="str">
        <f t="shared" si="11"/>
        <v>市政基础设施</v>
      </c>
      <c r="R35" s="1560" t="s">
        <v>8</v>
      </c>
      <c r="S35" s="1561">
        <f t="shared" si="12"/>
        <v>100</v>
      </c>
      <c r="T35" s="1560" t="s">
        <v>8</v>
      </c>
      <c r="U35" s="1561">
        <f t="shared" si="13"/>
        <v>100</v>
      </c>
      <c r="V35" s="1560" t="s">
        <v>8</v>
      </c>
      <c r="W35" s="1561">
        <f t="shared" si="14"/>
        <v>100</v>
      </c>
      <c r="X35" s="1554"/>
      <c r="Y35" s="3376" t="s">
        <v>550</v>
      </c>
      <c r="Z35" s="1562" t="str">
        <f t="shared" si="15"/>
        <v>市政基础设施</v>
      </c>
      <c r="AA35" s="1563">
        <f t="shared" si="3"/>
        <v>1</v>
      </c>
      <c r="AB35" s="1563">
        <f t="shared" si="4"/>
        <v>1</v>
      </c>
      <c r="AC35" s="1563">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6"/>
      <c r="Q36" s="1559" t="str">
        <f t="shared" si="11"/>
        <v>内部装修</v>
      </c>
      <c r="R36" s="1560" t="s">
        <v>8</v>
      </c>
      <c r="S36" s="1561">
        <f t="shared" si="12"/>
        <v>100</v>
      </c>
      <c r="T36" s="1560" t="s">
        <v>8</v>
      </c>
      <c r="U36" s="1561">
        <f t="shared" si="13"/>
        <v>100</v>
      </c>
      <c r="V36" s="1560" t="s">
        <v>8</v>
      </c>
      <c r="W36" s="1561">
        <f t="shared" si="14"/>
        <v>100</v>
      </c>
      <c r="X36" s="1554"/>
      <c r="Y36" s="3376"/>
      <c r="Z36" s="1562" t="str">
        <f t="shared" si="15"/>
        <v>内部装修</v>
      </c>
      <c r="AA36" s="1563">
        <f t="shared" si="3"/>
        <v>1</v>
      </c>
      <c r="AB36" s="1563">
        <f t="shared" si="4"/>
        <v>1</v>
      </c>
      <c r="AC36" s="1563">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6"/>
      <c r="Q37" s="1559" t="str">
        <f t="shared" si="11"/>
        <v>内部装修状况</v>
      </c>
      <c r="R37" s="1560" t="s">
        <v>8</v>
      </c>
      <c r="S37" s="1561">
        <f t="shared" si="12"/>
        <v>100</v>
      </c>
      <c r="T37" s="1560" t="s">
        <v>8</v>
      </c>
      <c r="U37" s="1561">
        <f t="shared" si="13"/>
        <v>100</v>
      </c>
      <c r="V37" s="1560" t="s">
        <v>8</v>
      </c>
      <c r="W37" s="1561">
        <f t="shared" si="14"/>
        <v>100</v>
      </c>
      <c r="X37" s="1554"/>
      <c r="Y37" s="3376"/>
      <c r="Z37" s="1562" t="str">
        <f t="shared" si="15"/>
        <v>内部装修状况</v>
      </c>
      <c r="AA37" s="1563">
        <f t="shared" si="3"/>
        <v>1</v>
      </c>
      <c r="AB37" s="1563">
        <f t="shared" si="4"/>
        <v>1</v>
      </c>
      <c r="AC37" s="1563">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6"/>
      <c r="Q38" s="1591">
        <f t="shared" si="11"/>
        <v>111</v>
      </c>
      <c r="R38" s="1564" t="s">
        <v>8</v>
      </c>
      <c r="S38" s="1565">
        <f t="shared" si="12"/>
        <v>100</v>
      </c>
      <c r="T38" s="1564" t="s">
        <v>8</v>
      </c>
      <c r="U38" s="1565">
        <f t="shared" si="13"/>
        <v>100</v>
      </c>
      <c r="V38" s="1564" t="s">
        <v>8</v>
      </c>
      <c r="W38" s="1565">
        <f t="shared" si="14"/>
        <v>100</v>
      </c>
      <c r="X38" s="1566"/>
      <c r="Y38" s="3376"/>
      <c r="Z38" s="1567">
        <f t="shared" si="15"/>
        <v>111</v>
      </c>
      <c r="AA38" s="1563">
        <f t="shared" si="3"/>
        <v>1</v>
      </c>
      <c r="AB38" s="1563">
        <f t="shared" si="4"/>
        <v>1</v>
      </c>
      <c r="AC38" s="1563">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6"/>
      <c r="Q39" s="1559">
        <f t="shared" si="11"/>
        <v>111</v>
      </c>
      <c r="R39" s="1560" t="s">
        <v>8</v>
      </c>
      <c r="S39" s="1561">
        <f t="shared" si="12"/>
        <v>100</v>
      </c>
      <c r="T39" s="1560" t="s">
        <v>8</v>
      </c>
      <c r="U39" s="1561">
        <f t="shared" si="13"/>
        <v>100</v>
      </c>
      <c r="V39" s="1560" t="s">
        <v>8</v>
      </c>
      <c r="W39" s="1561">
        <f t="shared" si="14"/>
        <v>100</v>
      </c>
      <c r="X39" s="1554"/>
      <c r="Y39" s="3376"/>
      <c r="Z39" s="1562">
        <f t="shared" si="15"/>
        <v>111</v>
      </c>
      <c r="AA39" s="1563">
        <f t="shared" si="3"/>
        <v>1</v>
      </c>
      <c r="AB39" s="1563">
        <f t="shared" si="4"/>
        <v>1</v>
      </c>
      <c r="AC39" s="1563">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c r="A41" s="607" t="s">
        <v>736</v>
      </c>
      <c r="B41" s="887"/>
      <c r="C41" s="2592" t="s">
        <v>1</v>
      </c>
      <c r="D41" s="2593"/>
      <c r="E41" s="2594"/>
      <c r="F41" s="2595"/>
      <c r="G41" s="2596"/>
      <c r="H41" s="2597"/>
      <c r="I41" s="2594"/>
      <c r="J41" s="2597"/>
      <c r="K41" s="1597"/>
      <c r="L41" s="2130"/>
      <c r="M41" s="2131"/>
      <c r="N41" s="2120"/>
      <c r="O41" s="2131"/>
      <c r="P41" s="3371" t="str">
        <f>A41</f>
        <v>成交单价（元/平方米）</v>
      </c>
      <c r="Q41" s="3371"/>
      <c r="R41" s="3475">
        <f>E41</f>
        <v>0</v>
      </c>
      <c r="S41" s="3475"/>
      <c r="T41" s="3475">
        <f>G41</f>
        <v>0</v>
      </c>
      <c r="U41" s="3475"/>
      <c r="V41" s="3475">
        <f>I41</f>
        <v>0</v>
      </c>
      <c r="W41" s="3475"/>
      <c r="X41" s="1546"/>
      <c r="Y41" s="1568"/>
      <c r="Z41" s="1546"/>
      <c r="AA41" s="1546"/>
      <c r="AB41" s="1546"/>
      <c r="AC41" s="1546"/>
    </row>
    <row r="42" spans="1:29" ht="14.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1" t="str">
        <f>A42</f>
        <v>比较价格（元/平方米）</v>
      </c>
      <c r="Q42" s="3371"/>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4.5" thickBot="1">
      <c r="A43" s="621" t="s">
        <v>2934</v>
      </c>
      <c r="B43" s="622"/>
      <c r="C43" s="2601" t="e">
        <f>R43</f>
        <v>#DIV/0!</v>
      </c>
      <c r="D43" s="2601"/>
      <c r="E43" s="2601"/>
      <c r="F43" s="2601"/>
      <c r="G43" s="2601"/>
      <c r="H43" s="2601"/>
      <c r="I43" s="2601"/>
      <c r="J43" s="2601"/>
      <c r="K43" s="1599"/>
      <c r="L43" s="2130"/>
      <c r="M43" s="2131"/>
      <c r="N43" s="2131"/>
      <c r="O43" s="2131"/>
      <c r="P43" s="3392" t="str">
        <f>A43</f>
        <v>估价对象XX用房的比较价格（楼面单价，元/平方米）</v>
      </c>
      <c r="Q43" s="3393"/>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4.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4.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4.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4.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4.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4.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4.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87.5">
      <c r="A7" s="2829" t="s">
        <v>2745</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2069</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8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7" t="s">
        <v>2072</v>
      </c>
    </row>
    <row r="23" spans="1:1" ht="17.5">
      <c r="A23" s="2831" t="s">
        <v>2746</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7" t="s">
        <v>798</v>
      </c>
      <c r="D4" s="3378"/>
      <c r="E4" s="3377" t="s">
        <v>799</v>
      </c>
      <c r="F4" s="3378"/>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c r="A5" s="515"/>
      <c r="B5" s="516"/>
      <c r="C5" s="3388" t="s">
        <v>2928</v>
      </c>
      <c r="D5" s="3389"/>
      <c r="E5" s="3388" t="s">
        <v>2929</v>
      </c>
      <c r="F5" s="3389"/>
      <c r="G5" s="3388" t="s">
        <v>2930</v>
      </c>
      <c r="H5" s="3389"/>
      <c r="I5" s="3388" t="s">
        <v>2931</v>
      </c>
      <c r="J5" s="3389"/>
      <c r="K5" s="514"/>
      <c r="L5" s="2119"/>
      <c r="M5" s="2120"/>
      <c r="N5" s="2120"/>
      <c r="O5" s="2120"/>
      <c r="P5" s="3381"/>
      <c r="Q5" s="3382"/>
      <c r="R5" s="3367"/>
      <c r="S5" s="3368"/>
      <c r="T5" s="3367"/>
      <c r="U5" s="3368"/>
      <c r="V5" s="3385"/>
      <c r="W5" s="3385"/>
      <c r="X5" s="1554"/>
      <c r="Y5" s="3367"/>
      <c r="Z5" s="3368"/>
      <c r="AA5" s="3361"/>
      <c r="AB5" s="3361"/>
      <c r="AC5" s="3361"/>
    </row>
    <row r="6" spans="1:29" ht="15" thickBot="1">
      <c r="A6" s="517"/>
      <c r="B6" s="518"/>
      <c r="C6" s="3386" t="s">
        <v>2932</v>
      </c>
      <c r="D6" s="3387"/>
      <c r="E6" s="3390" t="s">
        <v>2932</v>
      </c>
      <c r="F6" s="3391"/>
      <c r="G6" s="3386" t="s">
        <v>2932</v>
      </c>
      <c r="H6" s="3387"/>
      <c r="I6" s="3386" t="s">
        <v>2932</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4.5" thickBot="1">
      <c r="A7" s="2868"/>
      <c r="B7" s="2875"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4.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6" si="3">D8/F8</f>
        <v>#DIV/0!</v>
      </c>
      <c r="AB8" s="1558" t="e">
        <f t="shared" ref="AB8:AB36" si="4">D8/H8</f>
        <v>#DIV/0!</v>
      </c>
      <c r="AC8" s="1558" t="e">
        <f t="shared" ref="AC8:AC36" si="5">D8/J8</f>
        <v>#DIV/0!</v>
      </c>
    </row>
    <row r="9" spans="1:29" s="1216" customFormat="1">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98">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5">
      <c r="A15" s="515"/>
      <c r="B15" s="924"/>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5">
      <c r="A17" s="515"/>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42">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5">
      <c r="A19" s="515"/>
      <c r="B19" s="578"/>
      <c r="C19" s="873"/>
      <c r="D19" s="559"/>
      <c r="E19" s="576"/>
      <c r="F19" s="557"/>
      <c r="G19" s="576"/>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5">
      <c r="A21" s="515"/>
      <c r="B21" s="566"/>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4"/>
      <c r="Q24" s="1559">
        <f t="shared" ref="Q24:Q36"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6" t="s">
        <v>550</v>
      </c>
      <c r="Z26" s="1562" t="str">
        <f t="shared" ref="Z26:Z36" si="15">Q26</f>
        <v>配套类型</v>
      </c>
      <c r="AA26" s="1563">
        <f t="shared" si="3"/>
        <v>1</v>
      </c>
      <c r="AB26" s="1563">
        <f t="shared" si="4"/>
        <v>1</v>
      </c>
      <c r="AC26" s="1563">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6"/>
      <c r="Q27" s="1591" t="str">
        <f t="shared" si="11"/>
        <v>项目停车位配比</v>
      </c>
      <c r="R27" s="1564" t="s">
        <v>8</v>
      </c>
      <c r="S27" s="1565">
        <f t="shared" si="12"/>
        <v>100</v>
      </c>
      <c r="T27" s="1564" t="s">
        <v>8</v>
      </c>
      <c r="U27" s="1565">
        <f t="shared" si="13"/>
        <v>100</v>
      </c>
      <c r="V27" s="1564" t="s">
        <v>8</v>
      </c>
      <c r="W27" s="1565">
        <f t="shared" si="14"/>
        <v>100</v>
      </c>
      <c r="X27" s="1566"/>
      <c r="Y27" s="3376"/>
      <c r="Z27" s="1567" t="str">
        <f t="shared" si="15"/>
        <v>项目停车位配比</v>
      </c>
      <c r="AA27" s="1563">
        <f t="shared" si="3"/>
        <v>1</v>
      </c>
      <c r="AB27" s="1563">
        <f t="shared" si="4"/>
        <v>1</v>
      </c>
      <c r="AC27" s="1563">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6"/>
      <c r="Q28" s="1559" t="str">
        <f t="shared" si="11"/>
        <v>公共部分装修</v>
      </c>
      <c r="R28" s="1560" t="s">
        <v>8</v>
      </c>
      <c r="S28" s="1561">
        <f t="shared" si="12"/>
        <v>100</v>
      </c>
      <c r="T28" s="1560" t="s">
        <v>8</v>
      </c>
      <c r="U28" s="1561">
        <f t="shared" si="13"/>
        <v>100</v>
      </c>
      <c r="V28" s="1560" t="s">
        <v>8</v>
      </c>
      <c r="W28" s="1561">
        <f t="shared" si="14"/>
        <v>100</v>
      </c>
      <c r="X28" s="1554"/>
      <c r="Y28" s="3376"/>
      <c r="Z28" s="1562" t="str">
        <f t="shared" si="15"/>
        <v>公共部分装修</v>
      </c>
      <c r="AA28" s="1563">
        <f t="shared" si="3"/>
        <v>1</v>
      </c>
      <c r="AB28" s="1563">
        <f t="shared" si="4"/>
        <v>1</v>
      </c>
      <c r="AC28" s="1563">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6"/>
      <c r="Q29" s="1559" t="str">
        <f t="shared" si="11"/>
        <v>成新率</v>
      </c>
      <c r="R29" s="1560" t="s">
        <v>8</v>
      </c>
      <c r="S29" s="1561" t="e">
        <f t="shared" si="12"/>
        <v>#N/A</v>
      </c>
      <c r="T29" s="1560" t="s">
        <v>8</v>
      </c>
      <c r="U29" s="1561" t="e">
        <f t="shared" si="13"/>
        <v>#N/A</v>
      </c>
      <c r="V29" s="1560" t="s">
        <v>8</v>
      </c>
      <c r="W29" s="1561" t="e">
        <f t="shared" si="14"/>
        <v>#N/A</v>
      </c>
      <c r="X29" s="1554"/>
      <c r="Y29" s="3376"/>
      <c r="Z29" s="1562" t="str">
        <f t="shared" si="15"/>
        <v>成新率</v>
      </c>
      <c r="AA29" s="1563" t="e">
        <f t="shared" si="3"/>
        <v>#N/A</v>
      </c>
      <c r="AB29" s="1563" t="e">
        <f t="shared" si="4"/>
        <v>#N/A</v>
      </c>
      <c r="AC29" s="1563"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6"/>
      <c r="Q30" s="1559" t="str">
        <f t="shared" si="11"/>
        <v>物业等级</v>
      </c>
      <c r="R30" s="1560" t="s">
        <v>8</v>
      </c>
      <c r="S30" s="1561">
        <f t="shared" si="12"/>
        <v>100</v>
      </c>
      <c r="T30" s="1560" t="s">
        <v>8</v>
      </c>
      <c r="U30" s="1561">
        <f t="shared" si="13"/>
        <v>100</v>
      </c>
      <c r="V30" s="1560" t="s">
        <v>8</v>
      </c>
      <c r="W30" s="1561">
        <f t="shared" si="14"/>
        <v>100</v>
      </c>
      <c r="X30" s="1554"/>
      <c r="Y30" s="3376"/>
      <c r="Z30" s="1562" t="str">
        <f t="shared" si="15"/>
        <v>物业等级</v>
      </c>
      <c r="AA30" s="1563">
        <f t="shared" si="3"/>
        <v>1</v>
      </c>
      <c r="AB30" s="1563">
        <f t="shared" si="4"/>
        <v>1</v>
      </c>
      <c r="AC30" s="1563">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6"/>
      <c r="Q31" s="1147" t="str">
        <f t="shared" si="11"/>
        <v>停车位面积</v>
      </c>
      <c r="R31" s="1555" t="s">
        <v>8</v>
      </c>
      <c r="S31" s="1556" t="e">
        <f t="shared" si="12"/>
        <v>#N/A</v>
      </c>
      <c r="T31" s="1555" t="s">
        <v>8</v>
      </c>
      <c r="U31" s="1556" t="e">
        <f t="shared" si="13"/>
        <v>#N/A</v>
      </c>
      <c r="V31" s="1555" t="s">
        <v>8</v>
      </c>
      <c r="W31" s="1556" t="e">
        <f t="shared" si="14"/>
        <v>#N/A</v>
      </c>
      <c r="X31" s="1557"/>
      <c r="Y31" s="3376"/>
      <c r="Z31" s="1146" t="str">
        <f t="shared" si="15"/>
        <v>停车位面积</v>
      </c>
      <c r="AA31" s="1558" t="e">
        <f t="shared" si="3"/>
        <v>#N/A</v>
      </c>
      <c r="AB31" s="1558" t="e">
        <f t="shared" si="4"/>
        <v>#N/A</v>
      </c>
      <c r="AC31" s="1558"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6" t="s">
        <v>550</v>
      </c>
      <c r="Q32" s="1559" t="str">
        <f t="shared" si="11"/>
        <v>车位类型</v>
      </c>
      <c r="R32" s="1560" t="s">
        <v>8</v>
      </c>
      <c r="S32" s="1561">
        <f t="shared" si="12"/>
        <v>100</v>
      </c>
      <c r="T32" s="1560" t="s">
        <v>8</v>
      </c>
      <c r="U32" s="1561">
        <f t="shared" si="13"/>
        <v>100</v>
      </c>
      <c r="V32" s="1560" t="s">
        <v>8</v>
      </c>
      <c r="W32" s="1561">
        <f t="shared" si="14"/>
        <v>100</v>
      </c>
      <c r="X32" s="1554"/>
      <c r="Y32" s="3376" t="s">
        <v>550</v>
      </c>
      <c r="Z32" s="1562" t="str">
        <f t="shared" si="15"/>
        <v>车位类型</v>
      </c>
      <c r="AA32" s="1563">
        <f t="shared" si="3"/>
        <v>1</v>
      </c>
      <c r="AB32" s="1563">
        <f t="shared" si="4"/>
        <v>1</v>
      </c>
      <c r="AC32" s="1563">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6"/>
      <c r="Q33" s="1559" t="str">
        <f t="shared" si="11"/>
        <v>是否直接入户</v>
      </c>
      <c r="R33" s="1560" t="s">
        <v>8</v>
      </c>
      <c r="S33" s="1561">
        <f t="shared" si="12"/>
        <v>100</v>
      </c>
      <c r="T33" s="1560" t="s">
        <v>8</v>
      </c>
      <c r="U33" s="1561">
        <f t="shared" si="13"/>
        <v>100</v>
      </c>
      <c r="V33" s="1560" t="s">
        <v>8</v>
      </c>
      <c r="W33" s="1561">
        <f t="shared" si="14"/>
        <v>100</v>
      </c>
      <c r="X33" s="1554"/>
      <c r="Y33" s="3376"/>
      <c r="Z33" s="1562" t="str">
        <f t="shared" si="15"/>
        <v>是否直接入户</v>
      </c>
      <c r="AA33" s="1563">
        <f t="shared" si="3"/>
        <v>1</v>
      </c>
      <c r="AB33" s="1563">
        <f t="shared" si="4"/>
        <v>1</v>
      </c>
      <c r="AC33" s="1563">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6"/>
      <c r="Q35" s="1591">
        <f t="shared" si="11"/>
        <v>111</v>
      </c>
      <c r="R35" s="1564" t="s">
        <v>8</v>
      </c>
      <c r="S35" s="1565">
        <f t="shared" si="12"/>
        <v>100</v>
      </c>
      <c r="T35" s="1564" t="s">
        <v>8</v>
      </c>
      <c r="U35" s="1565">
        <f t="shared" si="13"/>
        <v>100</v>
      </c>
      <c r="V35" s="1564" t="s">
        <v>8</v>
      </c>
      <c r="W35" s="1565">
        <f t="shared" si="14"/>
        <v>100</v>
      </c>
      <c r="X35" s="1566"/>
      <c r="Y35" s="3376"/>
      <c r="Z35" s="1567">
        <f t="shared" si="15"/>
        <v>111</v>
      </c>
      <c r="AA35" s="1563">
        <f t="shared" si="3"/>
        <v>1</v>
      </c>
      <c r="AB35" s="1563">
        <f t="shared" si="4"/>
        <v>1</v>
      </c>
      <c r="AC35" s="1563">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6"/>
      <c r="Q36" s="1559">
        <f t="shared" si="11"/>
        <v>111</v>
      </c>
      <c r="R36" s="1560" t="s">
        <v>8</v>
      </c>
      <c r="S36" s="1561">
        <f t="shared" si="12"/>
        <v>100</v>
      </c>
      <c r="T36" s="1560" t="s">
        <v>8</v>
      </c>
      <c r="U36" s="1561">
        <f t="shared" si="13"/>
        <v>100</v>
      </c>
      <c r="V36" s="1560" t="s">
        <v>8</v>
      </c>
      <c r="W36" s="1561">
        <f t="shared" si="14"/>
        <v>100</v>
      </c>
      <c r="X36" s="1554"/>
      <c r="Y36" s="3376"/>
      <c r="Z36" s="1562">
        <f t="shared" si="15"/>
        <v>111</v>
      </c>
      <c r="AA36" s="1563">
        <f t="shared" si="3"/>
        <v>1</v>
      </c>
      <c r="AB36" s="1563">
        <f t="shared" si="4"/>
        <v>1</v>
      </c>
      <c r="AC36" s="1563">
        <f t="shared" si="5"/>
        <v>1</v>
      </c>
    </row>
    <row r="37" spans="1:29">
      <c r="A37" s="1832" t="s">
        <v>2075</v>
      </c>
      <c r="B37" s="1833" t="s">
        <v>2076</v>
      </c>
      <c r="C37" s="2592" t="s">
        <v>1</v>
      </c>
      <c r="D37" s="2593"/>
      <c r="E37" s="2594"/>
      <c r="F37" s="2595"/>
      <c r="G37" s="2596"/>
      <c r="H37" s="2597"/>
      <c r="I37" s="2594"/>
      <c r="J37" s="2597"/>
      <c r="K37" s="1597"/>
      <c r="L37" s="2130"/>
      <c r="M37" s="2131"/>
      <c r="N37" s="2120"/>
      <c r="O37" s="2131"/>
      <c r="P37" s="3371" t="str">
        <f>A37</f>
        <v>成交单价</v>
      </c>
      <c r="Q37" s="3371"/>
      <c r="R37" s="3475">
        <f>E37</f>
        <v>0</v>
      </c>
      <c r="S37" s="3475"/>
      <c r="T37" s="3475">
        <f>G37</f>
        <v>0</v>
      </c>
      <c r="U37" s="3475"/>
      <c r="V37" s="3475">
        <f>I37</f>
        <v>0</v>
      </c>
      <c r="W37" s="3475"/>
      <c r="X37" s="1546"/>
      <c r="Y37" s="1568"/>
      <c r="Z37" s="1546"/>
      <c r="AA37" s="1546"/>
      <c r="AB37" s="1546"/>
      <c r="AC37" s="1546"/>
    </row>
    <row r="38" spans="1:29" ht="14.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1" t="str">
        <f>A38</f>
        <v>比较价格（元/平方米）</v>
      </c>
      <c r="Q38" s="3371"/>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4.5" thickBot="1">
      <c r="A39" s="621" t="s">
        <v>2934</v>
      </c>
      <c r="B39" s="622"/>
      <c r="C39" s="2601" t="e">
        <f>R39</f>
        <v>#DIV/0!</v>
      </c>
      <c r="D39" s="2601"/>
      <c r="E39" s="2601"/>
      <c r="F39" s="2601"/>
      <c r="G39" s="2601"/>
      <c r="H39" s="2601"/>
      <c r="I39" s="2601"/>
      <c r="J39" s="2601"/>
      <c r="K39" s="1599"/>
      <c r="L39" s="2130"/>
      <c r="M39" s="2131"/>
      <c r="N39" s="2131"/>
      <c r="O39" s="2131"/>
      <c r="P39" s="3392" t="str">
        <f>A39</f>
        <v>估价对象XX用房的比较价格（楼面单价，元/平方米）</v>
      </c>
      <c r="Q39" s="3393"/>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4.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4.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4.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8.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4.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4.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4.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4.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3" customWidth="1"/>
    <col min="2" max="2" width="15.81640625" style="1333" customWidth="1"/>
    <col min="3" max="3" width="14.36328125" style="1333" customWidth="1"/>
    <col min="4" max="4" width="12.1796875" style="1333" customWidth="1"/>
    <col min="5" max="5" width="14.36328125" style="1333" customWidth="1"/>
    <col min="6" max="6" width="12.1796875" style="1333" customWidth="1"/>
    <col min="7" max="7" width="14.453125" style="1333" customWidth="1"/>
    <col min="8" max="8" width="12.1796875" style="1333" customWidth="1"/>
    <col min="9" max="9" width="14.453125" style="1333" customWidth="1"/>
    <col min="10" max="10" width="12.1796875" style="1333" customWidth="1"/>
    <col min="11" max="11" width="12.1796875" style="1339" customWidth="1"/>
    <col min="12" max="12" width="12.1796875" style="1340" customWidth="1"/>
    <col min="13" max="15" width="12.1796875" style="1333" customWidth="1"/>
    <col min="16" max="16" width="4.81640625" style="1333" customWidth="1"/>
    <col min="17" max="17" width="19.453125" style="1333" customWidth="1"/>
    <col min="18" max="22" width="6.08984375" style="1333" customWidth="1"/>
    <col min="23" max="23" width="5.81640625" style="1333" customWidth="1"/>
    <col min="24" max="24" width="4.1796875" style="1333" customWidth="1"/>
    <col min="25" max="25" width="3.453125" style="1333" customWidth="1"/>
    <col min="26" max="26" width="19.8164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77" t="s">
        <v>798</v>
      </c>
      <c r="D4" s="3378"/>
      <c r="E4" s="3401" t="s">
        <v>799</v>
      </c>
      <c r="F4" s="3402"/>
      <c r="G4" s="3377" t="s">
        <v>800</v>
      </c>
      <c r="H4" s="3378"/>
      <c r="I4" s="3377" t="s">
        <v>801</v>
      </c>
      <c r="J4" s="3378"/>
      <c r="K4" s="514" t="s">
        <v>802</v>
      </c>
      <c r="L4" s="2119"/>
      <c r="M4" s="2120"/>
      <c r="N4" s="2120"/>
      <c r="O4" s="2120"/>
      <c r="P4" s="3379" t="s">
        <v>803</v>
      </c>
      <c r="Q4" s="3380"/>
      <c r="R4" s="3365" t="s">
        <v>799</v>
      </c>
      <c r="S4" s="3366"/>
      <c r="T4" s="3365" t="s">
        <v>800</v>
      </c>
      <c r="U4" s="3366"/>
      <c r="V4" s="3385" t="s">
        <v>801</v>
      </c>
      <c r="W4" s="3385"/>
      <c r="X4" s="1554"/>
      <c r="Y4" s="3365" t="s">
        <v>803</v>
      </c>
      <c r="Z4" s="3366"/>
      <c r="AA4" s="3360" t="s">
        <v>799</v>
      </c>
      <c r="AB4" s="3361" t="s">
        <v>800</v>
      </c>
      <c r="AC4" s="3360" t="s">
        <v>801</v>
      </c>
    </row>
    <row r="5" spans="1:29">
      <c r="A5" s="515"/>
      <c r="B5" s="516"/>
      <c r="C5" s="3388" t="s">
        <v>2928</v>
      </c>
      <c r="D5" s="3389"/>
      <c r="E5" s="3403" t="s">
        <v>2929</v>
      </c>
      <c r="F5" s="3404"/>
      <c r="G5" s="3388" t="s">
        <v>2930</v>
      </c>
      <c r="H5" s="3389"/>
      <c r="I5" s="3388" t="s">
        <v>2931</v>
      </c>
      <c r="J5" s="3389"/>
      <c r="K5" s="514"/>
      <c r="L5" s="2119"/>
      <c r="M5" s="2120"/>
      <c r="N5" s="2120"/>
      <c r="O5" s="2120"/>
      <c r="P5" s="3381"/>
      <c r="Q5" s="3382"/>
      <c r="R5" s="3367"/>
      <c r="S5" s="3368"/>
      <c r="T5" s="3367"/>
      <c r="U5" s="3368"/>
      <c r="V5" s="3385"/>
      <c r="W5" s="3385"/>
      <c r="X5" s="1554"/>
      <c r="Y5" s="3367"/>
      <c r="Z5" s="3368"/>
      <c r="AA5" s="3361"/>
      <c r="AB5" s="3361"/>
      <c r="AC5" s="3361"/>
    </row>
    <row r="6" spans="1:29" ht="15" thickBot="1">
      <c r="A6" s="517"/>
      <c r="B6" s="518"/>
      <c r="C6" s="3386" t="s">
        <v>2932</v>
      </c>
      <c r="D6" s="3387"/>
      <c r="E6" s="3405" t="s">
        <v>2932</v>
      </c>
      <c r="F6" s="3406"/>
      <c r="G6" s="3386" t="s">
        <v>2932</v>
      </c>
      <c r="H6" s="3387"/>
      <c r="I6" s="3386" t="s">
        <v>2932</v>
      </c>
      <c r="J6" s="3387"/>
      <c r="K6" s="514" t="s">
        <v>528</v>
      </c>
      <c r="L6" s="2119"/>
      <c r="M6" s="2120"/>
      <c r="N6" s="2120"/>
      <c r="O6" s="2120"/>
      <c r="P6" s="3383"/>
      <c r="Q6" s="3384"/>
      <c r="R6" s="3367"/>
      <c r="S6" s="3368"/>
      <c r="T6" s="3369"/>
      <c r="U6" s="3370"/>
      <c r="V6" s="3385"/>
      <c r="W6" s="3385"/>
      <c r="X6" s="1554"/>
      <c r="Y6" s="3369"/>
      <c r="Z6" s="3370"/>
      <c r="AA6" s="3362"/>
      <c r="AB6" s="3362"/>
      <c r="AC6" s="3362"/>
    </row>
    <row r="7" spans="1:29" s="1216" customFormat="1" ht="14.5" thickBot="1">
      <c r="A7" s="2868"/>
      <c r="B7" s="2875"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3" t="s">
        <v>530</v>
      </c>
      <c r="Q7" s="3372"/>
      <c r="R7" s="1555" t="s">
        <v>8</v>
      </c>
      <c r="S7" s="1556">
        <f t="shared" ref="S7:S14" si="0">F7</f>
        <v>0</v>
      </c>
      <c r="T7" s="1555" t="s">
        <v>8</v>
      </c>
      <c r="U7" s="1556">
        <f t="shared" ref="U7:U14" si="1">H7</f>
        <v>0</v>
      </c>
      <c r="V7" s="1555" t="s">
        <v>8</v>
      </c>
      <c r="W7" s="1556">
        <f t="shared" ref="W7:W14" si="2">J7</f>
        <v>0</v>
      </c>
      <c r="X7" s="1557"/>
      <c r="Y7" s="3363" t="s">
        <v>530</v>
      </c>
      <c r="Z7" s="3364"/>
      <c r="AA7" s="1558" t="e">
        <f>D7/F7</f>
        <v>#DIV/0!</v>
      </c>
      <c r="AB7" s="1558" t="e">
        <f>D7/H7</f>
        <v>#DIV/0!</v>
      </c>
      <c r="AC7" s="1558" t="e">
        <f>D7/J7</f>
        <v>#DIV/0!</v>
      </c>
    </row>
    <row r="8" spans="1:29" s="1216" customFormat="1" ht="14.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3" t="s">
        <v>533</v>
      </c>
      <c r="Q8" s="3364"/>
      <c r="R8" s="1555" t="s">
        <v>8</v>
      </c>
      <c r="S8" s="1556">
        <f t="shared" si="0"/>
        <v>0</v>
      </c>
      <c r="T8" s="1555" t="s">
        <v>8</v>
      </c>
      <c r="U8" s="1556">
        <f t="shared" si="1"/>
        <v>0</v>
      </c>
      <c r="V8" s="1555" t="s">
        <v>8</v>
      </c>
      <c r="W8" s="1556">
        <f t="shared" si="2"/>
        <v>0</v>
      </c>
      <c r="X8" s="1557"/>
      <c r="Y8" s="3363" t="s">
        <v>533</v>
      </c>
      <c r="Z8" s="3364"/>
      <c r="AA8" s="1558" t="e">
        <f t="shared" ref="AA8:AA34" si="3">D8/F8</f>
        <v>#DIV/0!</v>
      </c>
      <c r="AB8" s="1558" t="e">
        <f t="shared" ref="AB8:AB34" si="4">D8/H8</f>
        <v>#DIV/0!</v>
      </c>
      <c r="AC8" s="1558" t="e">
        <f t="shared" ref="AC8:AC34" si="5">D8/J8</f>
        <v>#DIV/0!</v>
      </c>
    </row>
    <row r="9" spans="1:29" s="1216" customFormat="1">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1" t="s">
        <v>535</v>
      </c>
      <c r="Q9" s="1147" t="str">
        <f t="shared" ref="Q9:Q14" si="6">B9</f>
        <v>用途</v>
      </c>
      <c r="R9" s="1555" t="s">
        <v>8</v>
      </c>
      <c r="S9" s="1556">
        <f t="shared" si="0"/>
        <v>100</v>
      </c>
      <c r="T9" s="1555" t="s">
        <v>8</v>
      </c>
      <c r="U9" s="1556">
        <f t="shared" si="1"/>
        <v>100</v>
      </c>
      <c r="V9" s="1555" t="s">
        <v>8</v>
      </c>
      <c r="W9" s="1556">
        <f t="shared" si="2"/>
        <v>100</v>
      </c>
      <c r="X9" s="1557"/>
      <c r="Y9" s="3328"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1"/>
      <c r="Q10" s="1147" t="str">
        <f t="shared" si="6"/>
        <v>土地使用年限（年）</v>
      </c>
      <c r="R10" s="1555" t="s">
        <v>8</v>
      </c>
      <c r="S10" s="1556">
        <f t="shared" si="0"/>
        <v>100</v>
      </c>
      <c r="T10" s="1555" t="s">
        <v>8</v>
      </c>
      <c r="U10" s="1556">
        <f t="shared" si="1"/>
        <v>100</v>
      </c>
      <c r="V10" s="1555" t="s">
        <v>8</v>
      </c>
      <c r="W10" s="1556">
        <f t="shared" si="2"/>
        <v>100</v>
      </c>
      <c r="X10" s="1557"/>
      <c r="Y10" s="3328"/>
      <c r="Z10" s="1146" t="str">
        <f t="shared" si="7"/>
        <v>土地使用年限（年）</v>
      </c>
      <c r="AA10" s="1558">
        <f t="shared" si="3"/>
        <v>1</v>
      </c>
      <c r="AB10" s="1558">
        <f t="shared" si="4"/>
        <v>1</v>
      </c>
      <c r="AC10" s="1558">
        <f t="shared" si="5"/>
        <v>1</v>
      </c>
    </row>
    <row r="11" spans="1:29" ht="15.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1"/>
      <c r="Q11" s="1147">
        <f t="shared" si="6"/>
        <v>111</v>
      </c>
      <c r="R11" s="1555" t="s">
        <v>8</v>
      </c>
      <c r="S11" s="1556">
        <f t="shared" si="0"/>
        <v>100</v>
      </c>
      <c r="T11" s="1555" t="s">
        <v>8</v>
      </c>
      <c r="U11" s="1556">
        <f t="shared" si="1"/>
        <v>100</v>
      </c>
      <c r="V11" s="1555" t="s">
        <v>8</v>
      </c>
      <c r="W11" s="1556">
        <f t="shared" si="2"/>
        <v>100</v>
      </c>
      <c r="X11" s="1557"/>
      <c r="Y11" s="3328"/>
      <c r="Z11" s="1146">
        <f t="shared" si="7"/>
        <v>111</v>
      </c>
      <c r="AA11" s="1558">
        <f t="shared" si="3"/>
        <v>1</v>
      </c>
      <c r="AB11" s="1558">
        <f t="shared" si="4"/>
        <v>1</v>
      </c>
      <c r="AC11" s="1558">
        <f t="shared" si="5"/>
        <v>1</v>
      </c>
    </row>
    <row r="12" spans="1:29" s="1216" customFormat="1" ht="15.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1"/>
      <c r="Q12" s="1147">
        <f t="shared" si="6"/>
        <v>111</v>
      </c>
      <c r="R12" s="1555" t="s">
        <v>8</v>
      </c>
      <c r="S12" s="1556">
        <f t="shared" si="0"/>
        <v>100</v>
      </c>
      <c r="T12" s="1555" t="s">
        <v>8</v>
      </c>
      <c r="U12" s="1556">
        <f t="shared" si="1"/>
        <v>100</v>
      </c>
      <c r="V12" s="1555" t="s">
        <v>8</v>
      </c>
      <c r="W12" s="1556">
        <f t="shared" si="2"/>
        <v>100</v>
      </c>
      <c r="X12" s="1557"/>
      <c r="Y12" s="3328"/>
      <c r="Z12" s="1146">
        <f t="shared" si="7"/>
        <v>111</v>
      </c>
      <c r="AA12" s="1558">
        <f>D12/F12</f>
        <v>1</v>
      </c>
      <c r="AB12" s="1558">
        <f>D12/H12</f>
        <v>1</v>
      </c>
      <c r="AC12" s="1558">
        <f>D12/J12</f>
        <v>1</v>
      </c>
    </row>
    <row r="13" spans="1:29" ht="1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1"/>
      <c r="Q13" s="1147">
        <f t="shared" si="6"/>
        <v>111</v>
      </c>
      <c r="R13" s="1555" t="s">
        <v>8</v>
      </c>
      <c r="S13" s="1556">
        <f t="shared" si="0"/>
        <v>100</v>
      </c>
      <c r="T13" s="1555" t="s">
        <v>8</v>
      </c>
      <c r="U13" s="1556">
        <f t="shared" si="1"/>
        <v>100</v>
      </c>
      <c r="V13" s="1555" t="s">
        <v>8</v>
      </c>
      <c r="W13" s="1556">
        <f t="shared" si="2"/>
        <v>100</v>
      </c>
      <c r="X13" s="1557"/>
      <c r="Y13" s="3328"/>
      <c r="Z13" s="1146">
        <f t="shared" si="7"/>
        <v>111</v>
      </c>
      <c r="AA13" s="1558">
        <f t="shared" si="3"/>
        <v>1</v>
      </c>
      <c r="AB13" s="1558">
        <f t="shared" si="4"/>
        <v>1</v>
      </c>
      <c r="AC13" s="1558">
        <f t="shared" si="5"/>
        <v>1</v>
      </c>
    </row>
    <row r="14" spans="1:29" ht="98">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3" t="s">
        <v>540</v>
      </c>
      <c r="Q14" s="1559" t="str">
        <f t="shared" si="6"/>
        <v>交通便捷度</v>
      </c>
      <c r="R14" s="1560" t="s">
        <v>8</v>
      </c>
      <c r="S14" s="1561">
        <f t="shared" si="0"/>
        <v>100</v>
      </c>
      <c r="T14" s="1560" t="s">
        <v>8</v>
      </c>
      <c r="U14" s="1561">
        <f t="shared" si="1"/>
        <v>100</v>
      </c>
      <c r="V14" s="1560" t="s">
        <v>8</v>
      </c>
      <c r="W14" s="1561">
        <f t="shared" si="2"/>
        <v>100</v>
      </c>
      <c r="X14" s="1554"/>
      <c r="Y14" s="3373" t="s">
        <v>540</v>
      </c>
      <c r="Z14" s="1562" t="str">
        <f t="shared" si="7"/>
        <v>交通便捷度</v>
      </c>
      <c r="AA14" s="1563">
        <f t="shared" si="3"/>
        <v>1</v>
      </c>
      <c r="AB14" s="1563">
        <f t="shared" si="4"/>
        <v>1</v>
      </c>
      <c r="AC14" s="1563">
        <f t="shared" si="5"/>
        <v>1</v>
      </c>
    </row>
    <row r="15" spans="1:29" ht="15.5">
      <c r="A15" s="532"/>
      <c r="B15" s="869"/>
      <c r="C15" s="576"/>
      <c r="D15" s="555"/>
      <c r="E15" s="576"/>
      <c r="F15" s="557"/>
      <c r="G15" s="576"/>
      <c r="H15" s="559"/>
      <c r="I15" s="576"/>
      <c r="J15" s="555"/>
      <c r="K15" s="899"/>
      <c r="L15" s="2128"/>
      <c r="M15" s="2120"/>
      <c r="N15" s="2120"/>
      <c r="O15" s="2127"/>
      <c r="P15" s="3374"/>
      <c r="Q15" s="1559"/>
      <c r="R15" s="1560"/>
      <c r="S15" s="1561"/>
      <c r="T15" s="1560"/>
      <c r="U15" s="1561"/>
      <c r="V15" s="1560"/>
      <c r="W15" s="1561"/>
      <c r="X15" s="1554"/>
      <c r="Y15" s="3374"/>
      <c r="Z15" s="1562"/>
      <c r="AA15" s="1563">
        <v>1</v>
      </c>
      <c r="AB15" s="1563">
        <v>1</v>
      </c>
      <c r="AC15" s="1563">
        <v>1</v>
      </c>
    </row>
    <row r="16" spans="1:29" ht="42">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4"/>
      <c r="Q16" s="1559" t="str">
        <f>B16</f>
        <v>公共配套设施</v>
      </c>
      <c r="R16" s="1560" t="s">
        <v>8</v>
      </c>
      <c r="S16" s="1561">
        <f>F16</f>
        <v>100</v>
      </c>
      <c r="T16" s="1560" t="s">
        <v>8</v>
      </c>
      <c r="U16" s="1561">
        <f>H16</f>
        <v>100</v>
      </c>
      <c r="V16" s="1560" t="s">
        <v>8</v>
      </c>
      <c r="W16" s="1561">
        <f>J16</f>
        <v>100</v>
      </c>
      <c r="X16" s="1554"/>
      <c r="Y16" s="3374"/>
      <c r="Z16" s="1562" t="str">
        <f>Q16</f>
        <v>公共配套设施</v>
      </c>
      <c r="AA16" s="1563">
        <f t="shared" si="3"/>
        <v>1</v>
      </c>
      <c r="AB16" s="1563">
        <f t="shared" si="4"/>
        <v>1</v>
      </c>
      <c r="AC16" s="1563">
        <f t="shared" si="5"/>
        <v>1</v>
      </c>
    </row>
    <row r="17" spans="1:29" ht="15.5">
      <c r="A17" s="532"/>
      <c r="B17" s="566"/>
      <c r="C17" s="873"/>
      <c r="D17" s="555"/>
      <c r="E17" s="576"/>
      <c r="F17" s="557"/>
      <c r="G17" s="576"/>
      <c r="H17" s="555"/>
      <c r="I17" s="576"/>
      <c r="J17" s="555"/>
      <c r="K17" s="899"/>
      <c r="L17" s="2128"/>
      <c r="M17" s="2120"/>
      <c r="N17" s="2120"/>
      <c r="O17" s="2127"/>
      <c r="P17" s="3374"/>
      <c r="Q17" s="1559"/>
      <c r="R17" s="1560"/>
      <c r="S17" s="1561"/>
      <c r="T17" s="1560"/>
      <c r="U17" s="1561"/>
      <c r="V17" s="1560"/>
      <c r="W17" s="1561"/>
      <c r="X17" s="1554"/>
      <c r="Y17" s="3374"/>
      <c r="Z17" s="1562"/>
      <c r="AA17" s="1563">
        <v>1</v>
      </c>
      <c r="AB17" s="1563">
        <v>1</v>
      </c>
      <c r="AC17" s="1563">
        <v>1</v>
      </c>
    </row>
    <row r="18" spans="1:29" ht="42">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4"/>
      <c r="Q18" s="2544" t="str">
        <f>B18</f>
        <v>基础设施水平</v>
      </c>
      <c r="R18" s="1560" t="s">
        <v>8</v>
      </c>
      <c r="S18" s="1561">
        <f>F18</f>
        <v>100</v>
      </c>
      <c r="T18" s="1560" t="s">
        <v>8</v>
      </c>
      <c r="U18" s="1561">
        <f>H18</f>
        <v>100</v>
      </c>
      <c r="V18" s="1560" t="s">
        <v>8</v>
      </c>
      <c r="W18" s="1561">
        <f>J18</f>
        <v>100</v>
      </c>
      <c r="X18" s="2546"/>
      <c r="Y18" s="3374"/>
      <c r="Z18" s="2545" t="str">
        <f>Q18</f>
        <v>基础设施水平</v>
      </c>
      <c r="AA18" s="1563">
        <f t="shared" ref="AA18" si="8">D18/F18</f>
        <v>1</v>
      </c>
      <c r="AB18" s="1563">
        <f t="shared" ref="AB18" si="9">D18/H18</f>
        <v>1</v>
      </c>
      <c r="AC18" s="1563">
        <f t="shared" ref="AC18" si="10">D18/J18</f>
        <v>1</v>
      </c>
    </row>
    <row r="19" spans="1:29" ht="15.5">
      <c r="A19" s="532"/>
      <c r="B19" s="578"/>
      <c r="C19" s="873"/>
      <c r="D19" s="559"/>
      <c r="E19" s="873"/>
      <c r="F19" s="563"/>
      <c r="G19" s="873"/>
      <c r="H19" s="555"/>
      <c r="I19" s="576"/>
      <c r="J19" s="555"/>
      <c r="K19" s="2567"/>
      <c r="L19" s="2128"/>
      <c r="M19" s="2120"/>
      <c r="N19" s="2120"/>
      <c r="O19" s="2127"/>
      <c r="P19" s="3374"/>
      <c r="Q19" s="2544"/>
      <c r="R19" s="1560"/>
      <c r="S19" s="1561"/>
      <c r="T19" s="1560"/>
      <c r="U19" s="1561"/>
      <c r="V19" s="1560"/>
      <c r="W19" s="1561"/>
      <c r="X19" s="2546"/>
      <c r="Y19" s="3374"/>
      <c r="Z19" s="2545"/>
      <c r="AA19" s="1563">
        <v>1</v>
      </c>
      <c r="AB19" s="1563">
        <v>1</v>
      </c>
      <c r="AC19" s="1563">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4"/>
      <c r="Q20" s="1559" t="str">
        <f>B20</f>
        <v>自然及人文环境</v>
      </c>
      <c r="R20" s="1560" t="s">
        <v>8</v>
      </c>
      <c r="S20" s="1561">
        <f>F20</f>
        <v>100</v>
      </c>
      <c r="T20" s="1560" t="s">
        <v>8</v>
      </c>
      <c r="U20" s="1561">
        <f>H20</f>
        <v>100</v>
      </c>
      <c r="V20" s="1560" t="s">
        <v>8</v>
      </c>
      <c r="W20" s="1561">
        <f>J20</f>
        <v>100</v>
      </c>
      <c r="X20" s="1554"/>
      <c r="Y20" s="3374"/>
      <c r="Z20" s="1562" t="str">
        <f>Q20</f>
        <v>自然及人文环境</v>
      </c>
      <c r="AA20" s="1563">
        <f t="shared" si="3"/>
        <v>1</v>
      </c>
      <c r="AB20" s="1563">
        <f t="shared" si="4"/>
        <v>1</v>
      </c>
      <c r="AC20" s="1563">
        <f t="shared" si="5"/>
        <v>1</v>
      </c>
    </row>
    <row r="21" spans="1:29" ht="15.5">
      <c r="A21" s="532"/>
      <c r="B21" s="595"/>
      <c r="C21" s="576"/>
      <c r="D21" s="555"/>
      <c r="E21" s="576"/>
      <c r="F21" s="557"/>
      <c r="G21" s="576"/>
      <c r="H21" s="555"/>
      <c r="I21" s="576"/>
      <c r="J21" s="555"/>
      <c r="K21" s="899"/>
      <c r="L21" s="2128"/>
      <c r="M21" s="2120"/>
      <c r="N21" s="2120"/>
      <c r="O21" s="2127"/>
      <c r="P21" s="3374"/>
      <c r="Q21" s="1559"/>
      <c r="R21" s="1560"/>
      <c r="S21" s="1561"/>
      <c r="T21" s="1560"/>
      <c r="U21" s="1561"/>
      <c r="V21" s="1560"/>
      <c r="W21" s="1561"/>
      <c r="X21" s="1554"/>
      <c r="Y21" s="3374"/>
      <c r="Z21" s="1562"/>
      <c r="AA21" s="1563">
        <v>1</v>
      </c>
      <c r="AB21" s="1563">
        <v>1</v>
      </c>
      <c r="AC21" s="1563">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4"/>
      <c r="Q22" s="1559" t="str">
        <f>B22</f>
        <v>楼层</v>
      </c>
      <c r="R22" s="1560" t="s">
        <v>8</v>
      </c>
      <c r="S22" s="1561">
        <f>F22</f>
        <v>100</v>
      </c>
      <c r="T22" s="1560" t="s">
        <v>8</v>
      </c>
      <c r="U22" s="1561">
        <f>H22</f>
        <v>100</v>
      </c>
      <c r="V22" s="1560" t="s">
        <v>8</v>
      </c>
      <c r="W22" s="1561">
        <f>J22</f>
        <v>100</v>
      </c>
      <c r="X22" s="1554"/>
      <c r="Y22" s="3374"/>
      <c r="Z22" s="1562" t="str">
        <f>Q22</f>
        <v>楼层</v>
      </c>
      <c r="AA22" s="1563">
        <f t="shared" si="3"/>
        <v>1</v>
      </c>
      <c r="AB22" s="1563">
        <f t="shared" si="4"/>
        <v>1</v>
      </c>
      <c r="AC22" s="1563">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4"/>
      <c r="Q23" s="1559">
        <f>B23</f>
        <v>111</v>
      </c>
      <c r="R23" s="1560" t="s">
        <v>8</v>
      </c>
      <c r="S23" s="1561">
        <f>F23</f>
        <v>100</v>
      </c>
      <c r="T23" s="1560" t="s">
        <v>8</v>
      </c>
      <c r="U23" s="1561">
        <f>H23</f>
        <v>100</v>
      </c>
      <c r="V23" s="1560" t="s">
        <v>8</v>
      </c>
      <c r="W23" s="1561">
        <f>J23</f>
        <v>100</v>
      </c>
      <c r="X23" s="1554"/>
      <c r="Y23" s="3374"/>
      <c r="Z23" s="1562">
        <f>Q23</f>
        <v>111</v>
      </c>
      <c r="AA23" s="1563">
        <f t="shared" si="3"/>
        <v>1</v>
      </c>
      <c r="AB23" s="1563">
        <f t="shared" si="4"/>
        <v>1</v>
      </c>
      <c r="AC23" s="1563">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4"/>
      <c r="Q24" s="1559">
        <f t="shared" ref="Q24:Q34" si="11">B24</f>
        <v>111</v>
      </c>
      <c r="R24" s="1560" t="s">
        <v>8</v>
      </c>
      <c r="S24" s="1561">
        <f>F24</f>
        <v>100</v>
      </c>
      <c r="T24" s="1560" t="s">
        <v>8</v>
      </c>
      <c r="U24" s="1561">
        <f>H24</f>
        <v>100</v>
      </c>
      <c r="V24" s="1560" t="s">
        <v>8</v>
      </c>
      <c r="W24" s="1561">
        <f>J24</f>
        <v>100</v>
      </c>
      <c r="X24" s="1554"/>
      <c r="Y24" s="3374"/>
      <c r="Z24" s="1562">
        <f>Q24</f>
        <v>111</v>
      </c>
      <c r="AA24" s="1563">
        <f t="shared" si="3"/>
        <v>1</v>
      </c>
      <c r="AB24" s="1563">
        <f t="shared" si="4"/>
        <v>1</v>
      </c>
      <c r="AC24" s="1563">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4"/>
      <c r="Q25" s="1147">
        <f t="shared" si="11"/>
        <v>111</v>
      </c>
      <c r="R25" s="1555" t="s">
        <v>8</v>
      </c>
      <c r="S25" s="1556">
        <f>F25</f>
        <v>100</v>
      </c>
      <c r="T25" s="1555" t="s">
        <v>8</v>
      </c>
      <c r="U25" s="1556">
        <f>H25</f>
        <v>100</v>
      </c>
      <c r="V25" s="1555" t="s">
        <v>8</v>
      </c>
      <c r="W25" s="1556">
        <f>J25</f>
        <v>100</v>
      </c>
      <c r="X25" s="1557"/>
      <c r="Y25" s="3374"/>
      <c r="Z25" s="1146">
        <f>Q25</f>
        <v>111</v>
      </c>
      <c r="AA25" s="1563">
        <f>D25/F25</f>
        <v>1</v>
      </c>
      <c r="AB25" s="1563">
        <f>D25/H25</f>
        <v>1</v>
      </c>
      <c r="AC25" s="1563">
        <f>D25/J25</f>
        <v>1</v>
      </c>
    </row>
    <row r="26" spans="1:29" ht="15.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6" t="s">
        <v>821</v>
      </c>
      <c r="Z26" s="1562" t="str">
        <f t="shared" ref="Z26:Z34" si="15">Q26</f>
        <v>公共部分装修</v>
      </c>
      <c r="AA26" s="1563">
        <f t="shared" si="3"/>
        <v>1</v>
      </c>
      <c r="AB26" s="1563">
        <f t="shared" si="4"/>
        <v>1</v>
      </c>
      <c r="AC26" s="1563">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6"/>
      <c r="Q27" s="1591" t="str">
        <f t="shared" si="11"/>
        <v>成新率</v>
      </c>
      <c r="R27" s="1564" t="s">
        <v>8</v>
      </c>
      <c r="S27" s="1565" t="e">
        <f t="shared" si="12"/>
        <v>#N/A</v>
      </c>
      <c r="T27" s="1564" t="s">
        <v>8</v>
      </c>
      <c r="U27" s="1565" t="e">
        <f t="shared" si="13"/>
        <v>#N/A</v>
      </c>
      <c r="V27" s="1564" t="s">
        <v>8</v>
      </c>
      <c r="W27" s="1565" t="e">
        <f t="shared" si="14"/>
        <v>#N/A</v>
      </c>
      <c r="X27" s="1566"/>
      <c r="Y27" s="3376"/>
      <c r="Z27" s="1567" t="str">
        <f t="shared" si="15"/>
        <v>成新率</v>
      </c>
      <c r="AA27" s="1563" t="e">
        <f t="shared" si="3"/>
        <v>#N/A</v>
      </c>
      <c r="AB27" s="1563" t="e">
        <f t="shared" si="4"/>
        <v>#N/A</v>
      </c>
      <c r="AC27" s="1563"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6"/>
      <c r="Q28" s="1559" t="str">
        <f t="shared" si="11"/>
        <v>物业等级</v>
      </c>
      <c r="R28" s="1560" t="s">
        <v>8</v>
      </c>
      <c r="S28" s="1561">
        <f t="shared" si="12"/>
        <v>100</v>
      </c>
      <c r="T28" s="1560" t="s">
        <v>8</v>
      </c>
      <c r="U28" s="1561">
        <f t="shared" si="13"/>
        <v>100</v>
      </c>
      <c r="V28" s="1560" t="s">
        <v>8</v>
      </c>
      <c r="W28" s="1561">
        <f t="shared" si="14"/>
        <v>100</v>
      </c>
      <c r="X28" s="1554"/>
      <c r="Y28" s="3376"/>
      <c r="Z28" s="1562" t="str">
        <f t="shared" si="15"/>
        <v>物业等级</v>
      </c>
      <c r="AA28" s="1563">
        <f t="shared" si="3"/>
        <v>1</v>
      </c>
      <c r="AB28" s="1563">
        <f t="shared" si="4"/>
        <v>1</v>
      </c>
      <c r="AC28" s="1563">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6"/>
      <c r="Q29" s="1559" t="str">
        <f t="shared" si="11"/>
        <v>有无电梯</v>
      </c>
      <c r="R29" s="1560" t="s">
        <v>8</v>
      </c>
      <c r="S29" s="1561">
        <f t="shared" si="12"/>
        <v>100</v>
      </c>
      <c r="T29" s="1560" t="s">
        <v>8</v>
      </c>
      <c r="U29" s="1561">
        <f t="shared" si="13"/>
        <v>100</v>
      </c>
      <c r="V29" s="1560" t="s">
        <v>8</v>
      </c>
      <c r="W29" s="1561">
        <f t="shared" si="14"/>
        <v>100</v>
      </c>
      <c r="X29" s="1554"/>
      <c r="Y29" s="3376"/>
      <c r="Z29" s="1562" t="str">
        <f t="shared" si="15"/>
        <v>有无电梯</v>
      </c>
      <c r="AA29" s="1563">
        <f t="shared" si="3"/>
        <v>1</v>
      </c>
      <c r="AB29" s="1563">
        <f t="shared" si="4"/>
        <v>1</v>
      </c>
      <c r="AC29" s="1563">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6"/>
      <c r="Q30" s="1559" t="str">
        <f t="shared" si="11"/>
        <v>建筑面积</v>
      </c>
      <c r="R30" s="1560" t="s">
        <v>8</v>
      </c>
      <c r="S30" s="1561" t="e">
        <f t="shared" si="12"/>
        <v>#N/A</v>
      </c>
      <c r="T30" s="1560" t="s">
        <v>8</v>
      </c>
      <c r="U30" s="1561" t="e">
        <f t="shared" si="13"/>
        <v>#N/A</v>
      </c>
      <c r="V30" s="1560" t="s">
        <v>8</v>
      </c>
      <c r="W30" s="1561" t="e">
        <f t="shared" si="14"/>
        <v>#N/A</v>
      </c>
      <c r="X30" s="1554"/>
      <c r="Y30" s="3376"/>
      <c r="Z30" s="1562" t="str">
        <f t="shared" si="15"/>
        <v>建筑面积</v>
      </c>
      <c r="AA30" s="1563" t="e">
        <f t="shared" si="3"/>
        <v>#N/A</v>
      </c>
      <c r="AB30" s="1563" t="e">
        <f t="shared" si="4"/>
        <v>#N/A</v>
      </c>
      <c r="AC30" s="1563"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6"/>
      <c r="Q31" s="1147" t="str">
        <f t="shared" si="11"/>
        <v>是否封闭</v>
      </c>
      <c r="R31" s="1555" t="s">
        <v>8</v>
      </c>
      <c r="S31" s="1556">
        <f t="shared" si="12"/>
        <v>100</v>
      </c>
      <c r="T31" s="1555" t="s">
        <v>8</v>
      </c>
      <c r="U31" s="1556">
        <f t="shared" si="13"/>
        <v>100</v>
      </c>
      <c r="V31" s="1555" t="s">
        <v>8</v>
      </c>
      <c r="W31" s="1556">
        <f t="shared" si="14"/>
        <v>100</v>
      </c>
      <c r="X31" s="1557"/>
      <c r="Y31" s="3376"/>
      <c r="Z31" s="1146" t="str">
        <f t="shared" si="15"/>
        <v>是否封闭</v>
      </c>
      <c r="AA31" s="1558">
        <f t="shared" si="3"/>
        <v>1</v>
      </c>
      <c r="AB31" s="1558">
        <f t="shared" si="4"/>
        <v>1</v>
      </c>
      <c r="AC31" s="1558">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6" t="s">
        <v>550</v>
      </c>
      <c r="Q32" s="1559">
        <f t="shared" si="11"/>
        <v>111</v>
      </c>
      <c r="R32" s="1560" t="s">
        <v>8</v>
      </c>
      <c r="S32" s="1561">
        <f t="shared" si="12"/>
        <v>100</v>
      </c>
      <c r="T32" s="1560" t="s">
        <v>8</v>
      </c>
      <c r="U32" s="1561">
        <f t="shared" si="13"/>
        <v>100</v>
      </c>
      <c r="V32" s="1560" t="s">
        <v>8</v>
      </c>
      <c r="W32" s="1561">
        <f t="shared" si="14"/>
        <v>100</v>
      </c>
      <c r="X32" s="1554"/>
      <c r="Y32" s="3376" t="s">
        <v>550</v>
      </c>
      <c r="Z32" s="1562">
        <f t="shared" si="15"/>
        <v>111</v>
      </c>
      <c r="AA32" s="1563">
        <f t="shared" si="3"/>
        <v>1</v>
      </c>
      <c r="AB32" s="1563">
        <f t="shared" si="4"/>
        <v>1</v>
      </c>
      <c r="AC32" s="1563">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6"/>
      <c r="Q33" s="1559">
        <f t="shared" si="11"/>
        <v>111</v>
      </c>
      <c r="R33" s="1560" t="s">
        <v>8</v>
      </c>
      <c r="S33" s="1561">
        <f t="shared" si="12"/>
        <v>100</v>
      </c>
      <c r="T33" s="1560" t="s">
        <v>8</v>
      </c>
      <c r="U33" s="1561">
        <f t="shared" si="13"/>
        <v>100</v>
      </c>
      <c r="V33" s="1560" t="s">
        <v>8</v>
      </c>
      <c r="W33" s="1561">
        <f t="shared" si="14"/>
        <v>100</v>
      </c>
      <c r="X33" s="1554"/>
      <c r="Y33" s="3376"/>
      <c r="Z33" s="1562">
        <f t="shared" si="15"/>
        <v>111</v>
      </c>
      <c r="AA33" s="1563">
        <f t="shared" si="3"/>
        <v>1</v>
      </c>
      <c r="AB33" s="1563">
        <f t="shared" si="4"/>
        <v>1</v>
      </c>
      <c r="AC33" s="1563">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6"/>
      <c r="Q34" s="1559">
        <f t="shared" si="11"/>
        <v>111</v>
      </c>
      <c r="R34" s="1560" t="s">
        <v>8</v>
      </c>
      <c r="S34" s="1561">
        <f t="shared" si="12"/>
        <v>100</v>
      </c>
      <c r="T34" s="1560" t="s">
        <v>8</v>
      </c>
      <c r="U34" s="1561">
        <f t="shared" si="13"/>
        <v>100</v>
      </c>
      <c r="V34" s="1560" t="s">
        <v>8</v>
      </c>
      <c r="W34" s="1561">
        <f t="shared" si="14"/>
        <v>100</v>
      </c>
      <c r="X34" s="1554"/>
      <c r="Y34" s="3376"/>
      <c r="Z34" s="1562">
        <f t="shared" si="15"/>
        <v>111</v>
      </c>
      <c r="AA34" s="1563">
        <f t="shared" si="3"/>
        <v>1</v>
      </c>
      <c r="AB34" s="1563">
        <f t="shared" si="4"/>
        <v>1</v>
      </c>
      <c r="AC34" s="1563">
        <f t="shared" si="5"/>
        <v>1</v>
      </c>
    </row>
    <row r="35" spans="1:29">
      <c r="A35" s="607" t="s">
        <v>736</v>
      </c>
      <c r="B35" s="887"/>
      <c r="C35" s="2592" t="s">
        <v>1</v>
      </c>
      <c r="D35" s="2593"/>
      <c r="E35" s="2594"/>
      <c r="F35" s="2595"/>
      <c r="G35" s="2596"/>
      <c r="H35" s="2597"/>
      <c r="I35" s="2594"/>
      <c r="J35" s="2597"/>
      <c r="K35" s="1597"/>
      <c r="L35" s="2130"/>
      <c r="M35" s="2131"/>
      <c r="N35" s="2120"/>
      <c r="O35" s="2131"/>
      <c r="P35" s="3371" t="str">
        <f>A35</f>
        <v>成交单价（元/平方米）</v>
      </c>
      <c r="Q35" s="3371"/>
      <c r="R35" s="3475">
        <f>E35</f>
        <v>0</v>
      </c>
      <c r="S35" s="3475"/>
      <c r="T35" s="3475">
        <f>G35</f>
        <v>0</v>
      </c>
      <c r="U35" s="3475"/>
      <c r="V35" s="3475">
        <f>I35</f>
        <v>0</v>
      </c>
      <c r="W35" s="3475"/>
      <c r="X35" s="1546"/>
      <c r="Y35" s="1568"/>
      <c r="Z35" s="1546"/>
      <c r="AA35" s="1546"/>
      <c r="AB35" s="1546"/>
      <c r="AC35" s="1546"/>
    </row>
    <row r="36" spans="1:29" ht="14.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1" t="str">
        <f>A36</f>
        <v>比较价格（元/平方米）</v>
      </c>
      <c r="Q36" s="3371"/>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4.5" thickBot="1">
      <c r="A37" s="621" t="s">
        <v>2934</v>
      </c>
      <c r="B37" s="622"/>
      <c r="C37" s="2601" t="e">
        <f>R37</f>
        <v>#DIV/0!</v>
      </c>
      <c r="D37" s="2601"/>
      <c r="E37" s="2601"/>
      <c r="F37" s="2601"/>
      <c r="G37" s="2601"/>
      <c r="H37" s="2601"/>
      <c r="I37" s="2601"/>
      <c r="J37" s="2601"/>
      <c r="K37" s="1599"/>
      <c r="L37" s="2130"/>
      <c r="M37" s="2131"/>
      <c r="N37" s="2131"/>
      <c r="O37" s="2131"/>
      <c r="P37" s="3392" t="str">
        <f>A37</f>
        <v>估价对象XX用房的比较价格（楼面单价，元/平方米）</v>
      </c>
      <c r="Q37" s="3393"/>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4.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4.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4.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4.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4.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4.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4.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4.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6" customWidth="1"/>
    <col min="2" max="2" width="9.1796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4" t="s">
        <v>2302</v>
      </c>
      <c r="D1" s="3485"/>
      <c r="E1" s="3485"/>
      <c r="F1" s="3485"/>
      <c r="G1" s="3485"/>
      <c r="H1" s="3485"/>
      <c r="I1" s="3485"/>
      <c r="J1" s="3485"/>
      <c r="K1" s="3485"/>
      <c r="L1" s="3485"/>
      <c r="M1" s="3485"/>
      <c r="N1" s="3485"/>
      <c r="O1" s="3485"/>
      <c r="P1" s="3485"/>
      <c r="Q1" s="3485"/>
      <c r="R1" s="3485"/>
      <c r="S1" s="3486"/>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3">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3">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3">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3">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3">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3">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3">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3">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3">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
  <cols>
    <col min="1" max="1" width="4.90625" style="2897" customWidth="1"/>
    <col min="2" max="2" width="13.1796875" style="2903" customWidth="1"/>
    <col min="3" max="3" width="15.6328125" style="2903" customWidth="1"/>
    <col min="4" max="4" width="9.36328125" style="2903" bestFit="1" customWidth="1"/>
    <col min="5" max="5" width="13.453125" style="2903" customWidth="1"/>
    <col min="6" max="6" width="9" style="2903"/>
    <col min="7" max="7" width="9.36328125" style="2903" bestFit="1" customWidth="1"/>
    <col min="8" max="9" width="9" style="2903"/>
    <col min="10" max="10" width="9.36328125" style="2903" bestFit="1" customWidth="1"/>
    <col min="11" max="11" width="4" style="2897" customWidth="1"/>
    <col min="12" max="12" width="5.08984375" style="2903" customWidth="1"/>
    <col min="13" max="13" width="13.81640625" style="2903" customWidth="1"/>
    <col min="14" max="256" width="9" style="2903"/>
    <col min="257" max="257" width="4.90625" style="2895" customWidth="1"/>
    <col min="258" max="258" width="13.1796875" style="2895" customWidth="1"/>
    <col min="259" max="259" width="15.6328125" style="2895" customWidth="1"/>
    <col min="260" max="260" width="9.36328125" style="2895" bestFit="1" customWidth="1"/>
    <col min="261" max="261" width="13.453125" style="2895" customWidth="1"/>
    <col min="262" max="262" width="9" style="2895"/>
    <col min="263" max="263" width="9.36328125" style="2895" bestFit="1" customWidth="1"/>
    <col min="264" max="265" width="9" style="2895"/>
    <col min="266" max="266" width="9.36328125" style="2895" bestFit="1" customWidth="1"/>
    <col min="267" max="267" width="4" style="2895" customWidth="1"/>
    <col min="268" max="268" width="5.08984375" style="2895" customWidth="1"/>
    <col min="269" max="269" width="13.81640625" style="2895" customWidth="1"/>
    <col min="270" max="512" width="9" style="2895"/>
    <col min="513" max="513" width="4.90625" style="2895" customWidth="1"/>
    <col min="514" max="514" width="13.1796875" style="2895" customWidth="1"/>
    <col min="515" max="515" width="15.6328125" style="2895" customWidth="1"/>
    <col min="516" max="516" width="9.36328125" style="2895" bestFit="1" customWidth="1"/>
    <col min="517" max="517" width="13.453125" style="2895" customWidth="1"/>
    <col min="518" max="518" width="9" style="2895"/>
    <col min="519" max="519" width="9.36328125" style="2895" bestFit="1" customWidth="1"/>
    <col min="520" max="521" width="9" style="2895"/>
    <col min="522" max="522" width="9.36328125" style="2895" bestFit="1" customWidth="1"/>
    <col min="523" max="523" width="4" style="2895" customWidth="1"/>
    <col min="524" max="524" width="5.08984375" style="2895" customWidth="1"/>
    <col min="525" max="525" width="13.81640625" style="2895" customWidth="1"/>
    <col min="526" max="768" width="9" style="2895"/>
    <col min="769" max="769" width="4.90625" style="2895" customWidth="1"/>
    <col min="770" max="770" width="13.1796875" style="2895" customWidth="1"/>
    <col min="771" max="771" width="15.6328125" style="2895" customWidth="1"/>
    <col min="772" max="772" width="9.36328125" style="2895" bestFit="1" customWidth="1"/>
    <col min="773" max="773" width="13.453125" style="2895" customWidth="1"/>
    <col min="774" max="774" width="9" style="2895"/>
    <col min="775" max="775" width="9.36328125" style="2895" bestFit="1" customWidth="1"/>
    <col min="776" max="777" width="9" style="2895"/>
    <col min="778" max="778" width="9.36328125" style="2895" bestFit="1" customWidth="1"/>
    <col min="779" max="779" width="4" style="2895" customWidth="1"/>
    <col min="780" max="780" width="5.08984375" style="2895" customWidth="1"/>
    <col min="781" max="781" width="13.81640625" style="2895" customWidth="1"/>
    <col min="782" max="1024" width="9" style="2895"/>
    <col min="1025" max="1025" width="4.90625" style="2895" customWidth="1"/>
    <col min="1026" max="1026" width="13.1796875" style="2895" customWidth="1"/>
    <col min="1027" max="1027" width="15.6328125" style="2895" customWidth="1"/>
    <col min="1028" max="1028" width="9.36328125" style="2895" bestFit="1" customWidth="1"/>
    <col min="1029" max="1029" width="13.453125" style="2895" customWidth="1"/>
    <col min="1030" max="1030" width="9" style="2895"/>
    <col min="1031" max="1031" width="9.36328125" style="2895" bestFit="1" customWidth="1"/>
    <col min="1032" max="1033" width="9" style="2895"/>
    <col min="1034" max="1034" width="9.36328125" style="2895" bestFit="1" customWidth="1"/>
    <col min="1035" max="1035" width="4" style="2895" customWidth="1"/>
    <col min="1036" max="1036" width="5.08984375" style="2895" customWidth="1"/>
    <col min="1037" max="1037" width="13.81640625" style="2895" customWidth="1"/>
    <col min="1038" max="1280" width="9" style="2895"/>
    <col min="1281" max="1281" width="4.90625" style="2895" customWidth="1"/>
    <col min="1282" max="1282" width="13.1796875" style="2895" customWidth="1"/>
    <col min="1283" max="1283" width="15.6328125" style="2895" customWidth="1"/>
    <col min="1284" max="1284" width="9.36328125" style="2895" bestFit="1" customWidth="1"/>
    <col min="1285" max="1285" width="13.453125" style="2895" customWidth="1"/>
    <col min="1286" max="1286" width="9" style="2895"/>
    <col min="1287" max="1287" width="9.36328125" style="2895" bestFit="1" customWidth="1"/>
    <col min="1288" max="1289" width="9" style="2895"/>
    <col min="1290" max="1290" width="9.36328125" style="2895" bestFit="1" customWidth="1"/>
    <col min="1291" max="1291" width="4" style="2895" customWidth="1"/>
    <col min="1292" max="1292" width="5.08984375" style="2895" customWidth="1"/>
    <col min="1293" max="1293" width="13.81640625" style="2895" customWidth="1"/>
    <col min="1294" max="1536" width="9" style="2895"/>
    <col min="1537" max="1537" width="4.90625" style="2895" customWidth="1"/>
    <col min="1538" max="1538" width="13.1796875" style="2895" customWidth="1"/>
    <col min="1539" max="1539" width="15.6328125" style="2895" customWidth="1"/>
    <col min="1540" max="1540" width="9.36328125" style="2895" bestFit="1" customWidth="1"/>
    <col min="1541" max="1541" width="13.453125" style="2895" customWidth="1"/>
    <col min="1542" max="1542" width="9" style="2895"/>
    <col min="1543" max="1543" width="9.36328125" style="2895" bestFit="1" customWidth="1"/>
    <col min="1544" max="1545" width="9" style="2895"/>
    <col min="1546" max="1546" width="9.36328125" style="2895" bestFit="1" customWidth="1"/>
    <col min="1547" max="1547" width="4" style="2895" customWidth="1"/>
    <col min="1548" max="1548" width="5.08984375" style="2895" customWidth="1"/>
    <col min="1549" max="1549" width="13.81640625" style="2895" customWidth="1"/>
    <col min="1550" max="1792" width="9" style="2895"/>
    <col min="1793" max="1793" width="4.90625" style="2895" customWidth="1"/>
    <col min="1794" max="1794" width="13.1796875" style="2895" customWidth="1"/>
    <col min="1795" max="1795" width="15.6328125" style="2895" customWidth="1"/>
    <col min="1796" max="1796" width="9.36328125" style="2895" bestFit="1" customWidth="1"/>
    <col min="1797" max="1797" width="13.453125" style="2895" customWidth="1"/>
    <col min="1798" max="1798" width="9" style="2895"/>
    <col min="1799" max="1799" width="9.36328125" style="2895" bestFit="1" customWidth="1"/>
    <col min="1800" max="1801" width="9" style="2895"/>
    <col min="1802" max="1802" width="9.36328125" style="2895" bestFit="1" customWidth="1"/>
    <col min="1803" max="1803" width="4" style="2895" customWidth="1"/>
    <col min="1804" max="1804" width="5.08984375" style="2895" customWidth="1"/>
    <col min="1805" max="1805" width="13.81640625" style="2895" customWidth="1"/>
    <col min="1806" max="2048" width="9" style="2895"/>
    <col min="2049" max="2049" width="4.90625" style="2895" customWidth="1"/>
    <col min="2050" max="2050" width="13.1796875" style="2895" customWidth="1"/>
    <col min="2051" max="2051" width="15.6328125" style="2895" customWidth="1"/>
    <col min="2052" max="2052" width="9.36328125" style="2895" bestFit="1" customWidth="1"/>
    <col min="2053" max="2053" width="13.453125" style="2895" customWidth="1"/>
    <col min="2054" max="2054" width="9" style="2895"/>
    <col min="2055" max="2055" width="9.36328125" style="2895" bestFit="1" customWidth="1"/>
    <col min="2056" max="2057" width="9" style="2895"/>
    <col min="2058" max="2058" width="9.36328125" style="2895" bestFit="1" customWidth="1"/>
    <col min="2059" max="2059" width="4" style="2895" customWidth="1"/>
    <col min="2060" max="2060" width="5.08984375" style="2895" customWidth="1"/>
    <col min="2061" max="2061" width="13.81640625" style="2895" customWidth="1"/>
    <col min="2062" max="2304" width="9" style="2895"/>
    <col min="2305" max="2305" width="4.90625" style="2895" customWidth="1"/>
    <col min="2306" max="2306" width="13.1796875" style="2895" customWidth="1"/>
    <col min="2307" max="2307" width="15.6328125" style="2895" customWidth="1"/>
    <col min="2308" max="2308" width="9.36328125" style="2895" bestFit="1" customWidth="1"/>
    <col min="2309" max="2309" width="13.453125" style="2895" customWidth="1"/>
    <col min="2310" max="2310" width="9" style="2895"/>
    <col min="2311" max="2311" width="9.36328125" style="2895" bestFit="1" customWidth="1"/>
    <col min="2312" max="2313" width="9" style="2895"/>
    <col min="2314" max="2314" width="9.36328125" style="2895" bestFit="1" customWidth="1"/>
    <col min="2315" max="2315" width="4" style="2895" customWidth="1"/>
    <col min="2316" max="2316" width="5.08984375" style="2895" customWidth="1"/>
    <col min="2317" max="2317" width="13.81640625" style="2895" customWidth="1"/>
    <col min="2318" max="2560" width="9" style="2895"/>
    <col min="2561" max="2561" width="4.90625" style="2895" customWidth="1"/>
    <col min="2562" max="2562" width="13.1796875" style="2895" customWidth="1"/>
    <col min="2563" max="2563" width="15.6328125" style="2895" customWidth="1"/>
    <col min="2564" max="2564" width="9.36328125" style="2895" bestFit="1" customWidth="1"/>
    <col min="2565" max="2565" width="13.453125" style="2895" customWidth="1"/>
    <col min="2566" max="2566" width="9" style="2895"/>
    <col min="2567" max="2567" width="9.36328125" style="2895" bestFit="1" customWidth="1"/>
    <col min="2568" max="2569" width="9" style="2895"/>
    <col min="2570" max="2570" width="9.36328125" style="2895" bestFit="1" customWidth="1"/>
    <col min="2571" max="2571" width="4" style="2895" customWidth="1"/>
    <col min="2572" max="2572" width="5.08984375" style="2895" customWidth="1"/>
    <col min="2573" max="2573" width="13.81640625" style="2895" customWidth="1"/>
    <col min="2574" max="2816" width="9" style="2895"/>
    <col min="2817" max="2817" width="4.90625" style="2895" customWidth="1"/>
    <col min="2818" max="2818" width="13.1796875" style="2895" customWidth="1"/>
    <col min="2819" max="2819" width="15.6328125" style="2895" customWidth="1"/>
    <col min="2820" max="2820" width="9.36328125" style="2895" bestFit="1" customWidth="1"/>
    <col min="2821" max="2821" width="13.453125" style="2895" customWidth="1"/>
    <col min="2822" max="2822" width="9" style="2895"/>
    <col min="2823" max="2823" width="9.36328125" style="2895" bestFit="1" customWidth="1"/>
    <col min="2824" max="2825" width="9" style="2895"/>
    <col min="2826" max="2826" width="9.36328125" style="2895" bestFit="1" customWidth="1"/>
    <col min="2827" max="2827" width="4" style="2895" customWidth="1"/>
    <col min="2828" max="2828" width="5.08984375" style="2895" customWidth="1"/>
    <col min="2829" max="2829" width="13.81640625" style="2895" customWidth="1"/>
    <col min="2830" max="3072" width="9" style="2895"/>
    <col min="3073" max="3073" width="4.90625" style="2895" customWidth="1"/>
    <col min="3074" max="3074" width="13.1796875" style="2895" customWidth="1"/>
    <col min="3075" max="3075" width="15.6328125" style="2895" customWidth="1"/>
    <col min="3076" max="3076" width="9.36328125" style="2895" bestFit="1" customWidth="1"/>
    <col min="3077" max="3077" width="13.453125" style="2895" customWidth="1"/>
    <col min="3078" max="3078" width="9" style="2895"/>
    <col min="3079" max="3079" width="9.36328125" style="2895" bestFit="1" customWidth="1"/>
    <col min="3080" max="3081" width="9" style="2895"/>
    <col min="3082" max="3082" width="9.36328125" style="2895" bestFit="1" customWidth="1"/>
    <col min="3083" max="3083" width="4" style="2895" customWidth="1"/>
    <col min="3084" max="3084" width="5.08984375" style="2895" customWidth="1"/>
    <col min="3085" max="3085" width="13.81640625" style="2895" customWidth="1"/>
    <col min="3086" max="3328" width="9" style="2895"/>
    <col min="3329" max="3329" width="4.90625" style="2895" customWidth="1"/>
    <col min="3330" max="3330" width="13.1796875" style="2895" customWidth="1"/>
    <col min="3331" max="3331" width="15.6328125" style="2895" customWidth="1"/>
    <col min="3332" max="3332" width="9.36328125" style="2895" bestFit="1" customWidth="1"/>
    <col min="3333" max="3333" width="13.453125" style="2895" customWidth="1"/>
    <col min="3334" max="3334" width="9" style="2895"/>
    <col min="3335" max="3335" width="9.36328125" style="2895" bestFit="1" customWidth="1"/>
    <col min="3336" max="3337" width="9" style="2895"/>
    <col min="3338" max="3338" width="9.36328125" style="2895" bestFit="1" customWidth="1"/>
    <col min="3339" max="3339" width="4" style="2895" customWidth="1"/>
    <col min="3340" max="3340" width="5.08984375" style="2895" customWidth="1"/>
    <col min="3341" max="3341" width="13.81640625" style="2895" customWidth="1"/>
    <col min="3342" max="3584" width="9" style="2895"/>
    <col min="3585" max="3585" width="4.90625" style="2895" customWidth="1"/>
    <col min="3586" max="3586" width="13.1796875" style="2895" customWidth="1"/>
    <col min="3587" max="3587" width="15.6328125" style="2895" customWidth="1"/>
    <col min="3588" max="3588" width="9.36328125" style="2895" bestFit="1" customWidth="1"/>
    <col min="3589" max="3589" width="13.453125" style="2895" customWidth="1"/>
    <col min="3590" max="3590" width="9" style="2895"/>
    <col min="3591" max="3591" width="9.36328125" style="2895" bestFit="1" customWidth="1"/>
    <col min="3592" max="3593" width="9" style="2895"/>
    <col min="3594" max="3594" width="9.36328125" style="2895" bestFit="1" customWidth="1"/>
    <col min="3595" max="3595" width="4" style="2895" customWidth="1"/>
    <col min="3596" max="3596" width="5.08984375" style="2895" customWidth="1"/>
    <col min="3597" max="3597" width="13.81640625" style="2895" customWidth="1"/>
    <col min="3598" max="3840" width="9" style="2895"/>
    <col min="3841" max="3841" width="4.90625" style="2895" customWidth="1"/>
    <col min="3842" max="3842" width="13.1796875" style="2895" customWidth="1"/>
    <col min="3843" max="3843" width="15.6328125" style="2895" customWidth="1"/>
    <col min="3844" max="3844" width="9.36328125" style="2895" bestFit="1" customWidth="1"/>
    <col min="3845" max="3845" width="13.453125" style="2895" customWidth="1"/>
    <col min="3846" max="3846" width="9" style="2895"/>
    <col min="3847" max="3847" width="9.36328125" style="2895" bestFit="1" customWidth="1"/>
    <col min="3848" max="3849" width="9" style="2895"/>
    <col min="3850" max="3850" width="9.36328125" style="2895" bestFit="1" customWidth="1"/>
    <col min="3851" max="3851" width="4" style="2895" customWidth="1"/>
    <col min="3852" max="3852" width="5.08984375" style="2895" customWidth="1"/>
    <col min="3853" max="3853" width="13.81640625" style="2895" customWidth="1"/>
    <col min="3854" max="4096" width="9" style="2895"/>
    <col min="4097" max="4097" width="4.90625" style="2895" customWidth="1"/>
    <col min="4098" max="4098" width="13.1796875" style="2895" customWidth="1"/>
    <col min="4099" max="4099" width="15.6328125" style="2895" customWidth="1"/>
    <col min="4100" max="4100" width="9.36328125" style="2895" bestFit="1" customWidth="1"/>
    <col min="4101" max="4101" width="13.453125" style="2895" customWidth="1"/>
    <col min="4102" max="4102" width="9" style="2895"/>
    <col min="4103" max="4103" width="9.36328125" style="2895" bestFit="1" customWidth="1"/>
    <col min="4104" max="4105" width="9" style="2895"/>
    <col min="4106" max="4106" width="9.36328125" style="2895" bestFit="1" customWidth="1"/>
    <col min="4107" max="4107" width="4" style="2895" customWidth="1"/>
    <col min="4108" max="4108" width="5.08984375" style="2895" customWidth="1"/>
    <col min="4109" max="4109" width="13.81640625" style="2895" customWidth="1"/>
    <col min="4110" max="4352" width="9" style="2895"/>
    <col min="4353" max="4353" width="4.90625" style="2895" customWidth="1"/>
    <col min="4354" max="4354" width="13.1796875" style="2895" customWidth="1"/>
    <col min="4355" max="4355" width="15.6328125" style="2895" customWidth="1"/>
    <col min="4356" max="4356" width="9.36328125" style="2895" bestFit="1" customWidth="1"/>
    <col min="4357" max="4357" width="13.453125" style="2895" customWidth="1"/>
    <col min="4358" max="4358" width="9" style="2895"/>
    <col min="4359" max="4359" width="9.36328125" style="2895" bestFit="1" customWidth="1"/>
    <col min="4360" max="4361" width="9" style="2895"/>
    <col min="4362" max="4362" width="9.36328125" style="2895" bestFit="1" customWidth="1"/>
    <col min="4363" max="4363" width="4" style="2895" customWidth="1"/>
    <col min="4364" max="4364" width="5.08984375" style="2895" customWidth="1"/>
    <col min="4365" max="4365" width="13.81640625" style="2895" customWidth="1"/>
    <col min="4366" max="4608" width="9" style="2895"/>
    <col min="4609" max="4609" width="4.90625" style="2895" customWidth="1"/>
    <col min="4610" max="4610" width="13.1796875" style="2895" customWidth="1"/>
    <col min="4611" max="4611" width="15.6328125" style="2895" customWidth="1"/>
    <col min="4612" max="4612" width="9.36328125" style="2895" bestFit="1" customWidth="1"/>
    <col min="4613" max="4613" width="13.453125" style="2895" customWidth="1"/>
    <col min="4614" max="4614" width="9" style="2895"/>
    <col min="4615" max="4615" width="9.36328125" style="2895" bestFit="1" customWidth="1"/>
    <col min="4616" max="4617" width="9" style="2895"/>
    <col min="4618" max="4618" width="9.36328125" style="2895" bestFit="1" customWidth="1"/>
    <col min="4619" max="4619" width="4" style="2895" customWidth="1"/>
    <col min="4620" max="4620" width="5.08984375" style="2895" customWidth="1"/>
    <col min="4621" max="4621" width="13.81640625" style="2895" customWidth="1"/>
    <col min="4622" max="4864" width="9" style="2895"/>
    <col min="4865" max="4865" width="4.90625" style="2895" customWidth="1"/>
    <col min="4866" max="4866" width="13.1796875" style="2895" customWidth="1"/>
    <col min="4867" max="4867" width="15.6328125" style="2895" customWidth="1"/>
    <col min="4868" max="4868" width="9.36328125" style="2895" bestFit="1" customWidth="1"/>
    <col min="4869" max="4869" width="13.453125" style="2895" customWidth="1"/>
    <col min="4870" max="4870" width="9" style="2895"/>
    <col min="4871" max="4871" width="9.36328125" style="2895" bestFit="1" customWidth="1"/>
    <col min="4872" max="4873" width="9" style="2895"/>
    <col min="4874" max="4874" width="9.36328125" style="2895" bestFit="1" customWidth="1"/>
    <col min="4875" max="4875" width="4" style="2895" customWidth="1"/>
    <col min="4876" max="4876" width="5.08984375" style="2895" customWidth="1"/>
    <col min="4877" max="4877" width="13.81640625" style="2895" customWidth="1"/>
    <col min="4878" max="5120" width="9" style="2895"/>
    <col min="5121" max="5121" width="4.90625" style="2895" customWidth="1"/>
    <col min="5122" max="5122" width="13.1796875" style="2895" customWidth="1"/>
    <col min="5123" max="5123" width="15.6328125" style="2895" customWidth="1"/>
    <col min="5124" max="5124" width="9.36328125" style="2895" bestFit="1" customWidth="1"/>
    <col min="5125" max="5125" width="13.453125" style="2895" customWidth="1"/>
    <col min="5126" max="5126" width="9" style="2895"/>
    <col min="5127" max="5127" width="9.36328125" style="2895" bestFit="1" customWidth="1"/>
    <col min="5128" max="5129" width="9" style="2895"/>
    <col min="5130" max="5130" width="9.36328125" style="2895" bestFit="1" customWidth="1"/>
    <col min="5131" max="5131" width="4" style="2895" customWidth="1"/>
    <col min="5132" max="5132" width="5.08984375" style="2895" customWidth="1"/>
    <col min="5133" max="5133" width="13.81640625" style="2895" customWidth="1"/>
    <col min="5134" max="5376" width="9" style="2895"/>
    <col min="5377" max="5377" width="4.90625" style="2895" customWidth="1"/>
    <col min="5378" max="5378" width="13.1796875" style="2895" customWidth="1"/>
    <col min="5379" max="5379" width="15.6328125" style="2895" customWidth="1"/>
    <col min="5380" max="5380" width="9.36328125" style="2895" bestFit="1" customWidth="1"/>
    <col min="5381" max="5381" width="13.453125" style="2895" customWidth="1"/>
    <col min="5382" max="5382" width="9" style="2895"/>
    <col min="5383" max="5383" width="9.36328125" style="2895" bestFit="1" customWidth="1"/>
    <col min="5384" max="5385" width="9" style="2895"/>
    <col min="5386" max="5386" width="9.36328125" style="2895" bestFit="1" customWidth="1"/>
    <col min="5387" max="5387" width="4" style="2895" customWidth="1"/>
    <col min="5388" max="5388" width="5.08984375" style="2895" customWidth="1"/>
    <col min="5389" max="5389" width="13.81640625" style="2895" customWidth="1"/>
    <col min="5390" max="5632" width="9" style="2895"/>
    <col min="5633" max="5633" width="4.90625" style="2895" customWidth="1"/>
    <col min="5634" max="5634" width="13.1796875" style="2895" customWidth="1"/>
    <col min="5635" max="5635" width="15.6328125" style="2895" customWidth="1"/>
    <col min="5636" max="5636" width="9.36328125" style="2895" bestFit="1" customWidth="1"/>
    <col min="5637" max="5637" width="13.453125" style="2895" customWidth="1"/>
    <col min="5638" max="5638" width="9" style="2895"/>
    <col min="5639" max="5639" width="9.36328125" style="2895" bestFit="1" customWidth="1"/>
    <col min="5640" max="5641" width="9" style="2895"/>
    <col min="5642" max="5642" width="9.36328125" style="2895" bestFit="1" customWidth="1"/>
    <col min="5643" max="5643" width="4" style="2895" customWidth="1"/>
    <col min="5644" max="5644" width="5.08984375" style="2895" customWidth="1"/>
    <col min="5645" max="5645" width="13.81640625" style="2895" customWidth="1"/>
    <col min="5646" max="5888" width="9" style="2895"/>
    <col min="5889" max="5889" width="4.90625" style="2895" customWidth="1"/>
    <col min="5890" max="5890" width="13.1796875" style="2895" customWidth="1"/>
    <col min="5891" max="5891" width="15.6328125" style="2895" customWidth="1"/>
    <col min="5892" max="5892" width="9.36328125" style="2895" bestFit="1" customWidth="1"/>
    <col min="5893" max="5893" width="13.453125" style="2895" customWidth="1"/>
    <col min="5894" max="5894" width="9" style="2895"/>
    <col min="5895" max="5895" width="9.36328125" style="2895" bestFit="1" customWidth="1"/>
    <col min="5896" max="5897" width="9" style="2895"/>
    <col min="5898" max="5898" width="9.36328125" style="2895" bestFit="1" customWidth="1"/>
    <col min="5899" max="5899" width="4" style="2895" customWidth="1"/>
    <col min="5900" max="5900" width="5.08984375" style="2895" customWidth="1"/>
    <col min="5901" max="5901" width="13.81640625" style="2895" customWidth="1"/>
    <col min="5902" max="6144" width="9" style="2895"/>
    <col min="6145" max="6145" width="4.90625" style="2895" customWidth="1"/>
    <col min="6146" max="6146" width="13.1796875" style="2895" customWidth="1"/>
    <col min="6147" max="6147" width="15.6328125" style="2895" customWidth="1"/>
    <col min="6148" max="6148" width="9.36328125" style="2895" bestFit="1" customWidth="1"/>
    <col min="6149" max="6149" width="13.453125" style="2895" customWidth="1"/>
    <col min="6150" max="6150" width="9" style="2895"/>
    <col min="6151" max="6151" width="9.36328125" style="2895" bestFit="1" customWidth="1"/>
    <col min="6152" max="6153" width="9" style="2895"/>
    <col min="6154" max="6154" width="9.36328125" style="2895" bestFit="1" customWidth="1"/>
    <col min="6155" max="6155" width="4" style="2895" customWidth="1"/>
    <col min="6156" max="6156" width="5.08984375" style="2895" customWidth="1"/>
    <col min="6157" max="6157" width="13.81640625" style="2895" customWidth="1"/>
    <col min="6158" max="6400" width="9" style="2895"/>
    <col min="6401" max="6401" width="4.90625" style="2895" customWidth="1"/>
    <col min="6402" max="6402" width="13.1796875" style="2895" customWidth="1"/>
    <col min="6403" max="6403" width="15.6328125" style="2895" customWidth="1"/>
    <col min="6404" max="6404" width="9.36328125" style="2895" bestFit="1" customWidth="1"/>
    <col min="6405" max="6405" width="13.453125" style="2895" customWidth="1"/>
    <col min="6406" max="6406" width="9" style="2895"/>
    <col min="6407" max="6407" width="9.36328125" style="2895" bestFit="1" customWidth="1"/>
    <col min="6408" max="6409" width="9" style="2895"/>
    <col min="6410" max="6410" width="9.36328125" style="2895" bestFit="1" customWidth="1"/>
    <col min="6411" max="6411" width="4" style="2895" customWidth="1"/>
    <col min="6412" max="6412" width="5.08984375" style="2895" customWidth="1"/>
    <col min="6413" max="6413" width="13.81640625" style="2895" customWidth="1"/>
    <col min="6414" max="6656" width="9" style="2895"/>
    <col min="6657" max="6657" width="4.90625" style="2895" customWidth="1"/>
    <col min="6658" max="6658" width="13.1796875" style="2895" customWidth="1"/>
    <col min="6659" max="6659" width="15.6328125" style="2895" customWidth="1"/>
    <col min="6660" max="6660" width="9.36328125" style="2895" bestFit="1" customWidth="1"/>
    <col min="6661" max="6661" width="13.453125" style="2895" customWidth="1"/>
    <col min="6662" max="6662" width="9" style="2895"/>
    <col min="6663" max="6663" width="9.36328125" style="2895" bestFit="1" customWidth="1"/>
    <col min="6664" max="6665" width="9" style="2895"/>
    <col min="6666" max="6666" width="9.36328125" style="2895" bestFit="1" customWidth="1"/>
    <col min="6667" max="6667" width="4" style="2895" customWidth="1"/>
    <col min="6668" max="6668" width="5.08984375" style="2895" customWidth="1"/>
    <col min="6669" max="6669" width="13.81640625" style="2895" customWidth="1"/>
    <col min="6670" max="6912" width="9" style="2895"/>
    <col min="6913" max="6913" width="4.90625" style="2895" customWidth="1"/>
    <col min="6914" max="6914" width="13.1796875" style="2895" customWidth="1"/>
    <col min="6915" max="6915" width="15.6328125" style="2895" customWidth="1"/>
    <col min="6916" max="6916" width="9.36328125" style="2895" bestFit="1" customWidth="1"/>
    <col min="6917" max="6917" width="13.453125" style="2895" customWidth="1"/>
    <col min="6918" max="6918" width="9" style="2895"/>
    <col min="6919" max="6919" width="9.36328125" style="2895" bestFit="1" customWidth="1"/>
    <col min="6920" max="6921" width="9" style="2895"/>
    <col min="6922" max="6922" width="9.36328125" style="2895" bestFit="1" customWidth="1"/>
    <col min="6923" max="6923" width="4" style="2895" customWidth="1"/>
    <col min="6924" max="6924" width="5.08984375" style="2895" customWidth="1"/>
    <col min="6925" max="6925" width="13.81640625" style="2895" customWidth="1"/>
    <col min="6926" max="7168" width="9" style="2895"/>
    <col min="7169" max="7169" width="4.90625" style="2895" customWidth="1"/>
    <col min="7170" max="7170" width="13.1796875" style="2895" customWidth="1"/>
    <col min="7171" max="7171" width="15.6328125" style="2895" customWidth="1"/>
    <col min="7172" max="7172" width="9.36328125" style="2895" bestFit="1" customWidth="1"/>
    <col min="7173" max="7173" width="13.453125" style="2895" customWidth="1"/>
    <col min="7174" max="7174" width="9" style="2895"/>
    <col min="7175" max="7175" width="9.36328125" style="2895" bestFit="1" customWidth="1"/>
    <col min="7176" max="7177" width="9" style="2895"/>
    <col min="7178" max="7178" width="9.36328125" style="2895" bestFit="1" customWidth="1"/>
    <col min="7179" max="7179" width="4" style="2895" customWidth="1"/>
    <col min="7180" max="7180" width="5.08984375" style="2895" customWidth="1"/>
    <col min="7181" max="7181" width="13.81640625" style="2895" customWidth="1"/>
    <col min="7182" max="7424" width="9" style="2895"/>
    <col min="7425" max="7425" width="4.90625" style="2895" customWidth="1"/>
    <col min="7426" max="7426" width="13.1796875" style="2895" customWidth="1"/>
    <col min="7427" max="7427" width="15.6328125" style="2895" customWidth="1"/>
    <col min="7428" max="7428" width="9.36328125" style="2895" bestFit="1" customWidth="1"/>
    <col min="7429" max="7429" width="13.453125" style="2895" customWidth="1"/>
    <col min="7430" max="7430" width="9" style="2895"/>
    <col min="7431" max="7431" width="9.36328125" style="2895" bestFit="1" customWidth="1"/>
    <col min="7432" max="7433" width="9" style="2895"/>
    <col min="7434" max="7434" width="9.36328125" style="2895" bestFit="1" customWidth="1"/>
    <col min="7435" max="7435" width="4" style="2895" customWidth="1"/>
    <col min="7436" max="7436" width="5.08984375" style="2895" customWidth="1"/>
    <col min="7437" max="7437" width="13.81640625" style="2895" customWidth="1"/>
    <col min="7438" max="7680" width="9" style="2895"/>
    <col min="7681" max="7681" width="4.90625" style="2895" customWidth="1"/>
    <col min="7682" max="7682" width="13.1796875" style="2895" customWidth="1"/>
    <col min="7683" max="7683" width="15.6328125" style="2895" customWidth="1"/>
    <col min="7684" max="7684" width="9.36328125" style="2895" bestFit="1" customWidth="1"/>
    <col min="7685" max="7685" width="13.453125" style="2895" customWidth="1"/>
    <col min="7686" max="7686" width="9" style="2895"/>
    <col min="7687" max="7687" width="9.36328125" style="2895" bestFit="1" customWidth="1"/>
    <col min="7688" max="7689" width="9" style="2895"/>
    <col min="7690" max="7690" width="9.36328125" style="2895" bestFit="1" customWidth="1"/>
    <col min="7691" max="7691" width="4" style="2895" customWidth="1"/>
    <col min="7692" max="7692" width="5.08984375" style="2895" customWidth="1"/>
    <col min="7693" max="7693" width="13.81640625" style="2895" customWidth="1"/>
    <col min="7694" max="7936" width="9" style="2895"/>
    <col min="7937" max="7937" width="4.90625" style="2895" customWidth="1"/>
    <col min="7938" max="7938" width="13.1796875" style="2895" customWidth="1"/>
    <col min="7939" max="7939" width="15.6328125" style="2895" customWidth="1"/>
    <col min="7940" max="7940" width="9.36328125" style="2895" bestFit="1" customWidth="1"/>
    <col min="7941" max="7941" width="13.453125" style="2895" customWidth="1"/>
    <col min="7942" max="7942" width="9" style="2895"/>
    <col min="7943" max="7943" width="9.36328125" style="2895" bestFit="1" customWidth="1"/>
    <col min="7944" max="7945" width="9" style="2895"/>
    <col min="7946" max="7946" width="9.36328125" style="2895" bestFit="1" customWidth="1"/>
    <col min="7947" max="7947" width="4" style="2895" customWidth="1"/>
    <col min="7948" max="7948" width="5.08984375" style="2895" customWidth="1"/>
    <col min="7949" max="7949" width="13.81640625" style="2895" customWidth="1"/>
    <col min="7950" max="8192" width="9" style="2895"/>
    <col min="8193" max="8193" width="4.90625" style="2895" customWidth="1"/>
    <col min="8194" max="8194" width="13.1796875" style="2895" customWidth="1"/>
    <col min="8195" max="8195" width="15.6328125" style="2895" customWidth="1"/>
    <col min="8196" max="8196" width="9.36328125" style="2895" bestFit="1" customWidth="1"/>
    <col min="8197" max="8197" width="13.453125" style="2895" customWidth="1"/>
    <col min="8198" max="8198" width="9" style="2895"/>
    <col min="8199" max="8199" width="9.36328125" style="2895" bestFit="1" customWidth="1"/>
    <col min="8200" max="8201" width="9" style="2895"/>
    <col min="8202" max="8202" width="9.36328125" style="2895" bestFit="1" customWidth="1"/>
    <col min="8203" max="8203" width="4" style="2895" customWidth="1"/>
    <col min="8204" max="8204" width="5.08984375" style="2895" customWidth="1"/>
    <col min="8205" max="8205" width="13.81640625" style="2895" customWidth="1"/>
    <col min="8206" max="8448" width="9" style="2895"/>
    <col min="8449" max="8449" width="4.90625" style="2895" customWidth="1"/>
    <col min="8450" max="8450" width="13.1796875" style="2895" customWidth="1"/>
    <col min="8451" max="8451" width="15.6328125" style="2895" customWidth="1"/>
    <col min="8452" max="8452" width="9.36328125" style="2895" bestFit="1" customWidth="1"/>
    <col min="8453" max="8453" width="13.453125" style="2895" customWidth="1"/>
    <col min="8454" max="8454" width="9" style="2895"/>
    <col min="8455" max="8455" width="9.36328125" style="2895" bestFit="1" customWidth="1"/>
    <col min="8456" max="8457" width="9" style="2895"/>
    <col min="8458" max="8458" width="9.36328125" style="2895" bestFit="1" customWidth="1"/>
    <col min="8459" max="8459" width="4" style="2895" customWidth="1"/>
    <col min="8460" max="8460" width="5.08984375" style="2895" customWidth="1"/>
    <col min="8461" max="8461" width="13.81640625" style="2895" customWidth="1"/>
    <col min="8462" max="8704" width="9" style="2895"/>
    <col min="8705" max="8705" width="4.90625" style="2895" customWidth="1"/>
    <col min="8706" max="8706" width="13.1796875" style="2895" customWidth="1"/>
    <col min="8707" max="8707" width="15.6328125" style="2895" customWidth="1"/>
    <col min="8708" max="8708" width="9.36328125" style="2895" bestFit="1" customWidth="1"/>
    <col min="8709" max="8709" width="13.453125" style="2895" customWidth="1"/>
    <col min="8710" max="8710" width="9" style="2895"/>
    <col min="8711" max="8711" width="9.36328125" style="2895" bestFit="1" customWidth="1"/>
    <col min="8712" max="8713" width="9" style="2895"/>
    <col min="8714" max="8714" width="9.36328125" style="2895" bestFit="1" customWidth="1"/>
    <col min="8715" max="8715" width="4" style="2895" customWidth="1"/>
    <col min="8716" max="8716" width="5.08984375" style="2895" customWidth="1"/>
    <col min="8717" max="8717" width="13.81640625" style="2895" customWidth="1"/>
    <col min="8718" max="8960" width="9" style="2895"/>
    <col min="8961" max="8961" width="4.90625" style="2895" customWidth="1"/>
    <col min="8962" max="8962" width="13.1796875" style="2895" customWidth="1"/>
    <col min="8963" max="8963" width="15.6328125" style="2895" customWidth="1"/>
    <col min="8964" max="8964" width="9.36328125" style="2895" bestFit="1" customWidth="1"/>
    <col min="8965" max="8965" width="13.453125" style="2895" customWidth="1"/>
    <col min="8966" max="8966" width="9" style="2895"/>
    <col min="8967" max="8967" width="9.36328125" style="2895" bestFit="1" customWidth="1"/>
    <col min="8968" max="8969" width="9" style="2895"/>
    <col min="8970" max="8970" width="9.36328125" style="2895" bestFit="1" customWidth="1"/>
    <col min="8971" max="8971" width="4" style="2895" customWidth="1"/>
    <col min="8972" max="8972" width="5.08984375" style="2895" customWidth="1"/>
    <col min="8973" max="8973" width="13.81640625" style="2895" customWidth="1"/>
    <col min="8974" max="9216" width="9" style="2895"/>
    <col min="9217" max="9217" width="4.90625" style="2895" customWidth="1"/>
    <col min="9218" max="9218" width="13.1796875" style="2895" customWidth="1"/>
    <col min="9219" max="9219" width="15.6328125" style="2895" customWidth="1"/>
    <col min="9220" max="9220" width="9.36328125" style="2895" bestFit="1" customWidth="1"/>
    <col min="9221" max="9221" width="13.453125" style="2895" customWidth="1"/>
    <col min="9222" max="9222" width="9" style="2895"/>
    <col min="9223" max="9223" width="9.36328125" style="2895" bestFit="1" customWidth="1"/>
    <col min="9224" max="9225" width="9" style="2895"/>
    <col min="9226" max="9226" width="9.36328125" style="2895" bestFit="1" customWidth="1"/>
    <col min="9227" max="9227" width="4" style="2895" customWidth="1"/>
    <col min="9228" max="9228" width="5.08984375" style="2895" customWidth="1"/>
    <col min="9229" max="9229" width="13.81640625" style="2895" customWidth="1"/>
    <col min="9230" max="9472" width="9" style="2895"/>
    <col min="9473" max="9473" width="4.90625" style="2895" customWidth="1"/>
    <col min="9474" max="9474" width="13.1796875" style="2895" customWidth="1"/>
    <col min="9475" max="9475" width="15.6328125" style="2895" customWidth="1"/>
    <col min="9476" max="9476" width="9.36328125" style="2895" bestFit="1" customWidth="1"/>
    <col min="9477" max="9477" width="13.453125" style="2895" customWidth="1"/>
    <col min="9478" max="9478" width="9" style="2895"/>
    <col min="9479" max="9479" width="9.36328125" style="2895" bestFit="1" customWidth="1"/>
    <col min="9480" max="9481" width="9" style="2895"/>
    <col min="9482" max="9482" width="9.36328125" style="2895" bestFit="1" customWidth="1"/>
    <col min="9483" max="9483" width="4" style="2895" customWidth="1"/>
    <col min="9484" max="9484" width="5.08984375" style="2895" customWidth="1"/>
    <col min="9485" max="9485" width="13.81640625" style="2895" customWidth="1"/>
    <col min="9486" max="9728" width="9" style="2895"/>
    <col min="9729" max="9729" width="4.90625" style="2895" customWidth="1"/>
    <col min="9730" max="9730" width="13.1796875" style="2895" customWidth="1"/>
    <col min="9731" max="9731" width="15.6328125" style="2895" customWidth="1"/>
    <col min="9732" max="9732" width="9.36328125" style="2895" bestFit="1" customWidth="1"/>
    <col min="9733" max="9733" width="13.453125" style="2895" customWidth="1"/>
    <col min="9734" max="9734" width="9" style="2895"/>
    <col min="9735" max="9735" width="9.36328125" style="2895" bestFit="1" customWidth="1"/>
    <col min="9736" max="9737" width="9" style="2895"/>
    <col min="9738" max="9738" width="9.36328125" style="2895" bestFit="1" customWidth="1"/>
    <col min="9739" max="9739" width="4" style="2895" customWidth="1"/>
    <col min="9740" max="9740" width="5.08984375" style="2895" customWidth="1"/>
    <col min="9741" max="9741" width="13.81640625" style="2895" customWidth="1"/>
    <col min="9742" max="9984" width="9" style="2895"/>
    <col min="9985" max="9985" width="4.90625" style="2895" customWidth="1"/>
    <col min="9986" max="9986" width="13.1796875" style="2895" customWidth="1"/>
    <col min="9987" max="9987" width="15.6328125" style="2895" customWidth="1"/>
    <col min="9988" max="9988" width="9.36328125" style="2895" bestFit="1" customWidth="1"/>
    <col min="9989" max="9989" width="13.453125" style="2895" customWidth="1"/>
    <col min="9990" max="9990" width="9" style="2895"/>
    <col min="9991" max="9991" width="9.36328125" style="2895" bestFit="1" customWidth="1"/>
    <col min="9992" max="9993" width="9" style="2895"/>
    <col min="9994" max="9994" width="9.36328125" style="2895" bestFit="1" customWidth="1"/>
    <col min="9995" max="9995" width="4" style="2895" customWidth="1"/>
    <col min="9996" max="9996" width="5.08984375" style="2895" customWidth="1"/>
    <col min="9997" max="9997" width="13.81640625" style="2895" customWidth="1"/>
    <col min="9998" max="10240" width="9" style="2895"/>
    <col min="10241" max="10241" width="4.90625" style="2895" customWidth="1"/>
    <col min="10242" max="10242" width="13.1796875" style="2895" customWidth="1"/>
    <col min="10243" max="10243" width="15.6328125" style="2895" customWidth="1"/>
    <col min="10244" max="10244" width="9.36328125" style="2895" bestFit="1" customWidth="1"/>
    <col min="10245" max="10245" width="13.453125" style="2895" customWidth="1"/>
    <col min="10246" max="10246" width="9" style="2895"/>
    <col min="10247" max="10247" width="9.36328125" style="2895" bestFit="1" customWidth="1"/>
    <col min="10248" max="10249" width="9" style="2895"/>
    <col min="10250" max="10250" width="9.36328125" style="2895" bestFit="1" customWidth="1"/>
    <col min="10251" max="10251" width="4" style="2895" customWidth="1"/>
    <col min="10252" max="10252" width="5.08984375" style="2895" customWidth="1"/>
    <col min="10253" max="10253" width="13.81640625" style="2895" customWidth="1"/>
    <col min="10254" max="10496" width="9" style="2895"/>
    <col min="10497" max="10497" width="4.90625" style="2895" customWidth="1"/>
    <col min="10498" max="10498" width="13.1796875" style="2895" customWidth="1"/>
    <col min="10499" max="10499" width="15.6328125" style="2895" customWidth="1"/>
    <col min="10500" max="10500" width="9.36328125" style="2895" bestFit="1" customWidth="1"/>
    <col min="10501" max="10501" width="13.453125" style="2895" customWidth="1"/>
    <col min="10502" max="10502" width="9" style="2895"/>
    <col min="10503" max="10503" width="9.36328125" style="2895" bestFit="1" customWidth="1"/>
    <col min="10504" max="10505" width="9" style="2895"/>
    <col min="10506" max="10506" width="9.36328125" style="2895" bestFit="1" customWidth="1"/>
    <col min="10507" max="10507" width="4" style="2895" customWidth="1"/>
    <col min="10508" max="10508" width="5.08984375" style="2895" customWidth="1"/>
    <col min="10509" max="10509" width="13.81640625" style="2895" customWidth="1"/>
    <col min="10510" max="10752" width="9" style="2895"/>
    <col min="10753" max="10753" width="4.90625" style="2895" customWidth="1"/>
    <col min="10754" max="10754" width="13.1796875" style="2895" customWidth="1"/>
    <col min="10755" max="10755" width="15.6328125" style="2895" customWidth="1"/>
    <col min="10756" max="10756" width="9.36328125" style="2895" bestFit="1" customWidth="1"/>
    <col min="10757" max="10757" width="13.453125" style="2895" customWidth="1"/>
    <col min="10758" max="10758" width="9" style="2895"/>
    <col min="10759" max="10759" width="9.36328125" style="2895" bestFit="1" customWidth="1"/>
    <col min="10760" max="10761" width="9" style="2895"/>
    <col min="10762" max="10762" width="9.36328125" style="2895" bestFit="1" customWidth="1"/>
    <col min="10763" max="10763" width="4" style="2895" customWidth="1"/>
    <col min="10764" max="10764" width="5.08984375" style="2895" customWidth="1"/>
    <col min="10765" max="10765" width="13.81640625" style="2895" customWidth="1"/>
    <col min="10766" max="11008" width="9" style="2895"/>
    <col min="11009" max="11009" width="4.90625" style="2895" customWidth="1"/>
    <col min="11010" max="11010" width="13.1796875" style="2895" customWidth="1"/>
    <col min="11011" max="11011" width="15.6328125" style="2895" customWidth="1"/>
    <col min="11012" max="11012" width="9.36328125" style="2895" bestFit="1" customWidth="1"/>
    <col min="11013" max="11013" width="13.453125" style="2895" customWidth="1"/>
    <col min="11014" max="11014" width="9" style="2895"/>
    <col min="11015" max="11015" width="9.36328125" style="2895" bestFit="1" customWidth="1"/>
    <col min="11016" max="11017" width="9" style="2895"/>
    <col min="11018" max="11018" width="9.36328125" style="2895" bestFit="1" customWidth="1"/>
    <col min="11019" max="11019" width="4" style="2895" customWidth="1"/>
    <col min="11020" max="11020" width="5.08984375" style="2895" customWidth="1"/>
    <col min="11021" max="11021" width="13.81640625" style="2895" customWidth="1"/>
    <col min="11022" max="11264" width="9" style="2895"/>
    <col min="11265" max="11265" width="4.90625" style="2895" customWidth="1"/>
    <col min="11266" max="11266" width="13.1796875" style="2895" customWidth="1"/>
    <col min="11267" max="11267" width="15.6328125" style="2895" customWidth="1"/>
    <col min="11268" max="11268" width="9.36328125" style="2895" bestFit="1" customWidth="1"/>
    <col min="11269" max="11269" width="13.453125" style="2895" customWidth="1"/>
    <col min="11270" max="11270" width="9" style="2895"/>
    <col min="11271" max="11271" width="9.36328125" style="2895" bestFit="1" customWidth="1"/>
    <col min="11272" max="11273" width="9" style="2895"/>
    <col min="11274" max="11274" width="9.36328125" style="2895" bestFit="1" customWidth="1"/>
    <col min="11275" max="11275" width="4" style="2895" customWidth="1"/>
    <col min="11276" max="11276" width="5.08984375" style="2895" customWidth="1"/>
    <col min="11277" max="11277" width="13.81640625" style="2895" customWidth="1"/>
    <col min="11278" max="11520" width="9" style="2895"/>
    <col min="11521" max="11521" width="4.90625" style="2895" customWidth="1"/>
    <col min="11522" max="11522" width="13.1796875" style="2895" customWidth="1"/>
    <col min="11523" max="11523" width="15.6328125" style="2895" customWidth="1"/>
    <col min="11524" max="11524" width="9.36328125" style="2895" bestFit="1" customWidth="1"/>
    <col min="11525" max="11525" width="13.453125" style="2895" customWidth="1"/>
    <col min="11526" max="11526" width="9" style="2895"/>
    <col min="11527" max="11527" width="9.36328125" style="2895" bestFit="1" customWidth="1"/>
    <col min="11528" max="11529" width="9" style="2895"/>
    <col min="11530" max="11530" width="9.36328125" style="2895" bestFit="1" customWidth="1"/>
    <col min="11531" max="11531" width="4" style="2895" customWidth="1"/>
    <col min="11532" max="11532" width="5.08984375" style="2895" customWidth="1"/>
    <col min="11533" max="11533" width="13.81640625" style="2895" customWidth="1"/>
    <col min="11534" max="11776" width="9" style="2895"/>
    <col min="11777" max="11777" width="4.90625" style="2895" customWidth="1"/>
    <col min="11778" max="11778" width="13.1796875" style="2895" customWidth="1"/>
    <col min="11779" max="11779" width="15.6328125" style="2895" customWidth="1"/>
    <col min="11780" max="11780" width="9.36328125" style="2895" bestFit="1" customWidth="1"/>
    <col min="11781" max="11781" width="13.453125" style="2895" customWidth="1"/>
    <col min="11782" max="11782" width="9" style="2895"/>
    <col min="11783" max="11783" width="9.36328125" style="2895" bestFit="1" customWidth="1"/>
    <col min="11784" max="11785" width="9" style="2895"/>
    <col min="11786" max="11786" width="9.36328125" style="2895" bestFit="1" customWidth="1"/>
    <col min="11787" max="11787" width="4" style="2895" customWidth="1"/>
    <col min="11788" max="11788" width="5.08984375" style="2895" customWidth="1"/>
    <col min="11789" max="11789" width="13.81640625" style="2895" customWidth="1"/>
    <col min="11790" max="12032" width="9" style="2895"/>
    <col min="12033" max="12033" width="4.90625" style="2895" customWidth="1"/>
    <col min="12034" max="12034" width="13.1796875" style="2895" customWidth="1"/>
    <col min="12035" max="12035" width="15.6328125" style="2895" customWidth="1"/>
    <col min="12036" max="12036" width="9.36328125" style="2895" bestFit="1" customWidth="1"/>
    <col min="12037" max="12037" width="13.453125" style="2895" customWidth="1"/>
    <col min="12038" max="12038" width="9" style="2895"/>
    <col min="12039" max="12039" width="9.36328125" style="2895" bestFit="1" customWidth="1"/>
    <col min="12040" max="12041" width="9" style="2895"/>
    <col min="12042" max="12042" width="9.36328125" style="2895" bestFit="1" customWidth="1"/>
    <col min="12043" max="12043" width="4" style="2895" customWidth="1"/>
    <col min="12044" max="12044" width="5.08984375" style="2895" customWidth="1"/>
    <col min="12045" max="12045" width="13.81640625" style="2895" customWidth="1"/>
    <col min="12046" max="12288" width="9" style="2895"/>
    <col min="12289" max="12289" width="4.90625" style="2895" customWidth="1"/>
    <col min="12290" max="12290" width="13.1796875" style="2895" customWidth="1"/>
    <col min="12291" max="12291" width="15.6328125" style="2895" customWidth="1"/>
    <col min="12292" max="12292" width="9.36328125" style="2895" bestFit="1" customWidth="1"/>
    <col min="12293" max="12293" width="13.453125" style="2895" customWidth="1"/>
    <col min="12294" max="12294" width="9" style="2895"/>
    <col min="12295" max="12295" width="9.36328125" style="2895" bestFit="1" customWidth="1"/>
    <col min="12296" max="12297" width="9" style="2895"/>
    <col min="12298" max="12298" width="9.36328125" style="2895" bestFit="1" customWidth="1"/>
    <col min="12299" max="12299" width="4" style="2895" customWidth="1"/>
    <col min="12300" max="12300" width="5.08984375" style="2895" customWidth="1"/>
    <col min="12301" max="12301" width="13.81640625" style="2895" customWidth="1"/>
    <col min="12302" max="12544" width="9" style="2895"/>
    <col min="12545" max="12545" width="4.90625" style="2895" customWidth="1"/>
    <col min="12546" max="12546" width="13.1796875" style="2895" customWidth="1"/>
    <col min="12547" max="12547" width="15.6328125" style="2895" customWidth="1"/>
    <col min="12548" max="12548" width="9.36328125" style="2895" bestFit="1" customWidth="1"/>
    <col min="12549" max="12549" width="13.453125" style="2895" customWidth="1"/>
    <col min="12550" max="12550" width="9" style="2895"/>
    <col min="12551" max="12551" width="9.36328125" style="2895" bestFit="1" customWidth="1"/>
    <col min="12552" max="12553" width="9" style="2895"/>
    <col min="12554" max="12554" width="9.36328125" style="2895" bestFit="1" customWidth="1"/>
    <col min="12555" max="12555" width="4" style="2895" customWidth="1"/>
    <col min="12556" max="12556" width="5.08984375" style="2895" customWidth="1"/>
    <col min="12557" max="12557" width="13.81640625" style="2895" customWidth="1"/>
    <col min="12558" max="12800" width="9" style="2895"/>
    <col min="12801" max="12801" width="4.90625" style="2895" customWidth="1"/>
    <col min="12802" max="12802" width="13.1796875" style="2895" customWidth="1"/>
    <col min="12803" max="12803" width="15.6328125" style="2895" customWidth="1"/>
    <col min="12804" max="12804" width="9.36328125" style="2895" bestFit="1" customWidth="1"/>
    <col min="12805" max="12805" width="13.453125" style="2895" customWidth="1"/>
    <col min="12806" max="12806" width="9" style="2895"/>
    <col min="12807" max="12807" width="9.36328125" style="2895" bestFit="1" customWidth="1"/>
    <col min="12808" max="12809" width="9" style="2895"/>
    <col min="12810" max="12810" width="9.36328125" style="2895" bestFit="1" customWidth="1"/>
    <col min="12811" max="12811" width="4" style="2895" customWidth="1"/>
    <col min="12812" max="12812" width="5.08984375" style="2895" customWidth="1"/>
    <col min="12813" max="12813" width="13.81640625" style="2895" customWidth="1"/>
    <col min="12814" max="13056" width="9" style="2895"/>
    <col min="13057" max="13057" width="4.90625" style="2895" customWidth="1"/>
    <col min="13058" max="13058" width="13.1796875" style="2895" customWidth="1"/>
    <col min="13059" max="13059" width="15.6328125" style="2895" customWidth="1"/>
    <col min="13060" max="13060" width="9.36328125" style="2895" bestFit="1" customWidth="1"/>
    <col min="13061" max="13061" width="13.453125" style="2895" customWidth="1"/>
    <col min="13062" max="13062" width="9" style="2895"/>
    <col min="13063" max="13063" width="9.36328125" style="2895" bestFit="1" customWidth="1"/>
    <col min="13064" max="13065" width="9" style="2895"/>
    <col min="13066" max="13066" width="9.36328125" style="2895" bestFit="1" customWidth="1"/>
    <col min="13067" max="13067" width="4" style="2895" customWidth="1"/>
    <col min="13068" max="13068" width="5.08984375" style="2895" customWidth="1"/>
    <col min="13069" max="13069" width="13.81640625" style="2895" customWidth="1"/>
    <col min="13070" max="13312" width="9" style="2895"/>
    <col min="13313" max="13313" width="4.90625" style="2895" customWidth="1"/>
    <col min="13314" max="13314" width="13.1796875" style="2895" customWidth="1"/>
    <col min="13315" max="13315" width="15.6328125" style="2895" customWidth="1"/>
    <col min="13316" max="13316" width="9.36328125" style="2895" bestFit="1" customWidth="1"/>
    <col min="13317" max="13317" width="13.453125" style="2895" customWidth="1"/>
    <col min="13318" max="13318" width="9" style="2895"/>
    <col min="13319" max="13319" width="9.36328125" style="2895" bestFit="1" customWidth="1"/>
    <col min="13320" max="13321" width="9" style="2895"/>
    <col min="13322" max="13322" width="9.36328125" style="2895" bestFit="1" customWidth="1"/>
    <col min="13323" max="13323" width="4" style="2895" customWidth="1"/>
    <col min="13324" max="13324" width="5.08984375" style="2895" customWidth="1"/>
    <col min="13325" max="13325" width="13.81640625" style="2895" customWidth="1"/>
    <col min="13326" max="13568" width="9" style="2895"/>
    <col min="13569" max="13569" width="4.90625" style="2895" customWidth="1"/>
    <col min="13570" max="13570" width="13.1796875" style="2895" customWidth="1"/>
    <col min="13571" max="13571" width="15.6328125" style="2895" customWidth="1"/>
    <col min="13572" max="13572" width="9.36328125" style="2895" bestFit="1" customWidth="1"/>
    <col min="13573" max="13573" width="13.453125" style="2895" customWidth="1"/>
    <col min="13574" max="13574" width="9" style="2895"/>
    <col min="13575" max="13575" width="9.36328125" style="2895" bestFit="1" customWidth="1"/>
    <col min="13576" max="13577" width="9" style="2895"/>
    <col min="13578" max="13578" width="9.36328125" style="2895" bestFit="1" customWidth="1"/>
    <col min="13579" max="13579" width="4" style="2895" customWidth="1"/>
    <col min="13580" max="13580" width="5.08984375" style="2895" customWidth="1"/>
    <col min="13581" max="13581" width="13.81640625" style="2895" customWidth="1"/>
    <col min="13582" max="13824" width="9" style="2895"/>
    <col min="13825" max="13825" width="4.90625" style="2895" customWidth="1"/>
    <col min="13826" max="13826" width="13.1796875" style="2895" customWidth="1"/>
    <col min="13827" max="13827" width="15.6328125" style="2895" customWidth="1"/>
    <col min="13828" max="13828" width="9.36328125" style="2895" bestFit="1" customWidth="1"/>
    <col min="13829" max="13829" width="13.453125" style="2895" customWidth="1"/>
    <col min="13830" max="13830" width="9" style="2895"/>
    <col min="13831" max="13831" width="9.36328125" style="2895" bestFit="1" customWidth="1"/>
    <col min="13832" max="13833" width="9" style="2895"/>
    <col min="13834" max="13834" width="9.36328125" style="2895" bestFit="1" customWidth="1"/>
    <col min="13835" max="13835" width="4" style="2895" customWidth="1"/>
    <col min="13836" max="13836" width="5.08984375" style="2895" customWidth="1"/>
    <col min="13837" max="13837" width="13.81640625" style="2895" customWidth="1"/>
    <col min="13838" max="14080" width="9" style="2895"/>
    <col min="14081" max="14081" width="4.90625" style="2895" customWidth="1"/>
    <col min="14082" max="14082" width="13.1796875" style="2895" customWidth="1"/>
    <col min="14083" max="14083" width="15.6328125" style="2895" customWidth="1"/>
    <col min="14084" max="14084" width="9.36328125" style="2895" bestFit="1" customWidth="1"/>
    <col min="14085" max="14085" width="13.453125" style="2895" customWidth="1"/>
    <col min="14086" max="14086" width="9" style="2895"/>
    <col min="14087" max="14087" width="9.36328125" style="2895" bestFit="1" customWidth="1"/>
    <col min="14088" max="14089" width="9" style="2895"/>
    <col min="14090" max="14090" width="9.36328125" style="2895" bestFit="1" customWidth="1"/>
    <col min="14091" max="14091" width="4" style="2895" customWidth="1"/>
    <col min="14092" max="14092" width="5.08984375" style="2895" customWidth="1"/>
    <col min="14093" max="14093" width="13.81640625" style="2895" customWidth="1"/>
    <col min="14094" max="14336" width="9" style="2895"/>
    <col min="14337" max="14337" width="4.90625" style="2895" customWidth="1"/>
    <col min="14338" max="14338" width="13.1796875" style="2895" customWidth="1"/>
    <col min="14339" max="14339" width="15.6328125" style="2895" customWidth="1"/>
    <col min="14340" max="14340" width="9.36328125" style="2895" bestFit="1" customWidth="1"/>
    <col min="14341" max="14341" width="13.453125" style="2895" customWidth="1"/>
    <col min="14342" max="14342" width="9" style="2895"/>
    <col min="14343" max="14343" width="9.36328125" style="2895" bestFit="1" customWidth="1"/>
    <col min="14344" max="14345" width="9" style="2895"/>
    <col min="14346" max="14346" width="9.36328125" style="2895" bestFit="1" customWidth="1"/>
    <col min="14347" max="14347" width="4" style="2895" customWidth="1"/>
    <col min="14348" max="14348" width="5.08984375" style="2895" customWidth="1"/>
    <col min="14349" max="14349" width="13.81640625" style="2895" customWidth="1"/>
    <col min="14350" max="14592" width="9" style="2895"/>
    <col min="14593" max="14593" width="4.90625" style="2895" customWidth="1"/>
    <col min="14594" max="14594" width="13.1796875" style="2895" customWidth="1"/>
    <col min="14595" max="14595" width="15.6328125" style="2895" customWidth="1"/>
    <col min="14596" max="14596" width="9.36328125" style="2895" bestFit="1" customWidth="1"/>
    <col min="14597" max="14597" width="13.453125" style="2895" customWidth="1"/>
    <col min="14598" max="14598" width="9" style="2895"/>
    <col min="14599" max="14599" width="9.36328125" style="2895" bestFit="1" customWidth="1"/>
    <col min="14600" max="14601" width="9" style="2895"/>
    <col min="14602" max="14602" width="9.36328125" style="2895" bestFit="1" customWidth="1"/>
    <col min="14603" max="14603" width="4" style="2895" customWidth="1"/>
    <col min="14604" max="14604" width="5.08984375" style="2895" customWidth="1"/>
    <col min="14605" max="14605" width="13.81640625" style="2895" customWidth="1"/>
    <col min="14606" max="14848" width="9" style="2895"/>
    <col min="14849" max="14849" width="4.90625" style="2895" customWidth="1"/>
    <col min="14850" max="14850" width="13.1796875" style="2895" customWidth="1"/>
    <col min="14851" max="14851" width="15.6328125" style="2895" customWidth="1"/>
    <col min="14852" max="14852" width="9.36328125" style="2895" bestFit="1" customWidth="1"/>
    <col min="14853" max="14853" width="13.453125" style="2895" customWidth="1"/>
    <col min="14854" max="14854" width="9" style="2895"/>
    <col min="14855" max="14855" width="9.36328125" style="2895" bestFit="1" customWidth="1"/>
    <col min="14856" max="14857" width="9" style="2895"/>
    <col min="14858" max="14858" width="9.36328125" style="2895" bestFit="1" customWidth="1"/>
    <col min="14859" max="14859" width="4" style="2895" customWidth="1"/>
    <col min="14860" max="14860" width="5.08984375" style="2895" customWidth="1"/>
    <col min="14861" max="14861" width="13.81640625" style="2895" customWidth="1"/>
    <col min="14862" max="15104" width="9" style="2895"/>
    <col min="15105" max="15105" width="4.90625" style="2895" customWidth="1"/>
    <col min="15106" max="15106" width="13.1796875" style="2895" customWidth="1"/>
    <col min="15107" max="15107" width="15.6328125" style="2895" customWidth="1"/>
    <col min="15108" max="15108" width="9.36328125" style="2895" bestFit="1" customWidth="1"/>
    <col min="15109" max="15109" width="13.453125" style="2895" customWidth="1"/>
    <col min="15110" max="15110" width="9" style="2895"/>
    <col min="15111" max="15111" width="9.36328125" style="2895" bestFit="1" customWidth="1"/>
    <col min="15112" max="15113" width="9" style="2895"/>
    <col min="15114" max="15114" width="9.36328125" style="2895" bestFit="1" customWidth="1"/>
    <col min="15115" max="15115" width="4" style="2895" customWidth="1"/>
    <col min="15116" max="15116" width="5.08984375" style="2895" customWidth="1"/>
    <col min="15117" max="15117" width="13.81640625" style="2895" customWidth="1"/>
    <col min="15118" max="15360" width="9" style="2895"/>
    <col min="15361" max="15361" width="4.90625" style="2895" customWidth="1"/>
    <col min="15362" max="15362" width="13.1796875" style="2895" customWidth="1"/>
    <col min="15363" max="15363" width="15.6328125" style="2895" customWidth="1"/>
    <col min="15364" max="15364" width="9.36328125" style="2895" bestFit="1" customWidth="1"/>
    <col min="15365" max="15365" width="13.453125" style="2895" customWidth="1"/>
    <col min="15366" max="15366" width="9" style="2895"/>
    <col min="15367" max="15367" width="9.36328125" style="2895" bestFit="1" customWidth="1"/>
    <col min="15368" max="15369" width="9" style="2895"/>
    <col min="15370" max="15370" width="9.36328125" style="2895" bestFit="1" customWidth="1"/>
    <col min="15371" max="15371" width="4" style="2895" customWidth="1"/>
    <col min="15372" max="15372" width="5.08984375" style="2895" customWidth="1"/>
    <col min="15373" max="15373" width="13.81640625" style="2895" customWidth="1"/>
    <col min="15374" max="15616" width="9" style="2895"/>
    <col min="15617" max="15617" width="4.90625" style="2895" customWidth="1"/>
    <col min="15618" max="15618" width="13.1796875" style="2895" customWidth="1"/>
    <col min="15619" max="15619" width="15.6328125" style="2895" customWidth="1"/>
    <col min="15620" max="15620" width="9.36328125" style="2895" bestFit="1" customWidth="1"/>
    <col min="15621" max="15621" width="13.453125" style="2895" customWidth="1"/>
    <col min="15622" max="15622" width="9" style="2895"/>
    <col min="15623" max="15623" width="9.36328125" style="2895" bestFit="1" customWidth="1"/>
    <col min="15624" max="15625" width="9" style="2895"/>
    <col min="15626" max="15626" width="9.36328125" style="2895" bestFit="1" customWidth="1"/>
    <col min="15627" max="15627" width="4" style="2895" customWidth="1"/>
    <col min="15628" max="15628" width="5.08984375" style="2895" customWidth="1"/>
    <col min="15629" max="15629" width="13.81640625" style="2895" customWidth="1"/>
    <col min="15630" max="15872" width="9" style="2895"/>
    <col min="15873" max="15873" width="4.90625" style="2895" customWidth="1"/>
    <col min="15874" max="15874" width="13.1796875" style="2895" customWidth="1"/>
    <col min="15875" max="15875" width="15.6328125" style="2895" customWidth="1"/>
    <col min="15876" max="15876" width="9.36328125" style="2895" bestFit="1" customWidth="1"/>
    <col min="15877" max="15877" width="13.453125" style="2895" customWidth="1"/>
    <col min="15878" max="15878" width="9" style="2895"/>
    <col min="15879" max="15879" width="9.36328125" style="2895" bestFit="1" customWidth="1"/>
    <col min="15880" max="15881" width="9" style="2895"/>
    <col min="15882" max="15882" width="9.36328125" style="2895" bestFit="1" customWidth="1"/>
    <col min="15883" max="15883" width="4" style="2895" customWidth="1"/>
    <col min="15884" max="15884" width="5.08984375" style="2895" customWidth="1"/>
    <col min="15885" max="15885" width="13.81640625" style="2895" customWidth="1"/>
    <col min="15886" max="16128" width="9" style="2895"/>
    <col min="16129" max="16129" width="4.90625" style="2895" customWidth="1"/>
    <col min="16130" max="16130" width="13.1796875" style="2895" customWidth="1"/>
    <col min="16131" max="16131" width="15.6328125" style="2895" customWidth="1"/>
    <col min="16132" max="16132" width="9.36328125" style="2895" bestFit="1" customWidth="1"/>
    <col min="16133" max="16133" width="13.453125" style="2895" customWidth="1"/>
    <col min="16134" max="16134" width="9" style="2895"/>
    <col min="16135" max="16135" width="9.36328125" style="2895" bestFit="1" customWidth="1"/>
    <col min="16136" max="16137" width="9" style="2895"/>
    <col min="16138" max="16138" width="9.36328125" style="2895" bestFit="1" customWidth="1"/>
    <col min="16139" max="16139" width="4" style="2895" customWidth="1"/>
    <col min="16140" max="16140" width="5.08984375" style="2895" customWidth="1"/>
    <col min="16141" max="16141" width="13.81640625" style="2895" customWidth="1"/>
    <col min="16142" max="16384" width="9" style="2895"/>
  </cols>
  <sheetData>
    <row r="1" spans="1:257" s="2955" customFormat="1" ht="14.5" thickBot="1">
      <c r="A1" s="2954"/>
      <c r="B1" s="2956" t="s">
        <v>2785</v>
      </c>
      <c r="C1" s="2960">
        <f>项目基本情况!D3</f>
        <v>43875</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1">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3">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0">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195" t="s">
        <v>2036</v>
      </c>
      <c r="B1" s="3195"/>
      <c r="C1" s="3195"/>
      <c r="D1" s="3195"/>
      <c r="E1" s="3195"/>
      <c r="F1" s="3195"/>
      <c r="G1" s="3195"/>
      <c r="H1" s="3195"/>
      <c r="I1" s="3195"/>
      <c r="J1" s="3195"/>
      <c r="K1" s="3195"/>
      <c r="L1" s="3195"/>
      <c r="M1" s="3195"/>
      <c r="N1" s="3195"/>
      <c r="O1" s="3195"/>
      <c r="P1" s="3195"/>
      <c r="Q1" s="3195"/>
      <c r="R1" s="3195"/>
    </row>
    <row r="2" spans="1:18">
      <c r="A2" s="1793" t="s">
        <v>2038</v>
      </c>
      <c r="B2" s="1793"/>
      <c r="C2" s="1793"/>
      <c r="D2" s="1793"/>
      <c r="E2" s="1793"/>
      <c r="F2" s="1793"/>
      <c r="G2" s="1793"/>
      <c r="H2" s="1793"/>
      <c r="I2" s="1794"/>
      <c r="J2" s="1794"/>
      <c r="K2" s="1795" t="str">
        <f>"估价期日："&amp;TEXT(项目基本情况!D3,"yyyy年m月d日;;")</f>
        <v>估价期日：2020年2月14日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6" t="s">
        <v>2027</v>
      </c>
      <c r="B3" s="3196" t="s">
        <v>2728</v>
      </c>
      <c r="C3" s="3197" t="s">
        <v>2028</v>
      </c>
      <c r="D3" s="3196" t="s">
        <v>2732</v>
      </c>
      <c r="E3" s="3191" t="s">
        <v>2029</v>
      </c>
      <c r="F3" s="3191"/>
      <c r="G3" s="3191"/>
      <c r="H3" s="3191" t="s">
        <v>2030</v>
      </c>
      <c r="I3" s="3191"/>
      <c r="J3" s="3191"/>
      <c r="K3" s="3197" t="s">
        <v>2031</v>
      </c>
      <c r="L3" s="3197" t="s">
        <v>2032</v>
      </c>
      <c r="M3" s="3196" t="s">
        <v>2729</v>
      </c>
      <c r="N3" s="3198" t="str">
        <f>"（分摊）"&amp;项目基本情况!B16&amp;"国有建设用地使用权面积/㎡"</f>
        <v>（分摊）出让国有建设用地使用权面积/㎡</v>
      </c>
      <c r="O3" s="3196" t="s">
        <v>2061</v>
      </c>
      <c r="P3" s="3197" t="s">
        <v>2041</v>
      </c>
      <c r="Q3" s="3197" t="s">
        <v>2062</v>
      </c>
      <c r="R3" s="3197" t="s">
        <v>2033</v>
      </c>
    </row>
    <row r="4" spans="1:18" ht="36.75" customHeight="1">
      <c r="A4" s="3196"/>
      <c r="B4" s="3196"/>
      <c r="C4" s="3197"/>
      <c r="D4" s="3196"/>
      <c r="E4" s="2614" t="s">
        <v>2040</v>
      </c>
      <c r="F4" s="2614" t="s">
        <v>2741</v>
      </c>
      <c r="G4" s="2614" t="s">
        <v>2034</v>
      </c>
      <c r="H4" s="2614" t="s">
        <v>2035</v>
      </c>
      <c r="I4" s="2614" t="s">
        <v>2742</v>
      </c>
      <c r="J4" s="2614" t="s">
        <v>2034</v>
      </c>
      <c r="K4" s="3197"/>
      <c r="L4" s="3197"/>
      <c r="M4" s="3196"/>
      <c r="N4" s="3198"/>
      <c r="O4" s="3196"/>
      <c r="P4" s="3197"/>
      <c r="Q4" s="3197"/>
      <c r="R4" s="3197"/>
    </row>
    <row r="5" spans="1:18" ht="135" customHeight="1">
      <c r="A5" s="1929" t="s">
        <v>2652</v>
      </c>
      <c r="B5" s="2823" t="s">
        <v>2650</v>
      </c>
      <c r="C5" s="2613">
        <v>22</v>
      </c>
      <c r="D5" s="2612" t="s">
        <v>2651</v>
      </c>
      <c r="E5" s="1796" t="str">
        <f>项目基本情况!B12</f>
        <v>住宅</v>
      </c>
      <c r="F5" s="2612">
        <v>258</v>
      </c>
      <c r="G5" s="1796">
        <f>项目基本情况!B13</f>
        <v>0</v>
      </c>
      <c r="H5" s="2612">
        <v>1.5</v>
      </c>
      <c r="I5" s="2612">
        <v>1.5</v>
      </c>
      <c r="J5" s="2612">
        <v>1.5</v>
      </c>
      <c r="K5" s="1796" t="str">
        <f>"红线外"&amp;项目基本情况!T40&amp;"、宗地红线内"&amp;项目基本情况!B35</f>
        <v>红线外六通、宗地红线内</v>
      </c>
      <c r="L5" s="1796" t="str">
        <f>"红线外"&amp;项目基本情况!T40&amp;"、宗地红线内场地"&amp;项目基本情况!D36</f>
        <v>红线外六通、宗地红线内场地</v>
      </c>
      <c r="M5" s="1796">
        <f>IF(项目基本情况!B16="出让",项目基本情况!D20,"——")</f>
        <v>0</v>
      </c>
      <c r="N5" s="1796">
        <f>项目基本情况!C22</f>
        <v>130622.9</v>
      </c>
      <c r="O5" s="1796">
        <f>项目基本情况!C21</f>
        <v>300432.67</v>
      </c>
      <c r="P5" s="1796">
        <f ca="1">结果表!E42</f>
        <v>4976</v>
      </c>
      <c r="Q5" s="1796">
        <f ca="1">结果表!D42</f>
        <v>2164</v>
      </c>
      <c r="R5" s="1797">
        <f ca="1">结果表!C42</f>
        <v>65001</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798">
        <f ca="1">结果表!O39</f>
        <v>34626</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798"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81640625" style="1788" customWidth="1"/>
    <col min="2" max="3" width="21.36328125" style="1788" customWidth="1"/>
    <col min="4" max="4" width="19.90625" style="1788" customWidth="1"/>
    <col min="5" max="16384" width="9" style="1788"/>
  </cols>
  <sheetData>
    <row r="1" spans="1:4">
      <c r="A1" s="3199" t="s">
        <v>2063</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2064</v>
      </c>
      <c r="B5" s="3202"/>
      <c r="C5" s="3202"/>
      <c r="D5" s="3202"/>
    </row>
    <row r="6" spans="1:4">
      <c r="A6" s="3199" t="s">
        <v>2042</v>
      </c>
      <c r="B6" s="3199"/>
      <c r="C6" s="3199"/>
      <c r="D6" s="3199"/>
    </row>
    <row r="7" spans="1:4" ht="33" customHeight="1">
      <c r="A7" s="3199" t="s">
        <v>2572</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2066</v>
      </c>
      <c r="B12" s="3202"/>
      <c r="C12" s="3202"/>
      <c r="D12" s="3202"/>
    </row>
    <row r="13" spans="1:4">
      <c r="A13" s="3200" t="s">
        <v>2743</v>
      </c>
      <c r="B13" s="3200"/>
      <c r="C13" s="3200"/>
      <c r="D13" s="3200"/>
    </row>
    <row r="14" spans="1:4">
      <c r="A14" s="3201" t="str">
        <f>IF(项目基本情况!B8="抵押","综上，"&amp;结果表!K47,"——")</f>
        <v>综上，本次评估估价师知悉的法定优先受偿款为人民币30375万元整。</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2699</v>
      </c>
      <c r="B17" s="3199"/>
      <c r="C17" s="3199"/>
      <c r="D17" s="3199"/>
    </row>
    <row r="18" spans="1:4">
      <c r="A18" s="3199" t="s">
        <v>2691</v>
      </c>
      <c r="B18" s="3199"/>
      <c r="C18" s="3199"/>
      <c r="D18" s="3199"/>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199" t="s">
        <v>2696</v>
      </c>
      <c r="B23" s="3199"/>
      <c r="C23" s="3199"/>
      <c r="D23" s="3199"/>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
      <selection pane="bottomLeft" activeCell="A76" sqref="A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1" t="s">
        <v>53</v>
      </c>
      <c r="B15" s="3212" t="s">
        <v>846</v>
      </c>
      <c r="C15" s="3208"/>
    </row>
    <row r="16" spans="1:7" ht="14">
      <c r="A16" s="3211"/>
      <c r="B16" s="3209" t="s">
        <v>54</v>
      </c>
      <c r="C16" s="1168" t="s">
        <v>53</v>
      </c>
    </row>
    <row r="17" spans="1:3" ht="14">
      <c r="A17" s="3211"/>
      <c r="B17" s="3209"/>
      <c r="C17" s="1168" t="s">
        <v>55</v>
      </c>
    </row>
    <row r="18" spans="1:3" ht="14">
      <c r="A18" s="3211"/>
      <c r="B18" s="3209"/>
      <c r="C18" s="1168" t="s">
        <v>56</v>
      </c>
    </row>
    <row r="19" spans="1:3" ht="14">
      <c r="A19" s="3211"/>
      <c r="B19" s="3207" t="s">
        <v>57</v>
      </c>
      <c r="C19" s="3208"/>
    </row>
    <row r="20" spans="1:3" ht="14">
      <c r="A20" s="1169" t="s">
        <v>58</v>
      </c>
      <c r="B20" s="1170"/>
      <c r="C20" s="1171"/>
    </row>
    <row r="21" spans="1:3" ht="14">
      <c r="A21" s="3210" t="s">
        <v>59</v>
      </c>
      <c r="B21" s="3207" t="s">
        <v>60</v>
      </c>
      <c r="C21" s="3208"/>
    </row>
    <row r="22" spans="1:3" ht="14">
      <c r="A22" s="3210"/>
      <c r="B22" s="3207" t="s">
        <v>61</v>
      </c>
      <c r="C22" s="3208"/>
    </row>
    <row r="23" spans="1:3" ht="14">
      <c r="A23" s="3210"/>
      <c r="B23" s="3207" t="s">
        <v>62</v>
      </c>
      <c r="C23" s="3208"/>
    </row>
    <row r="24" spans="1:3" ht="14">
      <c r="A24" s="3210"/>
      <c r="B24" s="3213" t="s">
        <v>63</v>
      </c>
      <c r="C24" s="1172" t="s">
        <v>837</v>
      </c>
    </row>
    <row r="25" spans="1:3" ht="14">
      <c r="A25" s="3210"/>
      <c r="B25" s="3214"/>
      <c r="C25" s="1172" t="s">
        <v>838</v>
      </c>
    </row>
    <row r="26" spans="1:3" ht="14">
      <c r="A26" s="3210"/>
      <c r="B26" s="3214"/>
      <c r="C26" s="1172" t="s">
        <v>839</v>
      </c>
    </row>
    <row r="27" spans="1:3" ht="14">
      <c r="A27" s="3210"/>
      <c r="B27" s="3214"/>
      <c r="C27" s="1172" t="s">
        <v>840</v>
      </c>
    </row>
    <row r="28" spans="1:3" ht="14">
      <c r="A28" s="3210"/>
      <c r="B28" s="3214"/>
      <c r="C28" s="1172" t="s">
        <v>841</v>
      </c>
    </row>
    <row r="29" spans="1:3" ht="14">
      <c r="A29" s="3210"/>
      <c r="B29" s="3214"/>
      <c r="C29" s="1172" t="s">
        <v>842</v>
      </c>
    </row>
    <row r="30" spans="1:3" ht="14">
      <c r="A30" s="3210"/>
      <c r="B30" s="3214"/>
      <c r="C30" s="1172" t="s">
        <v>843</v>
      </c>
    </row>
    <row r="31" spans="1:3" ht="14">
      <c r="A31" s="3210"/>
      <c r="B31" s="3214"/>
      <c r="C31" s="1172" t="s">
        <v>844</v>
      </c>
    </row>
    <row r="32" spans="1:3" ht="14">
      <c r="A32" s="3210"/>
      <c r="B32" s="3214"/>
      <c r="C32" s="1172" t="s">
        <v>1646</v>
      </c>
    </row>
    <row r="33" spans="1:3" ht="14">
      <c r="A33" s="3210"/>
      <c r="B33" s="3204" t="s">
        <v>1652</v>
      </c>
      <c r="C33" s="1172" t="s">
        <v>1647</v>
      </c>
    </row>
    <row r="34" spans="1:3" ht="14">
      <c r="A34" s="3210"/>
      <c r="B34" s="3205"/>
      <c r="C34" s="1177" t="s">
        <v>1648</v>
      </c>
    </row>
    <row r="35" spans="1:3" ht="14">
      <c r="A35" s="3210"/>
      <c r="B35" s="3205"/>
      <c r="C35" s="1178" t="s">
        <v>1649</v>
      </c>
    </row>
    <row r="36" spans="1:3" ht="14">
      <c r="A36" s="3210"/>
      <c r="B36" s="3205"/>
      <c r="C36" s="1178" t="s">
        <v>1650</v>
      </c>
    </row>
    <row r="37" spans="1:3" ht="14">
      <c r="A37" s="3210"/>
      <c r="B37" s="3206"/>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
    </sheetView>
  </sheetViews>
  <sheetFormatPr defaultColWidth="22.6328125" defaultRowHeight="20.25" customHeight="1"/>
  <cols>
    <col min="1" max="1" width="24.81640625" style="3130" customWidth="1"/>
    <col min="2" max="5" width="22.6328125" style="3130"/>
    <col min="6" max="6" width="25.6328125" style="3130" customWidth="1"/>
    <col min="7" max="16384" width="22.6328125" style="3130"/>
  </cols>
  <sheetData>
    <row r="2" spans="1:6" ht="20.25" customHeight="1">
      <c r="A2" s="3127" t="s">
        <v>1907</v>
      </c>
      <c r="B2" s="3128">
        <f ca="1">TODAY()</f>
        <v>43886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15" t="s">
        <v>1924</v>
      </c>
      <c r="B25" s="3215"/>
      <c r="C25" s="3215"/>
      <c r="D25" s="3215"/>
      <c r="E25" s="3215"/>
      <c r="F25" s="3215"/>
      <c r="G25" s="3215"/>
    </row>
    <row r="26" spans="1:7" ht="20.25" customHeight="1">
      <c r="A26" s="3216" t="s">
        <v>1925</v>
      </c>
      <c r="B26" s="3216"/>
      <c r="C26" s="3216"/>
      <c r="D26" s="3216" t="s">
        <v>1926</v>
      </c>
      <c r="E26" s="3216"/>
      <c r="F26" s="3216"/>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1796875" style="1159" customWidth="1"/>
    <col min="26" max="16384" width="9" style="1159"/>
  </cols>
  <sheetData>
    <row r="1" spans="1:23" s="1180" customFormat="1" ht="2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淮北世茂房地产开发有限公司拟使用安徽省淮北市相山区规划古城东路南、泉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17"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c r="D53" s="1753"/>
      <c r="E53" s="1753"/>
    </row>
    <row r="54" spans="1:5">
      <c r="A54" s="3217"/>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7"/>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7"/>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7"/>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Sheet2</vt:lpstr>
      <vt:lpstr>不动产比较法-住宅</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2020-02-25T06:46:24Z</dcterms:modified>
</cp:coreProperties>
</file>