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30" windowWidth="10815" windowHeight="9885" tabRatio="875" firstSheet="8"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商业" sheetId="46" r:id="rId22"/>
    <sheet name="修正" sheetId="49" state="hidden" r:id="rId23"/>
    <sheet name="区片价" sheetId="48" state="hidden" r:id="rId24"/>
    <sheet name="容积率修正" sheetId="45" state="hidden" r:id="rId25"/>
    <sheet name="因素修正幅度" sheetId="56" state="hidden" r:id="rId26"/>
    <sheet name="基准地价-办公" sheetId="68" r:id="rId27"/>
    <sheet name="地价" sheetId="59" r:id="rId28"/>
    <sheet name="基准地价（汇总）" sheetId="67"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8">'基准地价（汇总）'!$A$1:$F$14</definedName>
    <definedName name="_xlnm.Print_Area" localSheetId="26">'基准地价-办公'!$A$1:$J$41,'基准地价-办公'!$A$44:$N$87,'基准地价-办公'!$R$1:$V$16</definedName>
    <definedName name="_xlnm.Print_Area" localSheetId="21">'基准地价-商业'!$A$1:$J$41,'基准地价-商业'!$A$44:$N$87,'基准地价-商业'!$R$1:$V$16</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'基准地价-办公'!$N$19:$AB$19</definedName>
    <definedName name="季度">'基准地价-商业'!$N$19:$AB$19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4" i="65" l="1"/>
  <c r="E20" i="68"/>
  <c r="N28" i="68"/>
  <c r="G20" i="68"/>
  <c r="C20" i="68"/>
  <c r="C29" i="68"/>
  <c r="C30" i="68"/>
  <c r="D30" i="68"/>
  <c r="D29" i="68"/>
  <c r="E20" i="46"/>
  <c r="M28" i="46"/>
  <c r="G20" i="46"/>
  <c r="C20" i="46"/>
  <c r="C29" i="46"/>
  <c r="C30" i="46"/>
  <c r="D30" i="46"/>
  <c r="D29" i="46"/>
  <c r="S16" i="46"/>
  <c r="U13" i="46"/>
  <c r="S13" i="46"/>
  <c r="S12" i="46"/>
  <c r="S11" i="46"/>
  <c r="U3" i="46"/>
  <c r="U4" i="46"/>
  <c r="U5" i="46"/>
  <c r="U6" i="46"/>
  <c r="U7" i="46"/>
  <c r="U8" i="46"/>
  <c r="U9" i="46"/>
  <c r="U10" i="46"/>
  <c r="U11" i="46"/>
  <c r="U12" i="46"/>
  <c r="U2" i="46"/>
  <c r="S10" i="46"/>
  <c r="S9" i="46"/>
  <c r="S8" i="46"/>
  <c r="F20" i="6"/>
  <c r="F19" i="6"/>
  <c r="A3" i="3"/>
  <c r="K13" i="3"/>
  <c r="N7" i="1"/>
  <c r="L7" i="1"/>
  <c r="J7" i="1"/>
  <c r="I7" i="1"/>
  <c r="H7" i="1"/>
  <c r="F17" i="4"/>
  <c r="G3" i="68"/>
  <c r="B113" i="68"/>
  <c r="I118" i="68"/>
  <c r="J118" i="68"/>
  <c r="K118" i="68"/>
  <c r="L118" i="68"/>
  <c r="M118" i="68"/>
  <c r="G118" i="68"/>
  <c r="H118" i="68"/>
  <c r="D118" i="68"/>
  <c r="E118" i="68"/>
  <c r="F118" i="68"/>
  <c r="B118" i="68"/>
  <c r="C118" i="68"/>
  <c r="I117" i="68"/>
  <c r="J117" i="68"/>
  <c r="K117" i="68"/>
  <c r="L117" i="68"/>
  <c r="M117" i="68"/>
  <c r="D117" i="68"/>
  <c r="E117" i="68"/>
  <c r="F117" i="68"/>
  <c r="G117" i="68"/>
  <c r="H117" i="68"/>
  <c r="B117" i="68"/>
  <c r="C117" i="68"/>
  <c r="I116" i="68"/>
  <c r="J116" i="68"/>
  <c r="K116" i="68"/>
  <c r="L116" i="68"/>
  <c r="M116" i="68"/>
  <c r="D116" i="68"/>
  <c r="E116" i="68"/>
  <c r="F116" i="68"/>
  <c r="G116" i="68"/>
  <c r="H116" i="68"/>
  <c r="B116" i="68"/>
  <c r="C116" i="68"/>
  <c r="I115" i="68"/>
  <c r="J115" i="68"/>
  <c r="K115" i="68"/>
  <c r="L115" i="68"/>
  <c r="M115" i="68"/>
  <c r="D115" i="68"/>
  <c r="E115" i="68"/>
  <c r="F115" i="68"/>
  <c r="G115" i="68"/>
  <c r="H115" i="68"/>
  <c r="B115" i="68"/>
  <c r="C115" i="68"/>
  <c r="G2" i="68"/>
  <c r="H113" i="68"/>
  <c r="F113" i="68"/>
  <c r="D113" i="68"/>
  <c r="N99" i="68"/>
  <c r="N108" i="68"/>
  <c r="N101" i="68"/>
  <c r="N109" i="68"/>
  <c r="M99" i="68"/>
  <c r="M108" i="68"/>
  <c r="M101" i="68"/>
  <c r="M109" i="68"/>
  <c r="L99" i="68"/>
  <c r="L108" i="68"/>
  <c r="L101" i="68"/>
  <c r="L109" i="68"/>
  <c r="K99" i="68"/>
  <c r="K108" i="68"/>
  <c r="K101" i="68"/>
  <c r="K109" i="68"/>
  <c r="J99" i="68"/>
  <c r="J108" i="68"/>
  <c r="J101" i="68"/>
  <c r="J109" i="68"/>
  <c r="I99" i="68"/>
  <c r="I108" i="68"/>
  <c r="I101" i="68"/>
  <c r="I109" i="68"/>
  <c r="H99" i="68"/>
  <c r="H108" i="68"/>
  <c r="H101" i="68"/>
  <c r="H109" i="68"/>
  <c r="G99" i="68"/>
  <c r="G108" i="68"/>
  <c r="G101" i="68"/>
  <c r="G109" i="68"/>
  <c r="F99" i="68"/>
  <c r="F108" i="68"/>
  <c r="F101" i="68"/>
  <c r="F109" i="68"/>
  <c r="E99" i="68"/>
  <c r="E108" i="68"/>
  <c r="E101" i="68"/>
  <c r="E109" i="68"/>
  <c r="D99" i="68"/>
  <c r="D108" i="68"/>
  <c r="D101" i="68"/>
  <c r="D109" i="68"/>
  <c r="C99" i="68"/>
  <c r="C108" i="68"/>
  <c r="C101" i="68"/>
  <c r="C109" i="68"/>
  <c r="N107" i="68"/>
  <c r="M107" i="68"/>
  <c r="L107" i="68"/>
  <c r="K107" i="68"/>
  <c r="J107" i="68"/>
  <c r="I107" i="68"/>
  <c r="H107" i="68"/>
  <c r="G107" i="68"/>
  <c r="F107" i="68"/>
  <c r="E107" i="68"/>
  <c r="D107" i="68"/>
  <c r="C107" i="68"/>
  <c r="N106" i="68"/>
  <c r="M106" i="68"/>
  <c r="L106" i="68"/>
  <c r="K106" i="68"/>
  <c r="J106" i="68"/>
  <c r="I106" i="68"/>
  <c r="H106" i="68"/>
  <c r="G106" i="68"/>
  <c r="F106" i="68"/>
  <c r="E106" i="68"/>
  <c r="D106" i="68"/>
  <c r="C106" i="68"/>
  <c r="N105" i="68"/>
  <c r="M105" i="68"/>
  <c r="L105" i="68"/>
  <c r="K105" i="68"/>
  <c r="J105" i="68"/>
  <c r="I105" i="68"/>
  <c r="H105" i="68"/>
  <c r="G105" i="68"/>
  <c r="F105" i="68"/>
  <c r="E105" i="68"/>
  <c r="D105" i="68"/>
  <c r="C105" i="68"/>
  <c r="N104" i="68"/>
  <c r="M104" i="68"/>
  <c r="L104" i="68"/>
  <c r="K104" i="68"/>
  <c r="J104" i="68"/>
  <c r="I104" i="68"/>
  <c r="H104" i="68"/>
  <c r="G104" i="68"/>
  <c r="F104" i="68"/>
  <c r="E104" i="68"/>
  <c r="D104" i="68"/>
  <c r="C104" i="68"/>
  <c r="N103" i="68"/>
  <c r="M103" i="68"/>
  <c r="L103" i="68"/>
  <c r="K103" i="68"/>
  <c r="J103" i="68"/>
  <c r="I103" i="68"/>
  <c r="H103" i="68"/>
  <c r="G103" i="68"/>
  <c r="F103" i="68"/>
  <c r="E103" i="68"/>
  <c r="D103" i="68"/>
  <c r="C103" i="68"/>
  <c r="N102" i="68"/>
  <c r="M102" i="68"/>
  <c r="L102" i="68"/>
  <c r="K102" i="68"/>
  <c r="J102" i="68"/>
  <c r="I102" i="68"/>
  <c r="H102" i="68"/>
  <c r="G102" i="68"/>
  <c r="F102" i="68"/>
  <c r="E102" i="68"/>
  <c r="D102" i="68"/>
  <c r="C102" i="68"/>
  <c r="N100" i="68"/>
  <c r="M100" i="68"/>
  <c r="L100" i="68"/>
  <c r="K100" i="68"/>
  <c r="J100" i="68"/>
  <c r="I100" i="68"/>
  <c r="H100" i="68"/>
  <c r="G100" i="68"/>
  <c r="F100" i="68"/>
  <c r="E100" i="68"/>
  <c r="D100" i="68"/>
  <c r="C100" i="68"/>
  <c r="M87" i="68"/>
  <c r="N87" i="68"/>
  <c r="K87" i="68"/>
  <c r="J87" i="68"/>
  <c r="F80" i="68"/>
  <c r="H87" i="68"/>
  <c r="D87" i="68"/>
  <c r="B87" i="68"/>
  <c r="M86" i="68"/>
  <c r="N86" i="68"/>
  <c r="K86" i="68"/>
  <c r="J86" i="68"/>
  <c r="H86" i="68"/>
  <c r="D86" i="68"/>
  <c r="M85" i="68"/>
  <c r="N85" i="68"/>
  <c r="K85" i="68"/>
  <c r="J85" i="68"/>
  <c r="H85" i="68"/>
  <c r="D85" i="68"/>
  <c r="B85" i="68"/>
  <c r="M84" i="68"/>
  <c r="N84" i="68"/>
  <c r="K84" i="68"/>
  <c r="J84" i="68"/>
  <c r="H84" i="68"/>
  <c r="D84" i="68"/>
  <c r="B84" i="68"/>
  <c r="M83" i="68"/>
  <c r="N83" i="68"/>
  <c r="K83" i="68"/>
  <c r="J83" i="68"/>
  <c r="H83" i="68"/>
  <c r="D83" i="68"/>
  <c r="B83" i="68"/>
  <c r="M82" i="68"/>
  <c r="N82" i="68"/>
  <c r="K82" i="68"/>
  <c r="J82" i="68"/>
  <c r="H82" i="68"/>
  <c r="D82" i="68"/>
  <c r="B82" i="68"/>
  <c r="M81" i="68"/>
  <c r="N81" i="68"/>
  <c r="K81" i="68"/>
  <c r="J81" i="68"/>
  <c r="H81" i="68"/>
  <c r="D81" i="68"/>
  <c r="B81" i="68"/>
  <c r="M80" i="68"/>
  <c r="N80" i="68"/>
  <c r="K80" i="68"/>
  <c r="J80" i="68"/>
  <c r="H80" i="68"/>
  <c r="D80" i="68"/>
  <c r="E80" i="68"/>
  <c r="B80" i="68"/>
  <c r="B78" i="68"/>
  <c r="M77" i="68"/>
  <c r="N77" i="68"/>
  <c r="K77" i="68"/>
  <c r="J77" i="68"/>
  <c r="F69" i="68"/>
  <c r="H77" i="68"/>
  <c r="D77" i="68"/>
  <c r="M76" i="68"/>
  <c r="N76" i="68"/>
  <c r="K76" i="68"/>
  <c r="J76" i="68"/>
  <c r="H76" i="68"/>
  <c r="D76" i="68"/>
  <c r="B76" i="68"/>
  <c r="M75" i="68"/>
  <c r="N75" i="68"/>
  <c r="K75" i="68"/>
  <c r="J75" i="68"/>
  <c r="H75" i="68"/>
  <c r="D75" i="68"/>
  <c r="M74" i="68"/>
  <c r="N74" i="68"/>
  <c r="K74" i="68"/>
  <c r="J74" i="68"/>
  <c r="H74" i="68"/>
  <c r="D74" i="68"/>
  <c r="B74" i="68"/>
  <c r="M73" i="68"/>
  <c r="N73" i="68"/>
  <c r="K73" i="68"/>
  <c r="J73" i="68"/>
  <c r="H73" i="68"/>
  <c r="D73" i="68"/>
  <c r="B73" i="68"/>
  <c r="M72" i="68"/>
  <c r="N72" i="68"/>
  <c r="K72" i="68"/>
  <c r="J72" i="68"/>
  <c r="H72" i="68"/>
  <c r="D72" i="68"/>
  <c r="B72" i="68"/>
  <c r="M71" i="68"/>
  <c r="N71" i="68"/>
  <c r="K71" i="68"/>
  <c r="J71" i="68"/>
  <c r="H71" i="68"/>
  <c r="D71" i="68"/>
  <c r="B71" i="68"/>
  <c r="M70" i="68"/>
  <c r="N70" i="68"/>
  <c r="K70" i="68"/>
  <c r="J70" i="68"/>
  <c r="H70" i="68"/>
  <c r="D70" i="68"/>
  <c r="B70" i="68"/>
  <c r="M69" i="68"/>
  <c r="N69" i="68"/>
  <c r="K69" i="68"/>
  <c r="J69" i="68"/>
  <c r="H69" i="68"/>
  <c r="D69" i="68"/>
  <c r="E69" i="68"/>
  <c r="B69" i="68"/>
  <c r="B67" i="68"/>
  <c r="M66" i="68"/>
  <c r="N66" i="68"/>
  <c r="K66" i="68"/>
  <c r="J66" i="68"/>
  <c r="I2" i="68"/>
  <c r="N9" i="68"/>
  <c r="F58" i="68"/>
  <c r="H66" i="68"/>
  <c r="D66" i="68"/>
  <c r="B66" i="68"/>
  <c r="M65" i="68"/>
  <c r="N65" i="68"/>
  <c r="K65" i="68"/>
  <c r="J65" i="68"/>
  <c r="H65" i="68"/>
  <c r="D65" i="68"/>
  <c r="B65" i="68"/>
  <c r="M64" i="68"/>
  <c r="N64" i="68"/>
  <c r="K64" i="68"/>
  <c r="J64" i="68"/>
  <c r="H64" i="68"/>
  <c r="D64" i="68"/>
  <c r="B64" i="68"/>
  <c r="M63" i="68"/>
  <c r="N63" i="68"/>
  <c r="K63" i="68"/>
  <c r="J63" i="68"/>
  <c r="H63" i="68"/>
  <c r="D63" i="68"/>
  <c r="M62" i="68"/>
  <c r="N62" i="68"/>
  <c r="K62" i="68"/>
  <c r="J62" i="68"/>
  <c r="H62" i="68"/>
  <c r="D62" i="68"/>
  <c r="B62" i="68"/>
  <c r="M61" i="68"/>
  <c r="N61" i="68"/>
  <c r="K61" i="68"/>
  <c r="J61" i="68"/>
  <c r="H61" i="68"/>
  <c r="D61" i="68"/>
  <c r="M60" i="68"/>
  <c r="N60" i="68"/>
  <c r="K60" i="68"/>
  <c r="J60" i="68"/>
  <c r="H60" i="68"/>
  <c r="D60" i="68"/>
  <c r="B60" i="68"/>
  <c r="M59" i="68"/>
  <c r="N59" i="68"/>
  <c r="K59" i="68"/>
  <c r="J59" i="68"/>
  <c r="H59" i="68"/>
  <c r="D59" i="68"/>
  <c r="B59" i="68"/>
  <c r="M58" i="68"/>
  <c r="N58" i="68"/>
  <c r="K58" i="68"/>
  <c r="J58" i="68"/>
  <c r="H58" i="68"/>
  <c r="D58" i="68"/>
  <c r="E58" i="68"/>
  <c r="B58" i="68"/>
  <c r="B56" i="68"/>
  <c r="M55" i="68"/>
  <c r="N55" i="68"/>
  <c r="K55" i="68"/>
  <c r="J55" i="68"/>
  <c r="F47" i="68"/>
  <c r="H55" i="68"/>
  <c r="D55" i="68"/>
  <c r="B55" i="68"/>
  <c r="M54" i="68"/>
  <c r="N54" i="68"/>
  <c r="K54" i="68"/>
  <c r="J54" i="68"/>
  <c r="H54" i="68"/>
  <c r="D54" i="68"/>
  <c r="B54" i="68"/>
  <c r="M53" i="68"/>
  <c r="N53" i="68"/>
  <c r="K53" i="68"/>
  <c r="J53" i="68"/>
  <c r="H53" i="68"/>
  <c r="D53" i="68"/>
  <c r="B53" i="68"/>
  <c r="M52" i="68"/>
  <c r="N52" i="68"/>
  <c r="K52" i="68"/>
  <c r="J52" i="68"/>
  <c r="H52" i="68"/>
  <c r="D52" i="68"/>
  <c r="M51" i="68"/>
  <c r="N51" i="68"/>
  <c r="K51" i="68"/>
  <c r="J51" i="68"/>
  <c r="H51" i="68"/>
  <c r="D51" i="68"/>
  <c r="B51" i="68"/>
  <c r="M50" i="68"/>
  <c r="N50" i="68"/>
  <c r="K50" i="68"/>
  <c r="J50" i="68"/>
  <c r="H50" i="68"/>
  <c r="D50" i="68"/>
  <c r="M49" i="68"/>
  <c r="N49" i="68"/>
  <c r="K49" i="68"/>
  <c r="J49" i="68"/>
  <c r="H49" i="68"/>
  <c r="D49" i="68"/>
  <c r="B49" i="68"/>
  <c r="M48" i="68"/>
  <c r="N48" i="68"/>
  <c r="K48" i="68"/>
  <c r="J48" i="68"/>
  <c r="H48" i="68"/>
  <c r="D48" i="68"/>
  <c r="B48" i="68"/>
  <c r="M47" i="68"/>
  <c r="N47" i="68"/>
  <c r="K47" i="68"/>
  <c r="J47" i="68"/>
  <c r="H47" i="68"/>
  <c r="D47" i="68"/>
  <c r="E47" i="68"/>
  <c r="B47" i="68"/>
  <c r="B45" i="68"/>
  <c r="E41" i="68"/>
  <c r="C41" i="68"/>
  <c r="M9" i="68"/>
  <c r="C6" i="68"/>
  <c r="H17" i="68"/>
  <c r="I17" i="68"/>
  <c r="J17" i="68"/>
  <c r="K17" i="68"/>
  <c r="L17" i="68"/>
  <c r="M17" i="68"/>
  <c r="N17" i="68"/>
  <c r="O17" i="68"/>
  <c r="G17" i="68"/>
  <c r="E17" i="68"/>
  <c r="C17" i="68"/>
  <c r="C16" i="68"/>
  <c r="D5" i="68"/>
  <c r="I19" i="68"/>
  <c r="B2" i="1"/>
  <c r="G19" i="68"/>
  <c r="O19" i="68"/>
  <c r="C19" i="68"/>
  <c r="C24" i="68"/>
  <c r="F39" i="68"/>
  <c r="C39" i="68"/>
  <c r="G39" i="68"/>
  <c r="H39" i="68"/>
  <c r="I39" i="68"/>
  <c r="E39" i="68"/>
  <c r="F38" i="68"/>
  <c r="C38" i="68"/>
  <c r="G38" i="68"/>
  <c r="H38" i="68"/>
  <c r="I38" i="68"/>
  <c r="E38" i="68"/>
  <c r="J20" i="68"/>
  <c r="I20" i="68"/>
  <c r="F37" i="68"/>
  <c r="C37" i="68"/>
  <c r="G37" i="68"/>
  <c r="H37" i="68"/>
  <c r="I37" i="68"/>
  <c r="E37" i="68"/>
  <c r="F36" i="68"/>
  <c r="C36" i="68"/>
  <c r="G36" i="68"/>
  <c r="H36" i="68"/>
  <c r="I36" i="68"/>
  <c r="E36" i="68"/>
  <c r="F35" i="68"/>
  <c r="C35" i="68"/>
  <c r="G35" i="68"/>
  <c r="H35" i="68"/>
  <c r="I35" i="68"/>
  <c r="E35" i="68"/>
  <c r="F34" i="68"/>
  <c r="C34" i="68"/>
  <c r="G34" i="68"/>
  <c r="H34" i="68"/>
  <c r="I34" i="68"/>
  <c r="E34" i="68"/>
  <c r="F33" i="68"/>
  <c r="C33" i="68"/>
  <c r="G33" i="68"/>
  <c r="H33" i="68"/>
  <c r="I33" i="68"/>
  <c r="E33" i="68"/>
  <c r="C5" i="68"/>
  <c r="C18" i="68"/>
  <c r="C23" i="68"/>
  <c r="C21" i="68"/>
  <c r="E30" i="68"/>
  <c r="E29" i="68"/>
  <c r="C1" i="65"/>
  <c r="H1" i="65"/>
  <c r="P28" i="68"/>
  <c r="O28" i="68"/>
  <c r="M28" i="68"/>
  <c r="C27" i="68"/>
  <c r="S2" i="68"/>
  <c r="T2" i="68"/>
  <c r="V2" i="68"/>
  <c r="C26" i="68"/>
  <c r="P25" i="68"/>
  <c r="P24" i="68"/>
  <c r="P23" i="68"/>
  <c r="P22" i="68"/>
  <c r="J22" i="68"/>
  <c r="H22" i="68"/>
  <c r="G22" i="68"/>
  <c r="F22" i="68"/>
  <c r="E22" i="68"/>
  <c r="D22" i="68"/>
  <c r="P21" i="68"/>
  <c r="M20" i="68"/>
  <c r="M19" i="68"/>
  <c r="D17" i="68"/>
  <c r="T16" i="68"/>
  <c r="V16" i="68"/>
  <c r="T15" i="68"/>
  <c r="V15" i="68"/>
  <c r="F15" i="68"/>
  <c r="E15" i="68"/>
  <c r="D15" i="68"/>
  <c r="C15" i="68"/>
  <c r="T14" i="68"/>
  <c r="V14" i="68"/>
  <c r="AJ9" i="68"/>
  <c r="AJ12" i="68"/>
  <c r="AJ11" i="68"/>
  <c r="AJ13" i="68"/>
  <c r="AI9" i="68"/>
  <c r="AI12" i="68"/>
  <c r="AI11" i="68"/>
  <c r="AI13" i="68"/>
  <c r="AH9" i="68"/>
  <c r="AH12" i="68"/>
  <c r="AH11" i="68"/>
  <c r="AH13" i="68"/>
  <c r="AG9" i="68"/>
  <c r="AG12" i="68"/>
  <c r="AG11" i="68"/>
  <c r="AG13" i="68"/>
  <c r="AF9" i="68"/>
  <c r="AF12" i="68"/>
  <c r="AF11" i="68"/>
  <c r="AF13" i="68"/>
  <c r="AE9" i="68"/>
  <c r="AE12" i="68"/>
  <c r="AE11" i="68"/>
  <c r="AE13" i="68"/>
  <c r="AD9" i="68"/>
  <c r="AD12" i="68"/>
  <c r="AD11" i="68"/>
  <c r="AD13" i="68"/>
  <c r="AC9" i="68"/>
  <c r="AC12" i="68"/>
  <c r="AC11" i="68"/>
  <c r="AC13" i="68"/>
  <c r="AB9" i="68"/>
  <c r="AB12" i="68"/>
  <c r="AB11" i="68"/>
  <c r="AB13" i="68"/>
  <c r="AA9" i="68"/>
  <c r="AA12" i="68"/>
  <c r="AA11" i="68"/>
  <c r="AA13" i="68"/>
  <c r="Z9" i="68"/>
  <c r="Z12" i="68"/>
  <c r="Z11" i="68"/>
  <c r="Z13" i="68"/>
  <c r="Y12" i="68"/>
  <c r="Y11" i="68"/>
  <c r="Y13" i="68"/>
  <c r="T13" i="68"/>
  <c r="V13" i="68"/>
  <c r="T12" i="68"/>
  <c r="V12" i="68"/>
  <c r="N12" i="68"/>
  <c r="M12" i="68"/>
  <c r="C12" i="68"/>
  <c r="T11" i="68"/>
  <c r="V11" i="68"/>
  <c r="N11" i="68"/>
  <c r="M11" i="68"/>
  <c r="C10" i="68"/>
  <c r="C11" i="68"/>
  <c r="E11" i="68"/>
  <c r="AJ10" i="68"/>
  <c r="AI10" i="68"/>
  <c r="AH10" i="68"/>
  <c r="AG10" i="68"/>
  <c r="AF10" i="68"/>
  <c r="AE10" i="68"/>
  <c r="AD10" i="68"/>
  <c r="AC10" i="68"/>
  <c r="AB10" i="68"/>
  <c r="AA10" i="68"/>
  <c r="Z10" i="68"/>
  <c r="Y10" i="68"/>
  <c r="T10" i="68"/>
  <c r="V10" i="68"/>
  <c r="N10" i="68"/>
  <c r="M10" i="68"/>
  <c r="E10" i="68"/>
  <c r="T9" i="68"/>
  <c r="V9" i="68"/>
  <c r="E9" i="68"/>
  <c r="C9" i="68"/>
  <c r="T8" i="68"/>
  <c r="V8" i="68"/>
  <c r="N8" i="68"/>
  <c r="M8" i="68"/>
  <c r="E8" i="68"/>
  <c r="Z7" i="68"/>
  <c r="X7" i="68"/>
  <c r="S7" i="68"/>
  <c r="T7" i="68"/>
  <c r="V7" i="68"/>
  <c r="N7" i="68"/>
  <c r="M7" i="68"/>
  <c r="C7" i="68"/>
  <c r="A7" i="68"/>
  <c r="S6" i="68"/>
  <c r="T6" i="68"/>
  <c r="V6" i="68"/>
  <c r="N6" i="68"/>
  <c r="M6" i="68"/>
  <c r="S5" i="68"/>
  <c r="T5" i="68"/>
  <c r="V5" i="68"/>
  <c r="N5" i="68"/>
  <c r="M5" i="68"/>
  <c r="S4" i="68"/>
  <c r="T4" i="68"/>
  <c r="V4" i="68"/>
  <c r="N4" i="68"/>
  <c r="M4" i="68"/>
  <c r="B2" i="68"/>
  <c r="D4" i="68"/>
  <c r="B4" i="68"/>
  <c r="S3" i="68"/>
  <c r="T3" i="68"/>
  <c r="V3" i="68"/>
  <c r="N3" i="68"/>
  <c r="M3" i="68"/>
  <c r="D1" i="68"/>
  <c r="B3" i="68"/>
  <c r="N2" i="68"/>
  <c r="M2" i="68"/>
  <c r="N1" i="68"/>
  <c r="M1" i="68"/>
  <c r="AH5" i="59"/>
  <c r="AG5" i="59"/>
  <c r="AE5" i="59"/>
  <c r="AF5" i="59"/>
  <c r="AD5" i="59"/>
  <c r="Q5" i="59"/>
  <c r="P5" i="59"/>
  <c r="O5" i="59"/>
  <c r="N5" i="59"/>
  <c r="AH6" i="59"/>
  <c r="AG6" i="59"/>
  <c r="AE6" i="59"/>
  <c r="AF6" i="59"/>
  <c r="AD6" i="59"/>
  <c r="Q6" i="59"/>
  <c r="AB5" i="59"/>
  <c r="P6" i="59"/>
  <c r="AA5" i="59"/>
  <c r="O6" i="59"/>
  <c r="Y5" i="59"/>
  <c r="Z5" i="59"/>
  <c r="N6" i="59"/>
  <c r="X5" i="59"/>
  <c r="AB32" i="59"/>
  <c r="AA32" i="59"/>
  <c r="Z32" i="59"/>
  <c r="Y32" i="59"/>
  <c r="X32" i="59"/>
  <c r="AB31" i="59"/>
  <c r="AA31" i="59"/>
  <c r="Y31" i="59"/>
  <c r="Z31" i="59"/>
  <c r="X31" i="59"/>
  <c r="AB30" i="59"/>
  <c r="AA30" i="59"/>
  <c r="Z30" i="59"/>
  <c r="Y30" i="59"/>
  <c r="X30" i="59"/>
  <c r="AB29" i="59"/>
  <c r="AA29" i="59"/>
  <c r="Y29" i="59"/>
  <c r="Z29" i="59"/>
  <c r="X29" i="59"/>
  <c r="AB28" i="59"/>
  <c r="AA28" i="59"/>
  <c r="Z28" i="59"/>
  <c r="Y28" i="59"/>
  <c r="X28" i="59"/>
  <c r="AB27" i="59"/>
  <c r="AA27" i="59"/>
  <c r="Y27" i="59"/>
  <c r="Z27" i="59"/>
  <c r="X27" i="59"/>
  <c r="AB26" i="59"/>
  <c r="AA26" i="59"/>
  <c r="Z26" i="59"/>
  <c r="Y26" i="59"/>
  <c r="X26" i="59"/>
  <c r="AB25" i="59"/>
  <c r="AA25" i="59"/>
  <c r="Y25" i="59"/>
  <c r="Z25" i="59"/>
  <c r="X25" i="59"/>
  <c r="AB24" i="59"/>
  <c r="AA24" i="59"/>
  <c r="Z24" i="59"/>
  <c r="Y24" i="59"/>
  <c r="X24" i="59"/>
  <c r="AB23" i="59"/>
  <c r="AA23" i="59"/>
  <c r="Y23" i="59"/>
  <c r="Z23" i="59"/>
  <c r="X23" i="59"/>
  <c r="AB22" i="59"/>
  <c r="AA22" i="59"/>
  <c r="Z22" i="59"/>
  <c r="Y22" i="59"/>
  <c r="X22" i="59"/>
  <c r="AB21" i="59"/>
  <c r="AA21" i="59"/>
  <c r="Y21" i="59"/>
  <c r="Z21" i="59"/>
  <c r="X21" i="59"/>
  <c r="AB20" i="59"/>
  <c r="AA20" i="59"/>
  <c r="Z20" i="59"/>
  <c r="Y20" i="59"/>
  <c r="X20" i="59"/>
  <c r="AB19" i="59"/>
  <c r="AA19" i="59"/>
  <c r="Y19" i="59"/>
  <c r="Z19" i="59"/>
  <c r="X19" i="59"/>
  <c r="AB18" i="59"/>
  <c r="AA18" i="59"/>
  <c r="Z18" i="59"/>
  <c r="Y18" i="59"/>
  <c r="X18" i="59"/>
  <c r="AB17" i="59"/>
  <c r="AA17" i="59"/>
  <c r="Y17" i="59"/>
  <c r="Z17" i="59"/>
  <c r="X17" i="59"/>
  <c r="AB16" i="59"/>
  <c r="AA16" i="59"/>
  <c r="Z16" i="59"/>
  <c r="Y16" i="59"/>
  <c r="X16" i="59"/>
  <c r="AB15" i="59"/>
  <c r="AA15" i="59"/>
  <c r="Y15" i="59"/>
  <c r="Z15" i="59"/>
  <c r="X15" i="59"/>
  <c r="AB14" i="59"/>
  <c r="AA14" i="59"/>
  <c r="Z14" i="59"/>
  <c r="Y14" i="59"/>
  <c r="X14" i="59"/>
  <c r="AB13" i="59"/>
  <c r="AA13" i="59"/>
  <c r="Y13" i="59"/>
  <c r="Z13" i="59"/>
  <c r="X13" i="59"/>
  <c r="AB12" i="59"/>
  <c r="AA12" i="59"/>
  <c r="Z12" i="59"/>
  <c r="Y12" i="59"/>
  <c r="X12" i="59"/>
  <c r="AB11" i="59"/>
  <c r="AA11" i="59"/>
  <c r="Y11" i="59"/>
  <c r="Z11" i="59"/>
  <c r="X11" i="59"/>
  <c r="AB10" i="59"/>
  <c r="AA10" i="59"/>
  <c r="Z10" i="59"/>
  <c r="Y10" i="59"/>
  <c r="X10" i="59"/>
  <c r="AB9" i="59"/>
  <c r="AA9" i="59"/>
  <c r="Y9" i="59"/>
  <c r="Z9" i="59"/>
  <c r="X9" i="59"/>
  <c r="AB8" i="59"/>
  <c r="AA8" i="59"/>
  <c r="Z8" i="59"/>
  <c r="Y8" i="59"/>
  <c r="X8" i="59"/>
  <c r="F25" i="12"/>
  <c r="C25" i="12"/>
  <c r="C16" i="11"/>
  <c r="C15" i="11"/>
  <c r="C14" i="11"/>
  <c r="C9" i="11"/>
  <c r="C8" i="11"/>
  <c r="K36" i="36"/>
  <c r="K38" i="35"/>
  <c r="K42" i="37"/>
  <c r="K49" i="34"/>
  <c r="K48" i="33"/>
  <c r="K48" i="21"/>
  <c r="K44" i="40"/>
  <c r="K49" i="39"/>
  <c r="E77" i="9"/>
  <c r="F77" i="9"/>
  <c r="AH7" i="59"/>
  <c r="AG7" i="59"/>
  <c r="AE7" i="59"/>
  <c r="AF7" i="59"/>
  <c r="AD7" i="59"/>
  <c r="Q7" i="59"/>
  <c r="P7" i="59"/>
  <c r="O7" i="59"/>
  <c r="N7" i="59"/>
  <c r="Y6" i="59"/>
  <c r="Z6" i="59"/>
  <c r="Y7" i="59"/>
  <c r="X6" i="59"/>
  <c r="X7" i="59"/>
  <c r="AA6" i="59"/>
  <c r="AA7" i="59"/>
  <c r="AB6" i="59"/>
  <c r="AB7" i="59"/>
  <c r="A21" i="31"/>
  <c r="C109" i="9"/>
  <c r="V9" i="59"/>
  <c r="U9" i="59"/>
  <c r="T9" i="59"/>
  <c r="S9" i="59"/>
  <c r="AH8" i="59"/>
  <c r="AG8" i="59"/>
  <c r="AE8" i="59"/>
  <c r="AF8" i="59"/>
  <c r="AD8" i="59"/>
  <c r="Q8" i="59"/>
  <c r="P8" i="59"/>
  <c r="O8" i="59"/>
  <c r="Z7" i="59"/>
  <c r="N8" i="59"/>
  <c r="Q10" i="59"/>
  <c r="P10" i="59"/>
  <c r="O10" i="59"/>
  <c r="N10" i="59"/>
  <c r="AH9" i="59"/>
  <c r="AG9" i="59"/>
  <c r="AE9" i="59"/>
  <c r="AF9" i="59"/>
  <c r="AD9" i="59"/>
  <c r="Q9" i="59"/>
  <c r="P9" i="59"/>
  <c r="O9" i="59"/>
  <c r="N9" i="59"/>
  <c r="F10" i="59"/>
  <c r="F9" i="59"/>
  <c r="F8" i="59"/>
  <c r="F7" i="59"/>
  <c r="F6" i="59"/>
  <c r="F5" i="59"/>
  <c r="E10" i="59"/>
  <c r="C10" i="59"/>
  <c r="C9" i="59"/>
  <c r="C8" i="59"/>
  <c r="B10" i="59"/>
  <c r="AH10" i="59"/>
  <c r="AG10" i="59"/>
  <c r="AE10" i="59"/>
  <c r="AF10" i="59"/>
  <c r="AD10" i="59"/>
  <c r="Q11" i="59"/>
  <c r="Q12" i="59"/>
  <c r="P11" i="59"/>
  <c r="P12" i="59"/>
  <c r="O11" i="59"/>
  <c r="O12" i="59"/>
  <c r="N11" i="59"/>
  <c r="N12" i="59"/>
  <c r="F12" i="59"/>
  <c r="F11" i="59"/>
  <c r="E12" i="59"/>
  <c r="E11" i="59"/>
  <c r="C12" i="59"/>
  <c r="C11" i="59"/>
  <c r="D10" i="59"/>
  <c r="B12" i="59"/>
  <c r="B11" i="59"/>
  <c r="AH11" i="59"/>
  <c r="AG11" i="59"/>
  <c r="AE11" i="59"/>
  <c r="AF11" i="59"/>
  <c r="AD11" i="59"/>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c r="K3" i="59"/>
  <c r="AG3" i="59"/>
  <c r="J3" i="59"/>
  <c r="AE3" i="59"/>
  <c r="AF3" i="59"/>
  <c r="I3" i="59"/>
  <c r="AD3" i="59"/>
  <c r="AH14" i="59"/>
  <c r="AG14" i="59"/>
  <c r="AE14" i="59"/>
  <c r="AF14" i="59"/>
  <c r="AD14" i="59"/>
  <c r="Q14" i="59"/>
  <c r="Q15" i="59"/>
  <c r="P14" i="59"/>
  <c r="P15" i="59"/>
  <c r="O14" i="59"/>
  <c r="O15" i="59"/>
  <c r="N14" i="59"/>
  <c r="N15" i="59"/>
  <c r="AH15" i="59"/>
  <c r="AG15" i="59"/>
  <c r="AE15" i="59"/>
  <c r="AF15" i="59"/>
  <c r="AD15" i="59"/>
  <c r="Q16" i="59"/>
  <c r="P16" i="59"/>
  <c r="O16" i="59"/>
  <c r="N16" i="59"/>
  <c r="M19" i="46"/>
  <c r="J50" i="15"/>
  <c r="J51" i="15"/>
  <c r="D18" i="59"/>
  <c r="AH16" i="59"/>
  <c r="AG16" i="59"/>
  <c r="AE16" i="59"/>
  <c r="AF16" i="59"/>
  <c r="AD16" i="59"/>
  <c r="AE17" i="59"/>
  <c r="AF17" i="59"/>
  <c r="AG17" i="59"/>
  <c r="AH17" i="59"/>
  <c r="AD17" i="59"/>
  <c r="Q17" i="59"/>
  <c r="P17" i="59"/>
  <c r="O17" i="59"/>
  <c r="N17" i="59"/>
  <c r="N18" i="59"/>
  <c r="Q18" i="59"/>
  <c r="P18" i="59"/>
  <c r="O18"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9" i="59"/>
  <c r="O19" i="59"/>
  <c r="N20" i="59"/>
  <c r="O20" i="59"/>
  <c r="P20" i="59"/>
  <c r="Q20" i="59"/>
  <c r="N19" i="59"/>
  <c r="P19" i="59"/>
  <c r="B21" i="59"/>
  <c r="C21" i="59"/>
  <c r="D21" i="59"/>
  <c r="E21" i="59"/>
  <c r="F21" i="59"/>
  <c r="K75" i="9"/>
  <c r="K6" i="4"/>
  <c r="O76" i="9"/>
  <c r="L76" i="9"/>
  <c r="K76" i="9"/>
  <c r="B22" i="31"/>
  <c r="E15" i="66"/>
  <c r="F15" i="66"/>
  <c r="E16" i="66"/>
  <c r="F16" i="66"/>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D19" i="59"/>
  <c r="S2" i="31"/>
  <c r="M2" i="31"/>
  <c r="N2" i="31"/>
  <c r="O2" i="31"/>
  <c r="P2" i="31"/>
  <c r="Q2" i="31"/>
  <c r="R2" i="31"/>
  <c r="C17" i="59"/>
  <c r="C16" i="59"/>
  <c r="C3" i="65"/>
  <c r="N1" i="65"/>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AA3" i="59"/>
  <c r="AB3" i="59"/>
  <c r="B24" i="59"/>
  <c r="B25" i="59"/>
  <c r="S25" i="59"/>
  <c r="E23" i="59"/>
  <c r="E24" i="59"/>
  <c r="E25" i="59"/>
  <c r="U25" i="59"/>
  <c r="B44" i="59"/>
  <c r="B45" i="59"/>
  <c r="S45" i="59"/>
  <c r="E44" i="59"/>
  <c r="E45" i="59"/>
  <c r="U45" i="59"/>
  <c r="S61"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L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O12"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c r="C24" i="12"/>
  <c r="BB12" i="3"/>
  <c r="F9" i="12"/>
  <c r="D9" i="12"/>
  <c r="E9" i="12"/>
  <c r="G9" i="12"/>
  <c r="K5" i="3"/>
  <c r="J5" i="3"/>
  <c r="BE10" i="3"/>
  <c r="BD13" i="3"/>
  <c r="BE13" i="3"/>
  <c r="BF13" i="3"/>
  <c r="BF5" i="3"/>
  <c r="BG13" i="3"/>
  <c r="BG5" i="3"/>
  <c r="BH13" i="3"/>
  <c r="BH5"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c r="O11" i="1"/>
  <c r="P11" i="1"/>
  <c r="B9" i="1"/>
  <c r="E9" i="1"/>
  <c r="K9" i="1"/>
  <c r="M9" i="1"/>
  <c r="B7" i="1"/>
  <c r="E7" i="1"/>
  <c r="K7" i="1"/>
  <c r="M7" i="1"/>
  <c r="O7" i="1"/>
  <c r="P7" i="1"/>
  <c r="C20" i="43"/>
  <c r="F6" i="1"/>
  <c r="AP6" i="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BA16" i="3"/>
  <c r="BA17" i="3"/>
  <c r="AZ17" i="3"/>
  <c r="F3" i="35"/>
  <c r="K1" i="43"/>
  <c r="K1" i="12"/>
  <c r="G1" i="44"/>
  <c r="I4" i="6"/>
  <c r="G3" i="46"/>
  <c r="AZ15" i="3"/>
  <c r="BK5" i="3"/>
  <c r="BO5" i="3"/>
  <c r="BP5" i="3"/>
  <c r="BN5" i="3"/>
  <c r="BL18" i="3"/>
  <c r="AZ18" i="3"/>
  <c r="BC5" i="3"/>
  <c r="E8" i="6"/>
  <c r="BD5" i="3"/>
  <c r="BR5" i="3"/>
  <c r="G28" i="6"/>
  <c r="BS5" i="3"/>
  <c r="BQ5" i="3"/>
  <c r="BL16" i="3"/>
  <c r="BM5" i="3"/>
  <c r="BA13" i="3"/>
  <c r="G28" i="12"/>
  <c r="G22" i="43"/>
  <c r="G26" i="12"/>
  <c r="D24" i="44"/>
  <c r="D26" i="44"/>
  <c r="G27" i="12"/>
  <c r="G23" i="43"/>
  <c r="G21" i="43"/>
  <c r="N8" i="46"/>
  <c r="N4" i="46"/>
  <c r="N1" i="46"/>
  <c r="F69" i="46"/>
  <c r="N9" i="46"/>
  <c r="F47" i="46"/>
  <c r="M9" i="46"/>
  <c r="M2" i="46"/>
  <c r="N11"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c r="C51" i="10"/>
  <c r="I100" i="46"/>
  <c r="B45" i="46"/>
  <c r="C24" i="46"/>
  <c r="N100" i="46"/>
  <c r="H100" i="46"/>
  <c r="F108" i="46"/>
  <c r="H80"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48" i="35"/>
  <c r="D48" i="35"/>
  <c r="E48" i="35"/>
  <c r="F48" i="35"/>
  <c r="G48" i="35"/>
  <c r="H48" i="35"/>
  <c r="I48" i="35"/>
  <c r="J48" i="35"/>
  <c r="K48" i="35"/>
  <c r="C52" i="37"/>
  <c r="D52" i="37"/>
  <c r="E52" i="37"/>
  <c r="F52" i="37"/>
  <c r="G52" i="37"/>
  <c r="H52" i="37"/>
  <c r="I52" i="37"/>
  <c r="J52" i="37"/>
  <c r="K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c r="C12" i="1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G29" i="6"/>
  <c r="E29" i="6"/>
  <c r="K15" i="1"/>
  <c r="AZ16" i="3"/>
  <c r="A9" i="64"/>
  <c r="A9" i="51"/>
  <c r="B9" i="63"/>
  <c r="A3" i="55"/>
  <c r="B56" i="63"/>
  <c r="E4" i="4"/>
  <c r="C4" i="4"/>
  <c r="G66" i="36"/>
  <c r="J18" i="36"/>
  <c r="AE8" i="1"/>
  <c r="AE7" i="1"/>
  <c r="AE6" i="1"/>
  <c r="W18" i="36"/>
  <c r="AC18" i="36"/>
  <c r="AG6" i="1"/>
  <c r="L20" i="6"/>
  <c r="B21" i="55"/>
  <c r="B72" i="63"/>
  <c r="B20" i="55"/>
  <c r="B70" i="63"/>
  <c r="K20" i="6"/>
  <c r="S7" i="1"/>
  <c r="S8" i="1"/>
  <c r="S9" i="1"/>
  <c r="R9" i="1"/>
  <c r="M20" i="6"/>
  <c r="I20" i="6"/>
  <c r="H20" i="6"/>
  <c r="D20" i="6"/>
  <c r="R20" i="6"/>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E70" i="39"/>
  <c r="E72" i="39"/>
  <c r="C72" i="39"/>
  <c r="C67" i="40"/>
  <c r="D65" i="40"/>
  <c r="D67" i="40"/>
  <c r="H58" i="46"/>
  <c r="J17" i="46"/>
  <c r="C17" i="46"/>
  <c r="F34" i="46"/>
  <c r="F38" i="46"/>
  <c r="F37" i="46"/>
  <c r="H113" i="46"/>
  <c r="H49" i="46"/>
  <c r="H53" i="46"/>
  <c r="D16" i="59"/>
  <c r="C15" i="59"/>
  <c r="D15" i="59"/>
  <c r="U13" i="59"/>
  <c r="F16" i="59"/>
  <c r="F15" i="59"/>
  <c r="F14" i="59"/>
  <c r="F13"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Q16" i="1"/>
  <c r="F24" i="43"/>
  <c r="C26" i="43"/>
  <c r="D24" i="43"/>
  <c r="H51" i="46"/>
  <c r="X7" i="46"/>
  <c r="E17" i="46"/>
  <c r="N17" i="46"/>
  <c r="O17" i="46"/>
  <c r="M17" i="46"/>
  <c r="L17" i="46"/>
  <c r="E28" i="6"/>
  <c r="P13" i="1"/>
  <c r="P12" i="1"/>
  <c r="AP7"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14" i="59"/>
  <c r="C13" i="59"/>
  <c r="T13" i="59"/>
  <c r="B14" i="59"/>
  <c r="B13" i="59"/>
  <c r="S13" i="59"/>
  <c r="D14" i="59"/>
  <c r="E65" i="40"/>
  <c r="F65" i="40"/>
  <c r="F67" i="40"/>
  <c r="D72" i="39"/>
  <c r="V13" i="59"/>
  <c r="D13" i="59"/>
  <c r="K14" i="1"/>
  <c r="M14" i="1"/>
  <c r="E30" i="6"/>
  <c r="E46" i="36"/>
  <c r="C23" i="46"/>
  <c r="C7" i="46"/>
  <c r="F70" i="39"/>
  <c r="G70" i="39"/>
  <c r="H70" i="39"/>
  <c r="I70" i="39"/>
  <c r="D12" i="59"/>
  <c r="D11" i="59"/>
  <c r="S2" i="46"/>
  <c r="S7" i="46"/>
  <c r="S4" i="46"/>
  <c r="F46" i="36"/>
  <c r="G46" i="36"/>
  <c r="H46" i="36"/>
  <c r="G65" i="40"/>
  <c r="H65" i="40"/>
  <c r="H67" i="40"/>
  <c r="G72" i="39"/>
  <c r="I65" i="40"/>
  <c r="J65" i="40"/>
  <c r="H72" i="39"/>
  <c r="I67" i="40"/>
  <c r="M29" i="15"/>
  <c r="F39" i="44"/>
  <c r="J15" i="15"/>
  <c r="F42" i="15"/>
  <c r="E9" i="67"/>
  <c r="F11" i="67"/>
  <c r="F40" i="44"/>
  <c r="M6" i="15"/>
  <c r="M9" i="15"/>
  <c r="F45" i="44"/>
  <c r="E10" i="67"/>
  <c r="B10" i="67"/>
  <c r="F12" i="67"/>
  <c r="B8" i="67"/>
  <c r="F40" i="15"/>
  <c r="F28" i="44"/>
  <c r="F9" i="67"/>
  <c r="F46" i="44"/>
  <c r="J17" i="44"/>
  <c r="F41" i="15"/>
  <c r="N5" i="65"/>
  <c r="L47" i="15"/>
  <c r="M27" i="15"/>
  <c r="E8" i="67"/>
  <c r="E14" i="67"/>
  <c r="F9" i="44"/>
  <c r="F38" i="44"/>
  <c r="F16" i="15"/>
  <c r="F37" i="15"/>
  <c r="B13" i="67"/>
  <c r="F15" i="44"/>
  <c r="M28" i="44"/>
  <c r="M24" i="44"/>
  <c r="D21" i="9"/>
  <c r="I3" i="65"/>
  <c r="N6" i="65"/>
  <c r="I7" i="65"/>
  <c r="F8" i="15"/>
  <c r="B14" i="67"/>
  <c r="N7" i="65"/>
  <c r="M8" i="15"/>
  <c r="M28" i="15"/>
  <c r="E29" i="46"/>
  <c r="C33" i="46"/>
  <c r="E33" i="46"/>
  <c r="C34" i="46"/>
  <c r="E34" i="46"/>
  <c r="C35" i="46"/>
  <c r="E35" i="46"/>
  <c r="C36" i="46"/>
  <c r="E36" i="46"/>
  <c r="C37" i="46"/>
  <c r="E37" i="46"/>
  <c r="E41" i="46"/>
  <c r="C41" i="46"/>
  <c r="C38" i="46"/>
  <c r="E38" i="46"/>
  <c r="C39" i="46"/>
  <c r="E39" i="46"/>
  <c r="C26" i="46"/>
  <c r="B2" i="46"/>
  <c r="B4" i="46"/>
  <c r="C21" i="9"/>
  <c r="F8" i="67"/>
  <c r="B11" i="67"/>
  <c r="M26" i="15"/>
  <c r="E13" i="67"/>
  <c r="F38" i="15"/>
  <c r="F13" i="67"/>
  <c r="M11" i="44"/>
  <c r="F43" i="15"/>
  <c r="F6" i="15"/>
  <c r="L48" i="44"/>
  <c r="I5" i="65"/>
  <c r="D20" i="9"/>
  <c r="E12" i="67"/>
  <c r="F14" i="67"/>
  <c r="M8" i="44"/>
  <c r="J5" i="65"/>
  <c r="N4" i="65"/>
  <c r="J7" i="65"/>
  <c r="N3" i="65"/>
  <c r="B12" i="67"/>
  <c r="J6" i="65"/>
  <c r="F10" i="44"/>
  <c r="J4" i="65"/>
  <c r="F26" i="15"/>
  <c r="L49" i="44"/>
  <c r="F13" i="15"/>
  <c r="M22" i="15"/>
  <c r="F8" i="44"/>
  <c r="B3" i="46"/>
  <c r="C20" i="9"/>
  <c r="F7" i="15"/>
  <c r="F10" i="67"/>
  <c r="J36" i="15"/>
  <c r="F9" i="15"/>
  <c r="F18" i="44"/>
  <c r="F43" i="44"/>
  <c r="M23" i="15"/>
  <c r="L48" i="15"/>
  <c r="M25" i="44"/>
  <c r="C19" i="9"/>
  <c r="I6" i="65"/>
  <c r="D19" i="9"/>
  <c r="B9" i="67"/>
  <c r="F11" i="44"/>
  <c r="F36" i="15"/>
  <c r="M29" i="44"/>
  <c r="M31" i="44"/>
  <c r="J3" i="65"/>
  <c r="E11" i="67"/>
  <c r="M26" i="44"/>
  <c r="M30" i="44"/>
  <c r="M10" i="44"/>
  <c r="M24" i="15"/>
  <c r="G17" i="46"/>
  <c r="C16" i="46"/>
  <c r="D5" i="46"/>
  <c r="C31" i="43"/>
  <c r="F31" i="6"/>
  <c r="Y11" i="46"/>
  <c r="Y13" i="46"/>
  <c r="G22" i="46"/>
  <c r="F101" i="46"/>
  <c r="M101" i="46"/>
  <c r="M107" i="46"/>
  <c r="AC11" i="46"/>
  <c r="AC13" i="46"/>
  <c r="AJ11" i="46"/>
  <c r="AJ13" i="46"/>
  <c r="C101" i="46"/>
  <c r="J101" i="46"/>
  <c r="N104" i="45"/>
  <c r="F22" i="46"/>
  <c r="Z7" i="46"/>
  <c r="E22" i="46"/>
  <c r="AA11" i="46"/>
  <c r="AA13" i="46"/>
  <c r="AF11" i="46"/>
  <c r="AF13" i="46"/>
  <c r="S5" i="46"/>
  <c r="S3" i="46"/>
  <c r="S6" i="46"/>
  <c r="H22" i="46"/>
  <c r="H101" i="46"/>
  <c r="D101" i="46"/>
  <c r="I101" i="46"/>
  <c r="N101" i="46"/>
  <c r="AD11" i="46"/>
  <c r="AD13" i="46"/>
  <c r="G101" i="46"/>
  <c r="B113" i="46"/>
  <c r="L101" i="46"/>
  <c r="E101" i="46"/>
  <c r="K101" i="46"/>
  <c r="AG11" i="46"/>
  <c r="AG13" i="46"/>
  <c r="Z11" i="46"/>
  <c r="Z13" i="46"/>
  <c r="AH11" i="46"/>
  <c r="AH13" i="46"/>
  <c r="AI11" i="46"/>
  <c r="AI13" i="46"/>
  <c r="AE11" i="46"/>
  <c r="AE13" i="46"/>
  <c r="AB11" i="46"/>
  <c r="AB13" i="46"/>
  <c r="F33" i="12"/>
  <c r="C34" i="12"/>
  <c r="D33" i="12"/>
  <c r="H16" i="1"/>
  <c r="E12" i="6"/>
  <c r="E15" i="6"/>
  <c r="E11" i="6"/>
  <c r="F105" i="46"/>
  <c r="F104" i="46"/>
  <c r="BL13" i="3"/>
  <c r="L19" i="6"/>
  <c r="L27" i="6"/>
  <c r="G30" i="6"/>
  <c r="G31" i="6"/>
  <c r="C15" i="43"/>
  <c r="H12" i="48"/>
  <c r="K65" i="40"/>
  <c r="J67" i="40"/>
  <c r="J70" i="39"/>
  <c r="I72" i="39"/>
  <c r="G67" i="40"/>
  <c r="G6" i="1"/>
  <c r="I20" i="46"/>
  <c r="L48" i="35"/>
  <c r="M48" i="35"/>
  <c r="N48" i="35"/>
  <c r="O48" i="35"/>
  <c r="J7" i="35"/>
  <c r="H7" i="35"/>
  <c r="F7" i="35"/>
  <c r="J72" i="39"/>
  <c r="K70" i="39"/>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D22" i="46"/>
  <c r="H71" i="46"/>
  <c r="H75" i="46"/>
  <c r="H72" i="46"/>
  <c r="H77" i="46"/>
  <c r="H70" i="46"/>
  <c r="H73" i="46"/>
  <c r="H74" i="46"/>
  <c r="H69" i="46"/>
  <c r="H76" i="46"/>
  <c r="F28" i="15"/>
  <c r="C28" i="15"/>
  <c r="F30" i="44"/>
  <c r="C30" i="44"/>
  <c r="M20" i="44"/>
  <c r="F70" i="9"/>
  <c r="F32" i="15"/>
  <c r="F59" i="15"/>
  <c r="F72" i="9"/>
  <c r="F66" i="9"/>
  <c r="P72" i="9"/>
  <c r="O9" i="1"/>
  <c r="P9" i="1"/>
  <c r="O14" i="1"/>
  <c r="K16" i="1"/>
  <c r="S20" i="6"/>
  <c r="K26" i="6"/>
  <c r="M26" i="6"/>
  <c r="I26" i="6"/>
  <c r="S26" i="6"/>
  <c r="K24" i="6"/>
  <c r="M24" i="6"/>
  <c r="I24" i="6"/>
  <c r="S24" i="6"/>
  <c r="K22" i="6"/>
  <c r="M22" i="6"/>
  <c r="I22" i="6"/>
  <c r="S22" i="6"/>
  <c r="E31" i="6"/>
  <c r="K25" i="6"/>
  <c r="M25" i="6"/>
  <c r="I25" i="6"/>
  <c r="S25" i="6"/>
  <c r="K21" i="6"/>
  <c r="M21" i="6"/>
  <c r="I21" i="6"/>
  <c r="S21" i="6"/>
  <c r="K19" i="6"/>
  <c r="S6" i="1"/>
  <c r="K23" i="6"/>
  <c r="M23" i="6"/>
  <c r="I23" i="6"/>
  <c r="S23" i="6"/>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c r="E232" i="3"/>
  <c r="E293" i="3"/>
  <c r="D21" i="12"/>
  <c r="C21" i="12"/>
  <c r="M16" i="1"/>
  <c r="P14" i="1"/>
  <c r="I102" i="46"/>
  <c r="I109" i="46"/>
  <c r="O8" i="1"/>
  <c r="P8" i="1"/>
  <c r="O6" i="1"/>
  <c r="BL5" i="3"/>
  <c r="AZ13" i="3"/>
  <c r="AZ5" i="3"/>
  <c r="E14" i="6"/>
  <c r="E13" i="6"/>
  <c r="E10" i="6"/>
  <c r="M105" i="46"/>
  <c r="M102" i="46"/>
  <c r="M106" i="46"/>
  <c r="I106" i="46"/>
  <c r="M109" i="46"/>
  <c r="M103" i="46"/>
  <c r="C5" i="46"/>
  <c r="AP16" i="1"/>
  <c r="F22" i="11"/>
  <c r="G16" i="1"/>
  <c r="H12" i="39"/>
  <c r="C18" i="11"/>
  <c r="K77" i="9"/>
  <c r="K79" i="9"/>
  <c r="K81" i="9"/>
  <c r="E12" i="52"/>
  <c r="B15" i="52"/>
  <c r="F31" i="15"/>
  <c r="F33" i="44"/>
  <c r="D8" i="59"/>
  <c r="C7" i="59"/>
  <c r="E9" i="59"/>
  <c r="E8" i="59"/>
  <c r="E7" i="59"/>
  <c r="E6" i="59"/>
  <c r="E5" i="59"/>
  <c r="B9" i="59"/>
  <c r="B8" i="59"/>
  <c r="B7" i="59"/>
  <c r="B6" i="59"/>
  <c r="B5" i="59"/>
  <c r="B4" i="52"/>
  <c r="B7" i="52"/>
  <c r="E14" i="52"/>
  <c r="E6" i="52"/>
  <c r="E11" i="52"/>
  <c r="E9" i="52"/>
  <c r="E7" i="52"/>
  <c r="B9" i="52"/>
  <c r="E4" i="52"/>
  <c r="E13" i="52"/>
  <c r="B8" i="52"/>
  <c r="E10" i="52"/>
  <c r="B10" i="52"/>
  <c r="B6" i="52"/>
  <c r="B5" i="52"/>
  <c r="B11" i="52"/>
  <c r="B12" i="52"/>
  <c r="E8" i="52"/>
  <c r="B14" i="52"/>
  <c r="E5" i="52"/>
  <c r="Y3" i="59"/>
  <c r="Z3" i="59"/>
  <c r="D9" i="59"/>
  <c r="P22" i="46"/>
  <c r="P24" i="46"/>
  <c r="B68" i="40"/>
  <c r="P23" i="46"/>
  <c r="P25" i="46"/>
  <c r="B73" i="39"/>
  <c r="P21" i="46"/>
  <c r="L44" i="9"/>
  <c r="G20" i="9"/>
  <c r="G21" i="9"/>
  <c r="L43" i="9"/>
  <c r="G19" i="9"/>
  <c r="D22" i="9"/>
  <c r="Q73" i="44"/>
  <c r="C6" i="15"/>
  <c r="F65" i="15"/>
  <c r="C29" i="44"/>
  <c r="C8" i="44"/>
  <c r="F68" i="15"/>
  <c r="J1" i="65"/>
  <c r="F67" i="15"/>
  <c r="F50" i="15"/>
  <c r="C27" i="15"/>
  <c r="F64" i="15"/>
  <c r="I1" i="65"/>
  <c r="F70" i="15"/>
  <c r="M9" i="44"/>
  <c r="J8" i="44"/>
  <c r="L59" i="15"/>
  <c r="L58" i="15"/>
  <c r="L60" i="44"/>
  <c r="L59" i="44"/>
  <c r="J53" i="15"/>
  <c r="J57" i="15"/>
  <c r="J55" i="15"/>
  <c r="J58" i="15"/>
  <c r="Q51" i="15"/>
  <c r="I54" i="15"/>
  <c r="L56" i="15"/>
  <c r="F49" i="15"/>
  <c r="F58" i="15"/>
  <c r="M7" i="15"/>
  <c r="M17" i="15"/>
  <c r="I55" i="44"/>
  <c r="J54" i="44"/>
  <c r="L57" i="44"/>
  <c r="J58" i="44"/>
  <c r="J56" i="44"/>
  <c r="J59" i="44"/>
  <c r="Q52" i="44"/>
  <c r="J60" i="44"/>
  <c r="J61" i="44"/>
  <c r="Q50" i="44"/>
  <c r="Q72" i="15"/>
  <c r="F63" i="15"/>
  <c r="C4" i="65"/>
  <c r="B39" i="1"/>
  <c r="C17" i="15"/>
  <c r="C19" i="44"/>
  <c r="C18" i="44"/>
  <c r="E3" i="65"/>
  <c r="C16" i="15"/>
  <c r="E2" i="65"/>
  <c r="D7" i="59"/>
  <c r="C6" i="59"/>
  <c r="S16" i="1"/>
  <c r="T8" i="1"/>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58" i="40"/>
  <c r="E63" i="39"/>
  <c r="E59" i="40"/>
  <c r="E64" i="39"/>
  <c r="J7" i="37"/>
  <c r="H7" i="37"/>
  <c r="K67" i="40"/>
  <c r="L65" i="40"/>
  <c r="J12" i="40"/>
  <c r="AC12" i="40"/>
  <c r="AB7" i="36"/>
  <c r="T36" i="36"/>
  <c r="G36" i="36"/>
  <c r="U7" i="36"/>
  <c r="AA7" i="37"/>
  <c r="R42" i="37"/>
  <c r="S7" i="37"/>
  <c r="S7" i="36"/>
  <c r="AA7" i="36"/>
  <c r="R36" i="36"/>
  <c r="K72" i="39"/>
  <c r="L70" i="39"/>
  <c r="AA7" i="35"/>
  <c r="R38" i="35"/>
  <c r="S7" i="35"/>
  <c r="AC7" i="35"/>
  <c r="V38" i="35"/>
  <c r="I38" i="35"/>
  <c r="W7" i="35"/>
  <c r="E59" i="34"/>
  <c r="E58" i="21"/>
  <c r="E58" i="33"/>
  <c r="W7" i="37"/>
  <c r="AC7" i="37"/>
  <c r="V42" i="37"/>
  <c r="I42" i="37"/>
  <c r="AB7" i="37"/>
  <c r="T42" i="37"/>
  <c r="G42" i="37"/>
  <c r="U7" i="37"/>
  <c r="W7" i="36"/>
  <c r="AC7" i="36"/>
  <c r="V36" i="36"/>
  <c r="I36" i="36"/>
  <c r="U7" i="35"/>
  <c r="AB7" i="35"/>
  <c r="T38" i="35"/>
  <c r="G38" i="35"/>
  <c r="F12" i="40"/>
  <c r="S12" i="40"/>
  <c r="H12" i="40"/>
  <c r="U12" i="40"/>
  <c r="T10" i="1"/>
  <c r="T11" i="1"/>
  <c r="T7" i="1"/>
  <c r="T9" i="1"/>
  <c r="T13" i="1"/>
  <c r="E6" i="3"/>
  <c r="M19" i="6"/>
  <c r="K27" i="6"/>
  <c r="O16" i="1"/>
  <c r="F12" i="39"/>
  <c r="S12" i="39"/>
  <c r="J12" i="39"/>
  <c r="AC12" i="39"/>
  <c r="E60" i="40"/>
  <c r="E65" i="39"/>
  <c r="E3" i="6"/>
  <c r="AY6" i="3"/>
  <c r="P6" i="1"/>
  <c r="C13" i="43"/>
  <c r="L16" i="1"/>
  <c r="N16" i="1"/>
  <c r="C29" i="43"/>
  <c r="E61" i="40"/>
  <c r="E66" i="39"/>
  <c r="U12" i="39"/>
  <c r="AB12" i="39"/>
  <c r="M19" i="44"/>
  <c r="C19" i="46"/>
  <c r="B40" i="1"/>
  <c r="F17" i="11"/>
  <c r="C17" i="11"/>
  <c r="C19" i="11"/>
  <c r="F13" i="44"/>
  <c r="C12" i="44"/>
  <c r="C7" i="44"/>
  <c r="C34" i="44"/>
  <c r="T6" i="1"/>
  <c r="C16" i="44"/>
  <c r="C17" i="44"/>
  <c r="C20" i="44"/>
  <c r="C21" i="44"/>
  <c r="C22" i="44"/>
  <c r="F26" i="44"/>
  <c r="C25" i="44"/>
  <c r="C28" i="44"/>
  <c r="C26" i="44"/>
  <c r="C31" i="44"/>
  <c r="C35" i="44"/>
  <c r="I19" i="6"/>
  <c r="H19" i="6"/>
  <c r="D19" i="6"/>
  <c r="R19" i="6"/>
  <c r="R6" i="1"/>
  <c r="F37" i="44"/>
  <c r="C36" i="44"/>
  <c r="C33" i="44"/>
  <c r="C38" i="44"/>
  <c r="C15" i="44"/>
  <c r="C39" i="44"/>
  <c r="C40" i="44"/>
  <c r="C32" i="44"/>
  <c r="C42" i="44"/>
  <c r="C43" i="44"/>
  <c r="C44" i="44"/>
  <c r="C45" i="44"/>
  <c r="L52" i="44"/>
  <c r="L58" i="44"/>
  <c r="L61" i="44"/>
  <c r="L47" i="44"/>
  <c r="Q62" i="15"/>
  <c r="Q75" i="15"/>
  <c r="C32" i="9"/>
  <c r="N43" i="9"/>
  <c r="M13" i="44"/>
  <c r="J12" i="44"/>
  <c r="J7" i="44"/>
  <c r="F11" i="15"/>
  <c r="M11" i="15"/>
  <c r="J10" i="15"/>
  <c r="Q75" i="44"/>
  <c r="Q62" i="44"/>
  <c r="C48" i="15"/>
  <c r="C32" i="15"/>
  <c r="P28" i="46"/>
  <c r="O28" i="46"/>
  <c r="N28" i="46"/>
  <c r="F1" i="44"/>
  <c r="Q54" i="44"/>
  <c r="J20" i="44"/>
  <c r="Q63" i="44"/>
  <c r="Q76" i="44"/>
  <c r="F1" i="15"/>
  <c r="Q53" i="15"/>
  <c r="Q61" i="15"/>
  <c r="Q74" i="15"/>
  <c r="J6" i="15"/>
  <c r="D6" i="59"/>
  <c r="C5" i="59"/>
  <c r="T12" i="1"/>
  <c r="C115" i="46"/>
  <c r="T16" i="1"/>
  <c r="AA12" i="40"/>
  <c r="M65" i="40"/>
  <c r="L67" i="40"/>
  <c r="W12" i="40"/>
  <c r="AB12" i="40"/>
  <c r="AA12" i="39"/>
  <c r="G42" i="35"/>
  <c r="H42" i="35"/>
  <c r="G43" i="35"/>
  <c r="H43" i="35"/>
  <c r="I40" i="36"/>
  <c r="J40" i="36"/>
  <c r="I46" i="37"/>
  <c r="J46" i="37"/>
  <c r="G46" i="37"/>
  <c r="H46" i="37"/>
  <c r="G47" i="37"/>
  <c r="H47" i="37"/>
  <c r="F59" i="34"/>
  <c r="E38" i="35"/>
  <c r="I43" i="35"/>
  <c r="J43" i="35"/>
  <c r="I42" i="35"/>
  <c r="J42" i="35"/>
  <c r="R39"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M70" i="39"/>
  <c r="L72" i="39"/>
  <c r="R37" i="36"/>
  <c r="E36" i="36"/>
  <c r="P16" i="1"/>
  <c r="C13" i="12"/>
  <c r="C17" i="12"/>
  <c r="C15" i="12"/>
  <c r="W12" i="39"/>
  <c r="M27" i="6"/>
  <c r="D16" i="12"/>
  <c r="D44" i="9"/>
  <c r="D46" i="9"/>
  <c r="D16" i="43"/>
  <c r="C16" i="43"/>
  <c r="E6" i="6"/>
  <c r="L38" i="9"/>
  <c r="B14" i="66"/>
  <c r="B1" i="66"/>
  <c r="D45" i="9"/>
  <c r="C21" i="4"/>
  <c r="O5" i="54"/>
  <c r="B45" i="63"/>
  <c r="C14" i="43"/>
  <c r="C17" i="4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c r="G36" i="46"/>
  <c r="I36" i="46"/>
  <c r="T3" i="46"/>
  <c r="V3" i="46"/>
  <c r="T16" i="46"/>
  <c r="V16" i="46"/>
  <c r="T8" i="46"/>
  <c r="V8" i="46"/>
  <c r="T9" i="46"/>
  <c r="V9" i="46"/>
  <c r="G35" i="46"/>
  <c r="I35" i="46"/>
  <c r="T13" i="46"/>
  <c r="V13" i="46"/>
  <c r="T5" i="46"/>
  <c r="V5" i="46"/>
  <c r="T11" i="46"/>
  <c r="V11" i="46"/>
  <c r="G37" i="46"/>
  <c r="I37" i="46"/>
  <c r="T15" i="46"/>
  <c r="V15" i="46"/>
  <c r="T2" i="46"/>
  <c r="V2" i="46"/>
  <c r="T12" i="46"/>
  <c r="V12" i="46"/>
  <c r="T6" i="46"/>
  <c r="V6" i="46"/>
  <c r="J18" i="15"/>
  <c r="J5" i="15"/>
  <c r="J28" i="44"/>
  <c r="J31" i="44"/>
  <c r="J26" i="44"/>
  <c r="O43" i="9"/>
  <c r="C42" i="9"/>
  <c r="C35" i="9"/>
  <c r="F42" i="9"/>
  <c r="C34" i="9"/>
  <c r="O38" i="9"/>
  <c r="C33" i="9"/>
  <c r="C52" i="15"/>
  <c r="C47" i="15"/>
  <c r="C10" i="15"/>
  <c r="C5" i="15"/>
  <c r="C20" i="11"/>
  <c r="C21" i="11"/>
  <c r="C22" i="11"/>
  <c r="C23" i="11"/>
  <c r="B2" i="11"/>
  <c r="F21" i="43"/>
  <c r="C23" i="43"/>
  <c r="D21" i="43"/>
  <c r="F24" i="15"/>
  <c r="C24" i="15"/>
  <c r="F26" i="12"/>
  <c r="C14" i="15"/>
  <c r="D5" i="59"/>
  <c r="M20" i="46"/>
  <c r="C15" i="15"/>
  <c r="C18" i="15"/>
  <c r="M67" i="40"/>
  <c r="N65" i="40"/>
  <c r="N67" i="40"/>
  <c r="H9" i="40"/>
  <c r="F9" i="40"/>
  <c r="T10" i="46"/>
  <c r="V10" i="46"/>
  <c r="T14" i="46"/>
  <c r="V14" i="46"/>
  <c r="T7" i="46"/>
  <c r="V7" i="46"/>
  <c r="G34" i="46"/>
  <c r="I34" i="46"/>
  <c r="G38" i="46"/>
  <c r="I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N70" i="39"/>
  <c r="N72" i="39"/>
  <c r="M72" i="39"/>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3" i="46"/>
  <c r="I33" i="46"/>
  <c r="G39" i="46"/>
  <c r="I39" i="46"/>
  <c r="C14" i="12"/>
  <c r="C18" i="43"/>
  <c r="C19" i="43"/>
  <c r="C25" i="43"/>
  <c r="C24" i="43"/>
  <c r="S19" i="6"/>
  <c r="S27" i="6"/>
  <c r="I27" i="6"/>
  <c r="C7" i="66"/>
  <c r="C6" i="66"/>
  <c r="C8" i="66"/>
  <c r="C22" i="4"/>
  <c r="D21" i="6"/>
  <c r="D10" i="6"/>
  <c r="H21" i="6"/>
  <c r="D6" i="6"/>
  <c r="D14" i="6"/>
  <c r="H23" i="6"/>
  <c r="F45" i="9"/>
  <c r="E68" i="39"/>
  <c r="D26" i="6"/>
  <c r="D22" i="6"/>
  <c r="D12" i="6"/>
  <c r="H25" i="6"/>
  <c r="D5" i="6"/>
  <c r="H22" i="6"/>
  <c r="H26" i="6"/>
  <c r="F46" i="9"/>
  <c r="E63" i="40"/>
  <c r="D25" i="6"/>
  <c r="H24" i="6"/>
  <c r="D28" i="6"/>
  <c r="E45" i="9"/>
  <c r="K38" i="9"/>
  <c r="C14" i="66"/>
  <c r="B2" i="66"/>
  <c r="D29" i="6"/>
  <c r="E44" i="9"/>
  <c r="D13" i="6"/>
  <c r="D23" i="6"/>
  <c r="D8" i="6"/>
  <c r="F44" i="9"/>
  <c r="D24" i="6"/>
  <c r="R24" i="6"/>
  <c r="D11" i="6"/>
  <c r="D9" i="6"/>
  <c r="D15" i="6"/>
  <c r="E46" i="9"/>
  <c r="G22" i="9"/>
  <c r="D13" i="11"/>
  <c r="C13" i="11"/>
  <c r="D22" i="12"/>
  <c r="C22" i="12"/>
  <c r="C20" i="12"/>
  <c r="D19" i="12"/>
  <c r="C19" i="12"/>
  <c r="C16" i="12"/>
  <c r="C65" i="15"/>
  <c r="C59" i="15"/>
  <c r="N38" i="9"/>
  <c r="K28" i="9"/>
  <c r="D42" i="9"/>
  <c r="Q5" i="54"/>
  <c r="B47" i="63"/>
  <c r="R5" i="54"/>
  <c r="B48" i="63"/>
  <c r="D14" i="66"/>
  <c r="D63" i="9"/>
  <c r="N68" i="9"/>
  <c r="B5" i="11"/>
  <c r="B3" i="11"/>
  <c r="B4" i="11"/>
  <c r="C27" i="12"/>
  <c r="D26" i="12"/>
  <c r="C32" i="12"/>
  <c r="D30" i="12"/>
  <c r="K26" i="9"/>
  <c r="K25" i="9"/>
  <c r="J26" i="15"/>
  <c r="J29" i="15"/>
  <c r="J24" i="15"/>
  <c r="C38" i="15"/>
  <c r="E42" i="9"/>
  <c r="P5" i="54"/>
  <c r="B46" i="63"/>
  <c r="M38" i="9"/>
  <c r="K27" i="9"/>
  <c r="Q58" i="44"/>
  <c r="Q67" i="44"/>
  <c r="Q49" i="44"/>
  <c r="Q55" i="44"/>
  <c r="F7" i="67"/>
  <c r="C19" i="15"/>
  <c r="C20" i="15"/>
  <c r="S9" i="40"/>
  <c r="AA9" i="40"/>
  <c r="R44" i="40"/>
  <c r="AB9" i="40"/>
  <c r="T44" i="40"/>
  <c r="G44" i="40"/>
  <c r="U9" i="40"/>
  <c r="H7" i="34"/>
  <c r="U7" i="34"/>
  <c r="J9" i="39"/>
  <c r="W9" i="39"/>
  <c r="J9" i="40"/>
  <c r="AB7" i="34"/>
  <c r="T49" i="34"/>
  <c r="G49" i="34"/>
  <c r="S7" i="21"/>
  <c r="AA7" i="21"/>
  <c r="R48" i="21"/>
  <c r="H9" i="39"/>
  <c r="F9" i="39"/>
  <c r="AA7" i="33"/>
  <c r="R48" i="33"/>
  <c r="S7" i="33"/>
  <c r="S7" i="34"/>
  <c r="AA7" i="34"/>
  <c r="R49" i="34"/>
  <c r="I52" i="33"/>
  <c r="J52" i="33"/>
  <c r="I52" i="21"/>
  <c r="J52" i="21"/>
  <c r="AB7" i="33"/>
  <c r="T48" i="33"/>
  <c r="G48" i="33"/>
  <c r="U7" i="33"/>
  <c r="G52" i="21"/>
  <c r="H52" i="21"/>
  <c r="G53" i="21"/>
  <c r="H53" i="21"/>
  <c r="J7" i="34"/>
  <c r="C18" i="12"/>
  <c r="C23" i="12"/>
  <c r="C35" i="12"/>
  <c r="C33" i="12"/>
  <c r="C22" i="43"/>
  <c r="C21" i="43"/>
  <c r="C28" i="43"/>
  <c r="C30" i="43"/>
  <c r="C32" i="43"/>
  <c r="B2" i="43"/>
  <c r="B4" i="43"/>
  <c r="D16" i="6"/>
  <c r="D27" i="6"/>
  <c r="D30" i="6"/>
  <c r="R23" i="6"/>
  <c r="R25" i="6"/>
  <c r="D7" i="66"/>
  <c r="D6" i="66"/>
  <c r="D8" i="66"/>
  <c r="H27" i="6"/>
  <c r="R26" i="6"/>
  <c r="A6" i="64"/>
  <c r="A20" i="64"/>
  <c r="A6" i="51"/>
  <c r="B7" i="63"/>
  <c r="A20" i="51"/>
  <c r="B15" i="63"/>
  <c r="N5" i="54"/>
  <c r="B43" i="63"/>
  <c r="R22" i="6"/>
  <c r="R21" i="6"/>
  <c r="E4" i="67"/>
  <c r="D77" i="9"/>
  <c r="N75" i="9"/>
  <c r="D73" i="9"/>
  <c r="N73" i="9"/>
  <c r="C111" i="9"/>
  <c r="C104" i="9"/>
  <c r="C96" i="9"/>
  <c r="C91" i="9"/>
  <c r="C82" i="9"/>
  <c r="C81" i="9"/>
  <c r="C85" i="9"/>
  <c r="C86" i="9"/>
  <c r="D72" i="9"/>
  <c r="C103" i="9"/>
  <c r="D70" i="9"/>
  <c r="C90" i="9"/>
  <c r="D71" i="9"/>
  <c r="D66" i="9"/>
  <c r="N72" i="9"/>
  <c r="B5" i="66"/>
  <c r="E14" i="66"/>
  <c r="F14" i="66"/>
  <c r="B7" i="67"/>
  <c r="E7" i="67"/>
  <c r="Q72" i="44"/>
  <c r="AC9" i="39"/>
  <c r="V49" i="39"/>
  <c r="I49" i="39"/>
  <c r="I53" i="39"/>
  <c r="J53" i="39"/>
  <c r="C23" i="15"/>
  <c r="C26" i="15"/>
  <c r="E44" i="40"/>
  <c r="R45" i="40"/>
  <c r="W9" i="40"/>
  <c r="AC9" i="40"/>
  <c r="V44" i="40"/>
  <c r="I44" i="40"/>
  <c r="G49" i="40"/>
  <c r="H49" i="40"/>
  <c r="G48" i="40"/>
  <c r="H48" i="40"/>
  <c r="G52" i="33"/>
  <c r="H52" i="33"/>
  <c r="G53" i="33"/>
  <c r="H53" i="33"/>
  <c r="R50" i="34"/>
  <c r="E49" i="34"/>
  <c r="R49" i="33"/>
  <c r="E48" i="33"/>
  <c r="S9" i="39"/>
  <c r="AA9" i="39"/>
  <c r="R49" i="39"/>
  <c r="R49" i="21"/>
  <c r="E48" i="21"/>
  <c r="W7" i="34"/>
  <c r="AC7" i="34"/>
  <c r="V49" i="34"/>
  <c r="I49" i="34"/>
  <c r="U9" i="39"/>
  <c r="AB9" i="39"/>
  <c r="T49" i="39"/>
  <c r="G49" i="39"/>
  <c r="G53" i="34"/>
  <c r="H53" i="34"/>
  <c r="B3" i="43"/>
  <c r="B5" i="43"/>
  <c r="R27" i="6"/>
  <c r="D31" i="6"/>
  <c r="C28" i="12"/>
  <c r="C26" i="12"/>
  <c r="C31" i="12"/>
  <c r="C30" i="12"/>
  <c r="C36" i="12"/>
  <c r="B2" i="12"/>
  <c r="B3" i="12"/>
  <c r="E3" i="67"/>
  <c r="C97" i="9"/>
  <c r="C98" i="9"/>
  <c r="E98" i="9"/>
  <c r="E99" i="9"/>
  <c r="Q51" i="44"/>
  <c r="B2" i="67"/>
  <c r="C113" i="9"/>
  <c r="C114" i="9"/>
  <c r="E114" i="9"/>
  <c r="E115" i="9"/>
  <c r="D5" i="66"/>
  <c r="C5" i="66"/>
  <c r="M21" i="15"/>
  <c r="M23" i="44"/>
  <c r="F35" i="15"/>
  <c r="J16" i="44"/>
  <c r="J24" i="44"/>
  <c r="J21" i="44"/>
  <c r="C29" i="15"/>
  <c r="Q50" i="15"/>
  <c r="J22" i="44"/>
  <c r="J19" i="44"/>
  <c r="J20" i="15"/>
  <c r="C34" i="15"/>
  <c r="F62" i="15"/>
  <c r="C61" i="15"/>
  <c r="R16" i="1"/>
  <c r="B4" i="12"/>
  <c r="C33" i="15"/>
  <c r="C31" i="15"/>
  <c r="I48" i="40"/>
  <c r="J48" i="40"/>
  <c r="I49" i="40"/>
  <c r="J49" i="40"/>
  <c r="C45" i="40"/>
  <c r="C44" i="40"/>
  <c r="E49" i="40"/>
  <c r="F49" i="40"/>
  <c r="E48" i="40"/>
  <c r="F48" i="40"/>
  <c r="I53" i="34"/>
  <c r="J53" i="34"/>
  <c r="I54" i="34"/>
  <c r="J54" i="34"/>
  <c r="E53" i="21"/>
  <c r="F53" i="21"/>
  <c r="E52" i="21"/>
  <c r="F52" i="21"/>
  <c r="I53" i="21"/>
  <c r="J53" i="21"/>
  <c r="R50" i="39"/>
  <c r="E49" i="39"/>
  <c r="C13" i="15"/>
  <c r="C37" i="15"/>
  <c r="G54" i="34"/>
  <c r="H54" i="34"/>
  <c r="C48" i="21"/>
  <c r="C49" i="21"/>
  <c r="B3" i="21"/>
  <c r="B2" i="21"/>
  <c r="E52" i="33"/>
  <c r="F52" i="33"/>
  <c r="E53" i="33"/>
  <c r="F53" i="33"/>
  <c r="I53" i="33"/>
  <c r="J53" i="33"/>
  <c r="E54" i="34"/>
  <c r="F54" i="34"/>
  <c r="E53" i="34"/>
  <c r="F53" i="34"/>
  <c r="G53" i="39"/>
  <c r="H53" i="39"/>
  <c r="G54" i="39"/>
  <c r="H54" i="39"/>
  <c r="C49" i="33"/>
  <c r="B3" i="33"/>
  <c r="B2" i="33"/>
  <c r="C48" i="33"/>
  <c r="C50" i="34"/>
  <c r="B3" i="34"/>
  <c r="B2" i="34"/>
  <c r="C49" i="34"/>
  <c r="I6" i="6"/>
  <c r="I5" i="6"/>
  <c r="B5" i="12"/>
  <c r="C99" i="9"/>
  <c r="J15" i="44"/>
  <c r="J25" i="44"/>
  <c r="C115" i="9"/>
  <c r="D76" i="9"/>
  <c r="D74" i="9"/>
  <c r="N74" i="9"/>
  <c r="O77" i="9"/>
  <c r="O78" i="9"/>
  <c r="B3" i="67"/>
  <c r="B4" i="67"/>
  <c r="J59" i="15"/>
  <c r="J60" i="15"/>
  <c r="Q49" i="15"/>
  <c r="C56" i="15"/>
  <c r="C60" i="15"/>
  <c r="J14" i="15"/>
  <c r="J22" i="15"/>
  <c r="J19" i="15"/>
  <c r="J17" i="15"/>
  <c r="C36" i="15"/>
  <c r="C30" i="15"/>
  <c r="C39" i="15"/>
  <c r="Q70" i="15"/>
  <c r="C58" i="15"/>
  <c r="J18" i="44"/>
  <c r="J27" i="44"/>
  <c r="J13" i="15"/>
  <c r="J23" i="15"/>
  <c r="B56" i="40"/>
  <c r="F56" i="40"/>
  <c r="B61" i="40"/>
  <c r="F61" i="40"/>
  <c r="B60" i="40"/>
  <c r="F60" i="40"/>
  <c r="B55" i="40"/>
  <c r="F55" i="40"/>
  <c r="B53" i="40"/>
  <c r="F53" i="40"/>
  <c r="B57" i="40"/>
  <c r="F57" i="40"/>
  <c r="B62" i="40"/>
  <c r="F62" i="40"/>
  <c r="B54" i="40"/>
  <c r="F54" i="40"/>
  <c r="B59" i="40"/>
  <c r="F59" i="40"/>
  <c r="B58" i="40"/>
  <c r="F58" i="40"/>
  <c r="F63" i="40"/>
  <c r="B2" i="40"/>
  <c r="L51" i="15"/>
  <c r="L57" i="15"/>
  <c r="L60" i="15"/>
  <c r="L46" i="15"/>
  <c r="Q71" i="15"/>
  <c r="C55" i="15"/>
  <c r="C64" i="15"/>
  <c r="J35" i="15"/>
  <c r="C50" i="39"/>
  <c r="C49" i="39"/>
  <c r="E53" i="39"/>
  <c r="F53" i="39"/>
  <c r="E54" i="39"/>
  <c r="F54" i="39"/>
  <c r="I54" i="39"/>
  <c r="J54" i="39"/>
  <c r="Q77" i="9"/>
  <c r="O79" i="9"/>
  <c r="O81" i="9"/>
  <c r="C63" i="15"/>
  <c r="Q71" i="44"/>
  <c r="Q70" i="44"/>
  <c r="J16" i="15"/>
  <c r="J25" i="15"/>
  <c r="B3" i="40"/>
  <c r="B4" i="40"/>
  <c r="B5" i="40"/>
  <c r="C40" i="15"/>
  <c r="Q57" i="15"/>
  <c r="Q69" i="15"/>
  <c r="J39" i="15"/>
  <c r="J40" i="15"/>
  <c r="C57" i="15"/>
  <c r="C66" i="15"/>
  <c r="C67" i="15"/>
  <c r="C70" i="15"/>
  <c r="B59" i="39"/>
  <c r="F59" i="39"/>
  <c r="B63" i="39"/>
  <c r="F63" i="39"/>
  <c r="B66" i="39"/>
  <c r="F66" i="39"/>
  <c r="B67" i="39"/>
  <c r="F67" i="39"/>
  <c r="B62" i="39"/>
  <c r="F62" i="39"/>
  <c r="B65" i="39"/>
  <c r="F65" i="39"/>
  <c r="B64" i="39"/>
  <c r="F64" i="39"/>
  <c r="B61" i="39"/>
  <c r="F61" i="39"/>
  <c r="B60" i="39"/>
  <c r="F60" i="39"/>
  <c r="B58" i="39"/>
  <c r="F58" i="39"/>
  <c r="F68" i="39"/>
  <c r="B2" i="39"/>
  <c r="B2" i="44"/>
  <c r="B3" i="44"/>
  <c r="O80" i="9"/>
  <c r="Q67" i="15"/>
  <c r="Q68" i="15"/>
  <c r="J42" i="15"/>
  <c r="J43" i="15"/>
  <c r="B2" i="15"/>
  <c r="B3" i="15"/>
  <c r="C43" i="15"/>
  <c r="Q66" i="15"/>
  <c r="Q48" i="15"/>
  <c r="Q54" i="15"/>
  <c r="C46" i="15"/>
  <c r="B4" i="39"/>
  <c r="B5" i="39"/>
  <c r="B3" i="39"/>
  <c r="B4" i="44"/>
  <c r="B5" i="44"/>
  <c r="Q69" i="44"/>
  <c r="Q58" i="15"/>
  <c r="Q63" i="15"/>
  <c r="Q76" i="15"/>
  <c r="Q68" i="44"/>
  <c r="Q77" i="44"/>
  <c r="Q59" i="44"/>
  <c r="Q64" i="44"/>
  <c r="D113" i="46"/>
  <c r="J22" i="46"/>
  <c r="C21" i="46"/>
  <c r="D4" i="46"/>
  <c r="E30" i="46"/>
  <c r="C27"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<sst xmlns="http://schemas.openxmlformats.org/spreadsheetml/2006/main" count="7167" uniqueCount="3024">
  <si>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</si>
  <si>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</si>
  <si>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</si>
  <si>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</si>
  <si>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</si>
  <si>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</si>
  <si>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</si>
  <si>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</si>
  <si>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</si>
  <si>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</si>
  <si>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</si>
  <si>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</si>
  <si>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</si>
  <si>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</si>
  <si>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</si>
  <si>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</si>
  <si>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</si>
  <si>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</si>
  <si>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</si>
  <si>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</si>
  <si>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</si>
  <si>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</si>
  <si>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</si>
  <si>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</si>
  <si>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</si>
  <si>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</si>
  <si>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</si>
  <si>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</si>
  <si>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</si>
  <si>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</si>
  <si>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</si>
  <si>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</si>
  <si>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</si>
  <si>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</si>
  <si>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</si>
  <si>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</si>
  <si>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</si>
  <si>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</si>
  <si>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</si>
  <si>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</si>
  <si>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</si>
  <si>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</si>
  <si>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</si>
  <si>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</si>
  <si>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</si>
  <si>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</si>
  <si>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</si>
  <si>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</si>
  <si>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</si>
  <si>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</si>
  <si>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</si>
  <si>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</si>
  <si>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</si>
  <si>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</si>
  <si>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</si>
  <si>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</si>
  <si>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</si>
  <si>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</si>
  <si>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</si>
  <si>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</si>
  <si>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</si>
  <si>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</si>
  <si>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</si>
  <si>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</si>
  <si>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</si>
  <si>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</si>
  <si>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</si>
  <si>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</si>
  <si>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</si>
  <si>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</si>
  <si>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</si>
  <si>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</si>
  <si>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</si>
  <si>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</si>
  <si>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</si>
  <si>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</si>
  <si>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</si>
  <si>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</si>
  <si>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</si>
  <si>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</si>
  <si>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</si>
  <si>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</si>
  <si>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</si>
  <si>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</si>
  <si>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</si>
  <si>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</si>
  <si>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</si>
  <si>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</si>
  <si>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</si>
  <si>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</si>
  <si>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</si>
  <si>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</si>
  <si>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</si>
  <si>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</si>
  <si>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</si>
  <si>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</si>
  <si>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</si>
  <si>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</si>
  <si>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</si>
  <si>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</si>
  <si>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</si>
  <si>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</si>
  <si>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</si>
  <si>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</si>
  <si>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</si>
  <si>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</si>
  <si>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</si>
  <si>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</si>
  <si>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</si>
  <si>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</si>
  <si>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</si>
  <si>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</si>
  <si>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</si>
  <si>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</si>
  <si>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</si>
  <si>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</si>
  <si>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</si>
  <si>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</si>
  <si>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</si>
  <si>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</si>
  <si>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</si>
  <si>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</si>
  <si>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</si>
  <si>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</si>
  <si>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</si>
  <si>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</si>
  <si>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</si>
  <si>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</si>
  <si>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</si>
  <si>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</si>
  <si>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</si>
  <si>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</si>
  <si>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</si>
  <si>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</si>
  <si>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</si>
  <si>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</si>
  <si>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</si>
  <si>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</si>
  <si>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</si>
  <si>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</si>
  <si>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</si>
  <si>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</si>
  <si>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</si>
  <si>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</si>
  <si>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</si>
  <si>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</si>
  <si>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</si>
  <si>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</si>
  <si>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</si>
  <si>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</si>
  <si>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</si>
  <si>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</si>
  <si>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</si>
  <si>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</si>
  <si>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</si>
  <si>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</si>
  <si>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</si>
  <si>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</si>
  <si>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</si>
  <si>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</si>
  <si>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</si>
  <si>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</si>
  <si>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</si>
  <si>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</si>
  <si>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</si>
  <si>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</si>
  <si>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</si>
  <si>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</si>
  <si>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</si>
  <si>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</si>
  <si>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</si>
  <si>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</si>
  <si>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</si>
  <si>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</si>
  <si>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</si>
  <si>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</si>
  <si>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</si>
  <si>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</si>
  <si>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</si>
  <si>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</si>
  <si>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</si>
  <si>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</si>
  <si>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</si>
  <si>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</si>
  <si>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</si>
  <si>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</si>
  <si>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</si>
  <si>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</si>
  <si>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</si>
  <si>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</si>
  <si>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</si>
  <si>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</si>
  <si>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</si>
  <si>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</si>
  <si>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</si>
  <si>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</si>
  <si>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</si>
  <si>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</si>
  <si>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</si>
  <si>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</si>
  <si>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</si>
  <si>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</si>
  <si>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</si>
  <si>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</si>
  <si>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</si>
  <si>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</si>
  <si>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</si>
  <si>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</si>
  <si>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</si>
  <si>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</si>
  <si>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</si>
  <si>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</si>
  <si>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</si>
  <si>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</si>
  <si>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</si>
  <si>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</si>
  <si>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</si>
  <si>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</si>
  <si>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</si>
  <si>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</si>
  <si>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</si>
  <si>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</si>
  <si>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</si>
  <si>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</si>
  <si>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</si>
  <si>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</si>
  <si>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</si>
  <si>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</si>
  <si>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</si>
  <si>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</si>
  <si>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</si>
  <si>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</si>
  <si>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</si>
  <si>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</si>
  <si>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</si>
  <si>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</si>
  <si>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</si>
  <si>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</si>
  <si>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</si>
  <si>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</si>
  <si>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</si>
  <si>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</si>
  <si>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</si>
  <si>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</si>
  <si>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</si>
  <si>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</si>
  <si>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</si>
  <si>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</si>
  <si>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</si>
  <si>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</si>
  <si>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</si>
  <si>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</si>
  <si>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</si>
  <si>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</si>
  <si>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</si>
  <si>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</si>
  <si>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</si>
  <si>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</si>
  <si>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</si>
  <si>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</si>
  <si>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</si>
  <si>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</si>
  <si>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</si>
  <si>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</si>
  <si>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</si>
  <si>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</si>
  <si>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</si>
  <si>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</si>
  <si>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</si>
  <si>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</si>
  <si>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</si>
  <si>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</si>
  <si>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</si>
  <si>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</si>
  <si>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</si>
  <si>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</si>
  <si>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</si>
  <si>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</si>
  <si>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</si>
  <si>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</si>
  <si>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</si>
  <si>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</si>
  <si>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</si>
  <si>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</si>
  <si>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</si>
  <si>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</si>
  <si>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</si>
  <si>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</si>
  <si>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</si>
  <si>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</si>
  <si>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</si>
  <si>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</si>
  <si>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</si>
  <si>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</si>
  <si>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</si>
  <si>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</si>
  <si>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</si>
  <si>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</si>
  <si>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</si>
  <si>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</si>
  <si>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</si>
  <si>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</si>
  <si>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</si>
  <si>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</si>
  <si>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</si>
  <si>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</si>
  <si>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</si>
  <si>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</si>
  <si>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</si>
  <si>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</si>
  <si>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</si>
  <si>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</si>
  <si>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</si>
  <si>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</si>
  <si>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</si>
  <si>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</si>
  <si>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</si>
  <si>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</si>
  <si>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</si>
  <si>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</si>
  <si>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</si>
  <si>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</si>
  <si>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</si>
  <si>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</si>
  <si>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</si>
  <si>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</si>
  <si>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</si>
  <si>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</si>
  <si>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</si>
  <si>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</si>
  <si>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</si>
  <si>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</si>
  <si>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</si>
  <si>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</si>
  <si>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</si>
  <si>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</si>
  <si>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</si>
  <si>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</si>
  <si>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</si>
  <si>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</si>
  <si>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</si>
  <si>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</si>
  <si>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</si>
  <si>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</si>
  <si>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</si>
  <si>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</si>
  <si>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</si>
  <si>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</si>
  <si>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</si>
  <si>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</si>
  <si>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</si>
  <si>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</si>
  <si>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</si>
  <si>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</si>
  <si>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</si>
  <si>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</si>
  <si>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</si>
  <si>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</si>
  <si>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</si>
  <si>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</si>
  <si>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</si>
  <si>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</si>
  <si>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</si>
  <si>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</si>
  <si>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</si>
  <si>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</si>
  <si>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</si>
  <si>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</si>
  <si>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</si>
  <si>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</si>
  <si>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</si>
  <si>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</si>
  <si>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</si>
  <si>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</si>
  <si>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</si>
  <si>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</si>
  <si>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</si>
  <si>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</si>
  <si>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</si>
  <si>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</si>
  <si>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</si>
  <si>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</si>
  <si>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</si>
  <si>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</si>
  <si>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</si>
  <si>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</si>
  <si>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</si>
  <si>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</si>
  <si>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</si>
  <si>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</si>
  <si>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</si>
  <si>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</si>
  <si>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</si>
  <si>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</si>
  <si>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</si>
  <si>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</si>
  <si>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</si>
  <si>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</si>
  <si>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</si>
  <si>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</si>
  <si>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</si>
  <si>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</si>
  <si>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</si>
  <si>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</si>
  <si>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</si>
  <si>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</si>
  <si>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</si>
  <si>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</si>
  <si>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</si>
  <si>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</si>
  <si>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</si>
  <si>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</si>
  <si>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</si>
  <si>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</si>
  <si>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</si>
  <si>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</si>
  <si>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</si>
  <si>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</si>
  <si>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</si>
  <si>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</si>
  <si>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</si>
  <si>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</si>
  <si>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</si>
  <si>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</si>
  <si>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</si>
  <si>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</si>
  <si>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</si>
  <si>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</si>
  <si>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</si>
  <si>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</si>
  <si>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</si>
  <si>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</si>
  <si>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</si>
  <si>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</si>
  <si>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</si>
  <si>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</si>
  <si>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</si>
  <si>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</si>
  <si>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</si>
  <si>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</si>
  <si>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</si>
  <si>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</si>
  <si>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</si>
  <si>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</si>
  <si>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</si>
  <si>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</si>
  <si>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</si>
  <si>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</si>
  <si>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</si>
  <si>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</si>
  <si>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</si>
  <si>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</si>
  <si>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</si>
  <si>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</si>
  <si>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</si>
  <si>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</si>
  <si>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</si>
  <si>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</si>
  <si>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</si>
  <si>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</si>
  <si>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</si>
  <si>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</si>
  <si>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</si>
  <si>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</si>
  <si>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</si>
  <si>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</si>
  <si>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</si>
  <si>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</si>
  <si>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</si>
  <si>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</si>
  <si>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</si>
  <si>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</si>
  <si>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</si>
  <si>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</si>
  <si>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</si>
  <si>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</si>
  <si>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</si>
  <si>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</si>
  <si>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</si>
  <si>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</si>
  <si>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</si>
  <si>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</si>
  <si>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</si>
  <si>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</si>
  <si>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</si>
  <si>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</si>
  <si>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</si>
  <si>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</si>
  <si>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</si>
  <si>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</si>
  <si>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</si>
  <si>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</si>
  <si>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</si>
  <si>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</si>
  <si>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</si>
  <si>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</si>
  <si>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</si>
  <si>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</si>
  <si>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</si>
  <si>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</si>
  <si>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</si>
  <si>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</si>
  <si>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</si>
  <si>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</si>
  <si>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</si>
  <si>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</si>
  <si>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</si>
  <si>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</si>
  <si>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</si>
  <si>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</si>
  <si>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</si>
  <si>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</si>
  <si>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</si>
  <si>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</si>
  <si>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</si>
  <si>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</si>
  <si>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</si>
  <si>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</si>
  <si>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</si>
  <si>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</si>
  <si>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</si>
  <si>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</si>
  <si>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</si>
  <si>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</si>
  <si>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</si>
  <si>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</si>
  <si>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</si>
  <si>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</si>
  <si>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</si>
  <si>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</si>
  <si>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</si>
  <si>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</si>
  <si>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</si>
  <si>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</si>
  <si>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</si>
  <si>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</si>
  <si>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</si>
  <si>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</si>
  <si>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</si>
  <si>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</si>
  <si>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</si>
  <si>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</si>
  <si>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</si>
  <si>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</si>
  <si>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</si>
  <si>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</si>
  <si>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</si>
  <si>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</si>
  <si>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</si>
  <si>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</si>
  <si>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</si>
  <si>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</si>
  <si>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</si>
  <si>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</si>
  <si>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</si>
  <si>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</si>
  <si>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</si>
  <si>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</si>
  <si>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</si>
  <si>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</si>
  <si>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</si>
  <si>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</si>
  <si>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</si>
  <si>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</si>
  <si>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</si>
  <si>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</si>
  <si>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</si>
  <si>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</si>
  <si>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</si>
  <si>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</si>
  <si>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</si>
  <si>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</si>
  <si>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</si>
  <si>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</si>
  <si>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</si>
  <si>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</si>
  <si>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</si>
  <si>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</si>
  <si>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</si>
  <si>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</si>
  <si>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</si>
  <si>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</si>
  <si>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</si>
  <si>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</si>
  <si>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</si>
  <si>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</si>
  <si>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</si>
  <si>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</si>
  <si>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</si>
  <si>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</si>
  <si>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</si>
  <si>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</si>
  <si>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</si>
  <si>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</si>
  <si>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</si>
  <si>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</si>
  <si>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</si>
  <si>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</si>
  <si>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</si>
  <si>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</si>
  <si>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</si>
  <si>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</si>
  <si>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</si>
  <si>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</si>
  <si>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</si>
  <si>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</si>
  <si>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</si>
  <si>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</si>
  <si>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</si>
  <si>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</si>
  <si>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</si>
  <si>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</si>
  <si>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</si>
  <si>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</si>
  <si>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</si>
  <si>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</si>
  <si>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</si>
  <si>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</si>
  <si>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</si>
  <si>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</si>
  <si>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</si>
  <si>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</si>
  <si>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</si>
  <si>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</si>
  <si>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</si>
  <si>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</si>
  <si>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</si>
  <si>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</si>
  <si>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</si>
  <si>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</si>
  <si>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</si>
  <si>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</si>
  <si>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</si>
  <si>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</si>
  <si>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</si>
  <si>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</si>
  <si>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</si>
  <si>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</si>
  <si>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</si>
  <si>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</si>
  <si>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</si>
  <si>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</si>
  <si>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</si>
  <si>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</si>
  <si>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</si>
  <si>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</si>
  <si>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</si>
  <si>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</si>
  <si>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</si>
  <si>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</si>
  <si>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</si>
  <si>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</si>
  <si>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</si>
  <si>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</si>
  <si>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</si>
  <si>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</si>
  <si>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</si>
  <si>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</si>
  <si>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</si>
  <si>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</si>
  <si>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</si>
  <si>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</si>
  <si>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</si>
  <si>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</si>
  <si>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</si>
  <si>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</si>
  <si>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</si>
  <si>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</si>
  <si>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</si>
  <si>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</si>
  <si>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</si>
  <si>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</si>
  <si>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</si>
  <si>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</si>
  <si>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</si>
  <si>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</si>
  <si>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</si>
  <si>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</si>
  <si>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</si>
  <si>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</si>
  <si>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</si>
  <si>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</si>
  <si>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</si>
  <si>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</si>
  <si>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</si>
  <si>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</si>
  <si>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</si>
  <si>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</si>
  <si>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</si>
  <si>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</si>
  <si>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</si>
  <si>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</si>
  <si>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</si>
  <si>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</si>
  <si>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</si>
  <si>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</si>
  <si>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</si>
  <si>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</si>
  <si>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</si>
  <si>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</si>
  <si>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</si>
  <si>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</si>
  <si>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</si>
  <si>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</si>
  <si>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</si>
  <si>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</si>
  <si>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</si>
  <si>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</si>
  <si>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</si>
  <si>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</si>
  <si>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</si>
  <si>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</si>
  <si>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</si>
  <si>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</si>
  <si>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</si>
  <si>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</si>
  <si>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</si>
  <si>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</si>
  <si>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</si>
  <si>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</si>
  <si>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</si>
  <si>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</si>
  <si>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</si>
  <si>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</si>
  <si>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</si>
  <si>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</si>
  <si>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</si>
  <si>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</si>
  <si>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</si>
  <si>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</si>
  <si>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</si>
  <si>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</si>
  <si>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</si>
  <si>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</si>
  <si>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</si>
  <si>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</si>
  <si>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</si>
  <si>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</si>
  <si>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</si>
  <si>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</si>
  <si>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</si>
  <si>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</si>
  <si>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</si>
  <si>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</si>
  <si>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</si>
  <si>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</si>
  <si>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</si>
  <si>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</si>
  <si>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</si>
  <si>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</si>
  <si>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</si>
  <si>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</si>
  <si>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</si>
  <si>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</si>
  <si>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</si>
  <si>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</si>
  <si>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</si>
  <si>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</si>
  <si>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</si>
  <si>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</si>
  <si>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</si>
  <si>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</si>
  <si>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</si>
  <si>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</si>
  <si>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</si>
  <si>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</si>
  <si>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</si>
  <si>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</si>
  <si>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</si>
  <si>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</si>
  <si>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</si>
  <si>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</si>
  <si>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</si>
  <si>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</si>
  <si>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</si>
  <si>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</si>
  <si>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</si>
  <si>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</si>
  <si>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</si>
  <si>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</si>
  <si>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</si>
  <si>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</si>
  <si>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</si>
  <si>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</si>
  <si>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</si>
  <si>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</si>
  <si>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</si>
  <si>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</si>
  <si>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</si>
  <si>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</si>
  <si>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</si>
  <si>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</si>
  <si>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</si>
  <si>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</si>
  <si>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</si>
  <si>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</si>
  <si>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</si>
  <si>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</si>
  <si>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</si>
  <si>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</si>
  <si>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</si>
  <si>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</si>
  <si>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</si>
  <si>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</si>
  <si>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</si>
  <si>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</si>
  <si>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</si>
  <si>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</si>
  <si>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</si>
  <si>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</si>
  <si>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</si>
  <si>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</si>
  <si>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</si>
  <si>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</si>
  <si>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</si>
  <si>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</si>
  <si>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</si>
  <si>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</si>
  <si>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</si>
  <si>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</si>
  <si>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</si>
  <si>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</si>
  <si>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</si>
  <si>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</si>
  <si>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</si>
  <si>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</si>
  <si>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</si>
  <si>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</si>
  <si>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</si>
  <si>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</si>
  <si>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</si>
  <si>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</si>
  <si>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</si>
  <si>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</si>
  <si>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</si>
  <si>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</si>
  <si>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</si>
  <si>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</si>
  <si>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</si>
  <si>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</si>
  <si>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</si>
  <si>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</si>
  <si>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</si>
  <si>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</si>
  <si>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</si>
  <si>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</si>
  <si>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</si>
  <si>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</si>
  <si>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</si>
  <si>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</si>
  <si>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</si>
  <si>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</si>
  <si>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</si>
  <si>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</si>
  <si>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</si>
  <si>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</si>
  <si>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</si>
  <si>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</si>
  <si>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</si>
  <si>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</si>
  <si>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</si>
  <si>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</si>
  <si>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</si>
  <si>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</si>
  <si>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</si>
  <si>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</si>
  <si>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</si>
  <si>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</si>
  <si>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</si>
  <si>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</si>
  <si>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</si>
  <si>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</si>
  <si>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</si>
  <si>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</si>
  <si>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</si>
  <si>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</si>
  <si>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</si>
  <si>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</si>
  <si>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</si>
  <si>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</si>
  <si>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</si>
  <si>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</si>
  <si>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</si>
  <si>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</si>
  <si>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</si>
  <si>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</si>
  <si>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</si>
  <si>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</si>
  <si>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</si>
  <si>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</si>
  <si>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</si>
  <si>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</si>
  <si>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</si>
  <si>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</si>
  <si>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</si>
  <si>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</si>
  <si>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</si>
  <si>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</si>
  <si>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</si>
  <si>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</si>
  <si>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</si>
  <si>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</si>
  <si>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</si>
  <si>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</si>
  <si>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</si>
  <si>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</si>
  <si>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</si>
  <si>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</si>
  <si>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</si>
  <si>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</si>
  <si>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</si>
  <si>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</si>
  <si>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</si>
  <si>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</si>
  <si>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</si>
  <si>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</si>
  <si>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</si>
  <si>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</si>
  <si>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</si>
  <si>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</si>
  <si>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</si>
  <si>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</si>
  <si>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</si>
  <si>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</si>
  <si>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</si>
  <si>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</si>
  <si>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</si>
  <si>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</si>
  <si>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</si>
  <si>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</si>
  <si>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</si>
  <si>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</si>
  <si>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</si>
  <si>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</si>
  <si>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</si>
  <si>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</si>
  <si>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</si>
  <si>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</si>
  <si>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</si>
  <si>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</si>
  <si>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</si>
  <si>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</si>
  <si>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</si>
  <si>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</si>
  <si>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</si>
  <si>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</si>
  <si>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</si>
  <si>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</si>
  <si>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</si>
  <si>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</si>
  <si>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</si>
  <si>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</si>
  <si>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</si>
  <si>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</si>
  <si>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</si>
  <si>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</si>
  <si>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</si>
  <si>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</si>
  <si>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</si>
  <si>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</si>
  <si>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</si>
  <si>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</si>
  <si>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</si>
  <si>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</si>
  <si>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</si>
  <si>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</si>
  <si>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</si>
  <si>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</si>
  <si>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</si>
  <si>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</si>
  <si>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</si>
  <si>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</si>
  <si>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</si>
  <si>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</si>
  <si>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</si>
  <si>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</si>
  <si>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</si>
  <si>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</si>
  <si>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</si>
  <si>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</si>
  <si>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</si>
  <si>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</si>
  <si>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</si>
  <si>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</si>
  <si>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</si>
  <si>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</si>
  <si>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</si>
  <si>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</si>
  <si>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</si>
  <si>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</si>
  <si>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</si>
  <si>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</si>
  <si>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</si>
  <si>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</si>
  <si>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</si>
  <si>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</si>
  <si>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</si>
  <si>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</si>
  <si>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</si>
  <si>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</si>
  <si>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</si>
  <si>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</si>
  <si>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</si>
  <si>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</si>
  <si>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</si>
  <si>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</si>
  <si>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</si>
  <si>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</si>
  <si>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</si>
  <si>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</si>
  <si>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</si>
  <si>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</si>
  <si>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</si>
  <si>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</si>
  <si>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</si>
  <si>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</si>
  <si>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</si>
  <si>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</si>
  <si>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</si>
  <si>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</si>
  <si>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</si>
  <si>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</si>
  <si>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</si>
  <si>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</si>
  <si>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</si>
  <si>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</si>
  <si>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</si>
  <si>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</si>
  <si>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</si>
  <si>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</si>
  <si>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</si>
  <si>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</si>
  <si>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</si>
  <si>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</si>
  <si>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</si>
  <si>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</si>
  <si>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</si>
  <si>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</si>
  <si>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</si>
  <si>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</si>
  <si>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</si>
  <si>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</si>
  <si>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</si>
  <si>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</si>
  <si>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</si>
  <si>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</si>
  <si>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</si>
  <si>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</si>
  <si>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</si>
  <si>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</si>
  <si>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</si>
  <si>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</si>
  <si>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</si>
  <si>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</si>
  <si>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</si>
  <si>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</si>
  <si>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</si>
  <si>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</si>
  <si>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</si>
  <si>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</si>
  <si>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</si>
  <si>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</si>
  <si>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</si>
  <si>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</si>
  <si>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</si>
  <si>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</si>
  <si>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</si>
  <si>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</si>
  <si>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</si>
  <si>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</si>
  <si>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</si>
  <si>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</si>
  <si>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</si>
  <si>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</si>
  <si>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</si>
  <si>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</si>
  <si>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</si>
  <si>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</si>
  <si>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</si>
  <si>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</si>
  <si>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</si>
  <si>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</si>
  <si>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</si>
  <si>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</si>
  <si>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</si>
  <si>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</si>
  <si>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</si>
  <si>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</si>
  <si>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</si>
  <si>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</si>
  <si>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</si>
  <si>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</si>
  <si>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</si>
  <si>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</si>
  <si>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</si>
  <si>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</si>
  <si>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</si>
  <si>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</si>
  <si>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</si>
  <si>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</si>
  <si>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</si>
  <si>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</si>
  <si>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</si>
  <si>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</si>
  <si>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</si>
  <si>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</si>
  <si>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</si>
  <si>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</si>
  <si>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</si>
  <si>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</si>
  <si>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</si>
  <si>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</si>
  <si>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</si>
  <si>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</si>
  <si>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</si>
  <si>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</si>
  <si>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</si>
  <si>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</si>
  <si>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</si>
  <si>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</si>
  <si>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</si>
  <si>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</si>
  <si>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</si>
  <si>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</si>
  <si>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</si>
  <si>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</si>
  <si>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</si>
  <si>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</si>
  <si>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</si>
  <si>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</si>
  <si>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</si>
  <si>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</si>
  <si>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</si>
  <si>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</si>
  <si>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</si>
  <si>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</si>
  <si>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</si>
  <si>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</si>
  <si>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</si>
  <si>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</si>
  <si>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</si>
  <si>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</si>
  <si>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</si>
  <si>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</si>
  <si>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</si>
  <si>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</si>
  <si>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</si>
  <si>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</si>
  <si>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</si>
  <si>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</si>
  <si>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</si>
  <si>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</si>
  <si>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</si>
  <si>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</si>
  <si>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</si>
  <si>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</si>
  <si>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</si>
  <si>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</si>
  <si>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</si>
  <si>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</si>
  <si>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</si>
  <si>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</si>
  <si>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</si>
  <si>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</si>
  <si>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</si>
  <si>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</si>
  <si>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</si>
  <si>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</si>
  <si>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</si>
  <si>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</si>
  <si>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</si>
  <si>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</si>
  <si>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</si>
  <si>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</si>
  <si>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</si>
  <si>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</si>
  <si>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</si>
  <si>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</si>
  <si>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</si>
  <si>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</si>
  <si>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</si>
  <si>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</si>
  <si>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</si>
  <si>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</si>
  <si>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</si>
  <si>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</si>
  <si>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</si>
  <si>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</si>
  <si>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</si>
  <si>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</si>
  <si>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</si>
  <si>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</si>
  <si>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</si>
  <si>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</si>
  <si>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</si>
  <si>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</si>
  <si>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</si>
  <si>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</si>
  <si>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</si>
  <si>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</si>
  <si>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</si>
  <si>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</si>
  <si>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</si>
  <si>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</si>
  <si>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</si>
  <si>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</si>
  <si>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</si>
  <si>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</si>
  <si>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</si>
  <si>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</si>
  <si>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</si>
  <si>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</si>
  <si>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</si>
  <si>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</si>
  <si>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</si>
  <si>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</si>
  <si>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</si>
  <si>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</si>
  <si>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</si>
  <si>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</si>
  <si>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</si>
  <si>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</si>
  <si>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</si>
  <si>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</si>
  <si>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</si>
  <si>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</si>
  <si>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</si>
  <si>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</si>
  <si>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</si>
  <si>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</si>
  <si>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</si>
  <si>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</si>
  <si>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</si>
  <si>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</si>
  <si>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</si>
  <si>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</si>
  <si>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</si>
  <si>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</si>
  <si>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</si>
  <si>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</si>
  <si>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</si>
  <si>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</si>
  <si>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</si>
  <si>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</si>
  <si>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</si>
  <si>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</si>
  <si>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</si>
  <si>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</si>
  <si>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</si>
  <si>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</si>
  <si>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</si>
  <si>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</si>
  <si>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</si>
  <si>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</si>
  <si>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</si>
  <si>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</si>
  <si>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</si>
  <si>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</si>
  <si>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</si>
  <si>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</si>
  <si>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</si>
  <si>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</si>
  <si>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</si>
  <si>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</si>
  <si>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</si>
  <si>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</si>
  <si>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</si>
  <si>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</si>
  <si>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</si>
  <si>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</si>
  <si>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</si>
  <si>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</si>
  <si>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</si>
  <si>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</si>
  <si>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</si>
  <si>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</si>
  <si>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</si>
  <si>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</si>
  <si>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</si>
  <si>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</si>
  <si>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</si>
  <si>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</si>
  <si>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</si>
  <si>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</si>
  <si>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</si>
  <si>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</si>
  <si>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</si>
  <si>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</si>
  <si>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</si>
  <si>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</si>
  <si>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</si>
  <si>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</si>
  <si>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</si>
  <si>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</si>
  <si>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</si>
  <si>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</si>
  <si>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</si>
  <si>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</si>
  <si>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</si>
  <si>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</si>
  <si>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</si>
  <si>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</si>
  <si>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</si>
  <si>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</si>
  <si>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</si>
  <si>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</si>
  <si>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</si>
  <si>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</si>
  <si>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</si>
  <si>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</si>
  <si>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</si>
  <si>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</si>
  <si>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</si>
  <si>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</si>
  <si>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</si>
  <si>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</si>
  <si>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</si>
  <si>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</si>
  <si>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</si>
  <si>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</si>
  <si>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</si>
  <si>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</si>
  <si>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</si>
  <si>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</si>
  <si>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</si>
  <si>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</si>
  <si>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</si>
  <si>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</si>
  <si>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</si>
  <si>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</si>
  <si>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</si>
  <si>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</si>
  <si>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</si>
  <si>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</si>
  <si>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</si>
  <si>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</si>
  <si>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</si>
  <si>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</si>
  <si>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</si>
  <si>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</si>
  <si>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</si>
  <si>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</si>
  <si>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</si>
  <si>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</si>
  <si>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</si>
  <si>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</si>
  <si>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</si>
  <si>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</si>
  <si>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</si>
  <si>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</si>
  <si>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</si>
  <si>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</si>
  <si>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</si>
  <si>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</si>
  <si>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</si>
  <si>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</si>
  <si>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</si>
  <si>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</si>
  <si>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</si>
  <si>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</si>
  <si>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</si>
  <si>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</si>
  <si>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</si>
  <si>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</si>
  <si>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</si>
  <si>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</si>
  <si>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</si>
  <si>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</si>
  <si>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</si>
  <si>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</si>
  <si>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</si>
  <si>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</si>
  <si>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</si>
  <si>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</si>
  <si>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</si>
  <si>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</si>
  <si>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</si>
  <si>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</si>
  <si>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</si>
  <si>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</si>
  <si>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</si>
  <si>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</si>
  <si>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</si>
  <si>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</si>
  <si>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</si>
  <si>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</si>
  <si>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</si>
  <si>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</si>
  <si>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</si>
  <si>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</si>
  <si>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</si>
  <si>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</si>
  <si>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</si>
  <si>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</si>
  <si>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</si>
  <si>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</si>
  <si>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</si>
  <si>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</si>
  <si>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</si>
  <si>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</si>
  <si>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</si>
  <si>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</si>
  <si>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</si>
  <si>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</si>
  <si>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</si>
  <si>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</si>
  <si>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</si>
  <si>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</si>
  <si>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</si>
  <si>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</si>
  <si>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</si>
  <si>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</si>
  <si>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</si>
  <si>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</si>
  <si>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</si>
  <si>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</si>
  <si>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</si>
  <si>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</si>
  <si>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</si>
  <si>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</si>
  <si>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</si>
  <si>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</si>
  <si>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</si>
  <si>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</si>
  <si>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</si>
  <si>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</si>
  <si>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</si>
  <si>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</si>
  <si>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</si>
  <si>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</si>
  <si>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</si>
  <si>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</si>
  <si>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</si>
  <si>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</si>
  <si>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</si>
  <si>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</si>
  <si>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</si>
  <si>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</si>
  <si>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</si>
  <si>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</si>
  <si>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</si>
  <si>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</si>
  <si>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</si>
  <si>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</si>
  <si>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</si>
  <si>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</si>
  <si>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</si>
  <si>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</si>
  <si>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</si>
  <si>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</si>
  <si>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</si>
  <si>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</si>
  <si>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</si>
  <si>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</si>
  <si>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</si>
  <si>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</si>
  <si>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</si>
  <si>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</si>
  <si>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</si>
  <si>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</si>
  <si>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</si>
  <si>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</si>
  <si>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</si>
  <si>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</si>
  <si>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</si>
  <si>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</si>
  <si>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</si>
  <si>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</si>
  <si>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</si>
  <si>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</si>
  <si>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</si>
  <si>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</si>
  <si>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</si>
  <si>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</si>
  <si>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</si>
  <si>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</si>
  <si>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</si>
  <si>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</si>
  <si>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</si>
  <si>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</si>
  <si>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</si>
  <si>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</si>
  <si>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</si>
  <si>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</si>
  <si>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</si>
  <si>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</si>
  <si>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</si>
  <si>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</si>
  <si>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</si>
  <si>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</si>
  <si>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</si>
  <si>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</si>
  <si>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</si>
  <si>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</si>
  <si>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</si>
  <si>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</si>
  <si>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</si>
  <si>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</si>
  <si>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</si>
  <si>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</si>
  <si>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</si>
  <si>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</si>
  <si>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</si>
  <si>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</si>
  <si>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</si>
  <si>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</si>
  <si>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</si>
  <si>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</si>
  <si>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</si>
  <si>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</si>
  <si>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</si>
  <si>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</si>
  <si>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</si>
  <si>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</si>
  <si>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</si>
  <si>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</si>
  <si>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</si>
  <si>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</si>
  <si>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</si>
  <si>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</si>
  <si>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</si>
  <si>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</si>
  <si>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</si>
  <si>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</si>
  <si>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</si>
  <si>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</si>
  <si>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</si>
  <si>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</si>
  <si>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</si>
  <si>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</si>
  <si>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</si>
  <si>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</si>
  <si>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</si>
  <si>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</si>
  <si>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</si>
  <si>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</si>
  <si>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</si>
  <si>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</si>
  <si>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</si>
  <si>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</si>
  <si>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</si>
  <si>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</si>
  <si>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</si>
  <si>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</si>
  <si>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</si>
  <si>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</si>
  <si>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</si>
  <si>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</si>
  <si>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</si>
  <si>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</si>
  <si>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</si>
  <si>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</si>
  <si>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</si>
  <si>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</si>
  <si>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</si>
  <si>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</si>
  <si>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</si>
  <si>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</si>
  <si>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</si>
  <si>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</si>
  <si>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</si>
  <si>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</si>
  <si>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</si>
  <si>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</si>
  <si>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</si>
  <si>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</si>
  <si>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</si>
  <si>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</si>
  <si>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</si>
  <si>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</si>
  <si>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</si>
  <si>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</si>
  <si>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</si>
  <si>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</si>
  <si>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</si>
  <si>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</si>
  <si>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</si>
  <si>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</si>
  <si>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</si>
  <si>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</si>
  <si>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</si>
  <si>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</si>
  <si>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</si>
  <si>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</si>
  <si>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</si>
  <si>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</si>
  <si>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</si>
  <si>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</si>
  <si>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</si>
  <si>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</si>
  <si>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</si>
  <si>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</si>
  <si>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</si>
  <si>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</si>
  <si>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</si>
  <si>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</si>
  <si>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</si>
  <si>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</si>
  <si>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</si>
  <si>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</si>
  <si>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</si>
  <si>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</si>
  <si>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</si>
  <si>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</si>
  <si>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</si>
  <si>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</si>
  <si>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</si>
  <si>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</si>
  <si>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</si>
  <si>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</si>
  <si>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</si>
  <si>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</si>
  <si>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</si>
  <si>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</si>
  <si>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</si>
  <si>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</si>
  <si>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</si>
  <si>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</si>
  <si>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</si>
  <si>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</si>
  <si>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</si>
  <si>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</si>
  <si>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</si>
  <si>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</si>
  <si>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</si>
  <si>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</si>
  <si>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</si>
  <si>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</si>
  <si>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</si>
  <si>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</si>
  <si>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</si>
  <si>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</si>
  <si>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</si>
  <si>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</si>
  <si>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</si>
  <si>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</si>
  <si>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</si>
  <si>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</si>
  <si>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</si>
  <si>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</si>
  <si>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</si>
  <si>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</si>
  <si>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</si>
  <si>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</si>
  <si>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</si>
  <si>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</si>
  <si>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</si>
  <si>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</si>
  <si>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</si>
  <si>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</si>
  <si>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</si>
  <si>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</si>
  <si>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</si>
  <si>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</si>
  <si>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</si>
  <si>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</si>
  <si>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</si>
  <si>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</si>
  <si>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</si>
  <si>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</si>
  <si>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</si>
  <si>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</si>
  <si>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</si>
  <si>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</si>
  <si>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</si>
  <si>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</si>
  <si>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</si>
  <si>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</si>
  <si>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</si>
  <si>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</si>
  <si>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</si>
  <si>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</si>
  <si>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</si>
  <si>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</si>
  <si>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</si>
  <si>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</si>
  <si>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</si>
  <si>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</si>
  <si>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</si>
  <si>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</si>
  <si>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</si>
  <si>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</si>
  <si>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</si>
  <si>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</si>
  <si>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</si>
  <si>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</si>
  <si>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</si>
  <si>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</si>
  <si>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</si>
  <si>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</si>
  <si>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</si>
  <si>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</si>
  <si>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</si>
  <si>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</si>
  <si>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</si>
  <si>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</si>
  <si>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</si>
  <si>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</si>
  <si>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</si>
  <si>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</si>
  <si>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</si>
  <si>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</si>
  <si>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</si>
  <si>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</si>
  <si>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</si>
  <si>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</si>
  <si>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</si>
  <si>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</si>
  <si>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</si>
  <si>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</si>
  <si>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</si>
  <si>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</si>
  <si>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</si>
  <si>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</si>
  <si>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</si>
  <si>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</si>
  <si>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</si>
  <si>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</si>
  <si>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</si>
  <si>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</si>
  <si>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</si>
  <si>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</si>
  <si>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</si>
  <si>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</si>
  <si>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</si>
  <si>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</si>
  <si>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</si>
  <si>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</si>
  <si>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</si>
  <si>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</si>
  <si>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</si>
  <si>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</si>
  <si>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</si>
  <si>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</si>
  <si>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</si>
  <si>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</si>
  <si>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</si>
  <si>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</si>
  <si>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</si>
  <si>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</si>
  <si>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</si>
  <si>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</si>
  <si>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</si>
  <si>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</si>
  <si>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</si>
  <si>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</si>
  <si>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</si>
  <si>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</si>
  <si>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</si>
  <si>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</si>
  <si>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</si>
  <si>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</si>
  <si>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</si>
  <si>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</si>
  <si>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</si>
  <si>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</si>
  <si>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</si>
  <si>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</si>
  <si>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</si>
  <si>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</si>
  <si>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</si>
  <si>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</si>
  <si>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</si>
  <si>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</si>
  <si>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</si>
  <si>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</si>
  <si>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</si>
  <si>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</si>
  <si>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</si>
  <si>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</si>
  <si>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</si>
  <si>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</si>
  <si>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</si>
  <si>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</si>
  <si>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</si>
  <si>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</si>
  <si>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</si>
  <si>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</si>
  <si>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</si>
  <si>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</si>
  <si>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</si>
  <si>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</si>
  <si>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</si>
  <si>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</si>
  <si>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</si>
  <si>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</si>
  <si>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</si>
  <si>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</si>
  <si>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</si>
  <si>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</si>
  <si>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</si>
  <si>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</si>
  <si>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</si>
  <si>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</si>
  <si>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</si>
  <si>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</si>
  <si>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</si>
  <si>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</si>
  <si>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</si>
  <si>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</si>
  <si>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</si>
  <si>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</si>
  <si>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</si>
  <si>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</si>
  <si>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</si>
  <si>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</si>
  <si>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</si>
  <si>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</si>
  <si>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</si>
  <si>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</si>
  <si>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</si>
  <si>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</si>
  <si>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</si>
  <si>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</si>
  <si>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</si>
  <si>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</si>
  <si>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</si>
  <si>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</si>
  <si>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</si>
  <si>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</si>
  <si>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</si>
  <si>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</si>
  <si>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</si>
  <si>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</si>
  <si>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</si>
  <si>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</si>
  <si>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</si>
  <si>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</si>
  <si>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</si>
  <si>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</si>
  <si>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</si>
  <si>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</si>
  <si>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</si>
  <si>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</si>
  <si>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</si>
  <si>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</si>
  <si>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</si>
  <si>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</si>
  <si>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</si>
  <si>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</si>
  <si>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</si>
  <si>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</si>
  <si>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</si>
  <si>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</si>
  <si>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</si>
  <si>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</si>
  <si>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</si>
  <si>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</si>
  <si>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</si>
  <si>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</si>
  <si>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</si>
  <si>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</si>
  <si>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</si>
  <si>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</si>
  <si>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</si>
  <si>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</si>
  <si>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</si>
  <si>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</si>
  <si>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</si>
  <si>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</si>
  <si>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</si>
  <si>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</si>
  <si>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</si>
  <si>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</si>
  <si>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</si>
  <si>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</si>
  <si>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</si>
  <si>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</si>
  <si>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</si>
  <si>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</si>
  <si>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</si>
  <si>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</si>
  <si>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</si>
  <si>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</si>
  <si>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</si>
  <si>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</si>
  <si>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</si>
  <si>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</si>
  <si>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</si>
  <si>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</si>
  <si>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</si>
  <si>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</si>
  <si>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</si>
  <si>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</si>
  <si>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</si>
  <si>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</si>
  <si>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</si>
  <si>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</si>
  <si>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</si>
  <si>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</si>
  <si>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</si>
  <si>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</si>
  <si>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</si>
  <si>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</si>
  <si>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</si>
  <si>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</si>
  <si>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</si>
  <si>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</si>
  <si>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</si>
  <si>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</si>
  <si>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</si>
  <si>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</si>
  <si>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</si>
  <si>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</si>
  <si>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</si>
  <si>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</si>
  <si>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</si>
  <si>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</si>
  <si>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</si>
  <si>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</si>
  <si>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</si>
  <si>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</si>
  <si>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</si>
  <si>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</si>
  <si>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</si>
  <si>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</si>
  <si>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</si>
  <si>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</si>
  <si>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</si>
  <si>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</si>
  <si>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</si>
  <si>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</si>
  <si>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</si>
  <si>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</si>
  <si>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</si>
  <si>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</si>
  <si>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</si>
  <si>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</si>
  <si>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</si>
  <si>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</si>
  <si>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</si>
  <si>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</si>
  <si>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</si>
  <si>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</si>
  <si>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</si>
  <si>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</si>
  <si>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</si>
  <si>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</si>
  <si>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</si>
  <si>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</si>
  <si>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</si>
  <si>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</si>
  <si>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</si>
  <si>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</si>
  <si>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</si>
  <si>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</si>
  <si>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</si>
  <si>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</si>
  <si>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</si>
  <si>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</si>
  <si>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</si>
  <si>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</si>
  <si>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</si>
  <si>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</si>
  <si>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</si>
  <si>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</si>
  <si>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</si>
  <si>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</si>
  <si>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</si>
  <si>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</si>
  <si>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</si>
  <si>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</si>
  <si>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</si>
  <si>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</si>
  <si>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</si>
  <si>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</si>
  <si>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</si>
  <si>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</si>
  <si>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</si>
  <si>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</si>
  <si>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</si>
  <si>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</si>
  <si>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</si>
  <si>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</si>
  <si>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</si>
  <si>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</si>
  <si>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</si>
  <si>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</si>
  <si>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</si>
  <si>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</si>
  <si>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</si>
  <si>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</si>
  <si>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</si>
  <si>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</si>
  <si>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</si>
  <si>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</si>
  <si>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</si>
  <si>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</si>
  <si>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</si>
  <si>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</si>
  <si>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</si>
  <si>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</si>
  <si>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</si>
  <si>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</si>
  <si>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</si>
  <si>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</si>
  <si>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</si>
  <si>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</si>
  <si>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</si>
  <si>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</si>
  <si>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</si>
  <si>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</si>
  <si>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</si>
  <si>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</si>
  <si>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</si>
  <si>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</si>
  <si>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</si>
  <si>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</si>
  <si>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</si>
  <si>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</si>
  <si>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</si>
  <si>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</si>
  <si>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</si>
  <si>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</si>
  <si>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</si>
  <si>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</si>
  <si>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</si>
  <si>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</si>
  <si>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</si>
  <si>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</si>
  <si>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</si>
  <si>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</si>
  <si>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</si>
  <si>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</si>
  <si>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</si>
  <si>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</si>
  <si>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</si>
  <si>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</si>
  <si>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</si>
  <si>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</si>
  <si>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</si>
  <si>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</si>
  <si>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</si>
  <si>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</si>
  <si>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</si>
  <si>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</si>
  <si>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</si>
  <si>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</si>
  <si>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</si>
  <si>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</si>
  <si>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</si>
  <si>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</si>
  <si>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</si>
  <si>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</si>
  <si>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</si>
  <si>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</si>
  <si>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</si>
  <si>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</si>
  <si>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</si>
  <si>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</si>
  <si>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</si>
  <si>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</si>
  <si>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</si>
  <si>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</si>
  <si>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</si>
  <si>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</si>
  <si>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</si>
  <si>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</si>
  <si>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</si>
  <si>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</si>
  <si>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</si>
  <si>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</si>
  <si>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</si>
  <si>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</si>
  <si>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</si>
  <si>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</si>
  <si>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</si>
  <si>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</si>
  <si>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</si>
  <si>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</si>
  <si>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</si>
  <si>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</si>
  <si>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</si>
  <si>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</si>
  <si>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</si>
  <si>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</si>
  <si>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</si>
  <si>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</si>
  <si>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</si>
  <si>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</si>
  <si>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</si>
  <si>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</si>
  <si>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</si>
  <si>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</si>
  <si>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</si>
  <si>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</si>
  <si>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</si>
  <si>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</si>
  <si>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</si>
  <si>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</si>
  <si>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</si>
  <si>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</si>
  <si>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</si>
  <si>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</si>
  <si>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</si>
  <si>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</si>
  <si>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</si>
  <si>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</si>
  <si>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</si>
  <si>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</si>
  <si>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</si>
  <si>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</si>
  <si>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</si>
  <si>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</si>
  <si>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</si>
  <si>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</si>
  <si>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</si>
  <si>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</si>
  <si>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</si>
  <si>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</si>
  <si>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</si>
  <si>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</si>
  <si>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</si>
  <si>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</si>
  <si>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</si>
  <si>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</si>
  <si>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</si>
  <si>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</si>
  <si>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</si>
  <si>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</si>
  <si>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</si>
  <si>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</si>
  <si>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</si>
  <si>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</si>
  <si>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</si>
  <si>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</si>
  <si>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</si>
  <si>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</si>
  <si>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</si>
  <si>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</si>
  <si>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</si>
  <si>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</si>
  <si>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</si>
  <si>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</si>
  <si>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</si>
  <si>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</si>
  <si>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</si>
  <si>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</si>
  <si>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</si>
  <si>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</si>
  <si>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</si>
  <si>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</si>
  <si>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</si>
  <si>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</si>
  <si>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</si>
  <si>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</si>
  <si>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</si>
  <si>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</si>
  <si>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</si>
  <si>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</si>
  <si>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</si>
  <si>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</si>
  <si>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</si>
  <si>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</si>
  <si>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</si>
  <si>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</si>
  <si>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</si>
  <si>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</si>
  <si>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</si>
  <si>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</si>
  <si>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</si>
  <si>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</si>
  <si>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</si>
  <si>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</si>
  <si>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</si>
  <si>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</si>
  <si>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</si>
  <si>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</si>
  <si>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</si>
  <si>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</si>
  <si>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</si>
  <si>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</si>
  <si>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</si>
  <si>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</si>
  <si>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</si>
  <si>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</si>
  <si>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</si>
  <si>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</si>
  <si>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</si>
  <si>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</si>
  <si>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</si>
  <si>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</si>
  <si>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</si>
  <si>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</si>
  <si>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</si>
  <si>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</si>
  <si>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</si>
  <si>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</si>
  <si>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</si>
  <si>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</si>
  <si>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</si>
  <si>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</si>
  <si>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</si>
  <si>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</si>
  <si>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</si>
  <si>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</si>
  <si>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</si>
  <si>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</si>
  <si>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</si>
  <si>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</si>
  <si>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</si>
  <si>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</si>
  <si>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</si>
  <si>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</si>
  <si>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</si>
  <si>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</si>
  <si>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</si>
  <si>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</si>
  <si>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</si>
  <si>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</si>
  <si>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</si>
  <si>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</si>
  <si>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</si>
  <si>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</si>
  <si>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</si>
  <si>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</si>
  <si>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</si>
  <si>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</si>
  <si>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</si>
  <si>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</si>
  <si>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</si>
  <si>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</si>
  <si>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</si>
  <si>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</si>
  <si>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</si>
  <si>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</si>
  <si>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</si>
  <si>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</si>
  <si>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</si>
  <si>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</si>
  <si>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</si>
  <si>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</si>
  <si>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</si>
  <si>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</si>
  <si>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</si>
  <si>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</si>
  <si>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</si>
  <si>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</si>
  <si>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</si>
  <si>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</si>
  <si>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</si>
  <si>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</si>
  <si>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</si>
  <si>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</si>
  <si>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</si>
  <si>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</si>
  <si>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</si>
  <si>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</si>
  <si>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</si>
  <si>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</si>
  <si>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</si>
  <si>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</si>
  <si>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</si>
  <si>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</si>
  <si>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</si>
  <si>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</si>
  <si>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</si>
  <si>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</si>
  <si>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</si>
  <si>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</si>
  <si>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</si>
  <si>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</si>
  <si>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</si>
  <si>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</si>
  <si>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</si>
  <si>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</si>
  <si>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</si>
  <si>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</si>
  <si>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</si>
  <si>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</si>
  <si>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</si>
  <si>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</si>
  <si>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</si>
  <si>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</si>
  <si>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</si>
  <si>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</si>
  <si>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</si>
  <si>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</si>
  <si>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</si>
  <si>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</si>
  <si>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</si>
  <si>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</si>
  <si>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</si>
  <si>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</si>
  <si>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</si>
  <si>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</si>
  <si>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</si>
  <si>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</si>
  <si>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</si>
  <si>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</si>
  <si>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</si>
  <si>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</si>
  <si>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</si>
  <si>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</si>
  <si>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</si>
  <si>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</si>
  <si>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</si>
  <si>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</si>
  <si>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</si>
  <si>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</si>
  <si>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</si>
  <si>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</si>
  <si>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</si>
  <si>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</si>
  <si>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</si>
  <si>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</si>
  <si>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</si>
  <si>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</si>
  <si>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</si>
  <si>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</si>
  <si>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</si>
  <si>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</si>
  <si>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</si>
  <si>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</si>
  <si>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</si>
  <si>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</si>
  <si>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</si>
  <si>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</si>
  <si>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</si>
  <si>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</si>
  <si>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</si>
  <si>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</si>
  <si>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</si>
  <si>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</si>
  <si>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</si>
  <si>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</si>
  <si>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</si>
  <si>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</si>
  <si>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</si>
  <si>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</si>
  <si>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</si>
  <si>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</si>
  <si>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</si>
  <si>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</si>
  <si>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</si>
  <si>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</si>
  <si>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</si>
  <si>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</si>
  <si>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</si>
  <si>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</si>
  <si>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</si>
  <si>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</si>
  <si>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</si>
  <si>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</si>
  <si>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</si>
  <si>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</si>
  <si>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</si>
  <si>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</si>
  <si>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</si>
  <si>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</si>
  <si>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</si>
  <si>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</si>
  <si>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</si>
  <si>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</si>
  <si>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</si>
  <si>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</si>
  <si>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</si>
  <si>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</si>
  <si>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</si>
  <si>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</si>
  <si>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</si>
  <si>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</si>
  <si>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</si>
  <si>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</si>
  <si>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</si>
  <si>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</si>
  <si>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</si>
  <si>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</si>
  <si>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</si>
  <si>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</si>
  <si>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</si>
  <si>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</si>
  <si>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</si>
  <si>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</si>
  <si>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</si>
  <si>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</si>
  <si>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</si>
  <si>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</si>
  <si>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</si>
  <si>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</si>
  <si>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</si>
  <si>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</si>
  <si>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</si>
  <si>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</si>
  <si>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</si>
  <si>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</si>
  <si>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</si>
  <si>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</si>
  <si>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</si>
  <si>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</si>
  <si>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</si>
  <si>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</si>
  <si>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</si>
  <si>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</si>
  <si>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</si>
  <si>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</si>
  <si>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</si>
  <si>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</si>
  <si>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</si>
  <si>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</si>
  <si>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</si>
  <si>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</si>
  <si>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</si>
  <si>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</si>
  <si>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</si>
  <si>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</si>
  <si>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</si>
  <si>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</si>
  <si>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</si>
  <si>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</si>
  <si>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</si>
  <si>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</si>
  <si>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</si>
  <si>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</si>
  <si>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</si>
  <si>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</si>
  <si>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</si>
  <si>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</si>
  <si>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</si>
  <si>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</si>
  <si>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</si>
  <si>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</si>
  <si>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</si>
  <si>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</si>
  <si>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</si>
  <si>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</si>
  <si>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</si>
  <si>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</si>
  <si>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</si>
  <si>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</si>
  <si>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</si>
  <si>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</si>
  <si>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</si>
  <si>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</si>
  <si>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</si>
  <si>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</si>
  <si>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</si>
  <si>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</si>
  <si>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</si>
  <si>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</si>
  <si>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</si>
  <si>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</si>
  <si>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</si>
  <si>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</si>
  <si>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</si>
  <si>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</si>
  <si>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</si>
  <si>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</si>
  <si>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</si>
  <si>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</si>
  <si>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</si>
  <si>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</si>
  <si>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</si>
  <si>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</si>
  <si>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</si>
  <si>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</si>
  <si>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</si>
  <si>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</si>
  <si>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</si>
  <si>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</si>
  <si>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</si>
  <si>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</si>
  <si>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</si>
  <si>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</si>
  <si>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</si>
  <si>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</si>
  <si>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</si>
  <si>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</si>
  <si>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</si>
  <si>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</si>
  <si>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</si>
  <si>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</si>
  <si>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</si>
  <si>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</si>
  <si>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</si>
  <si>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</si>
  <si>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</si>
  <si>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</si>
  <si>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</si>
  <si>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</si>
  <si>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</si>
  <si>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</si>
  <si>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</si>
  <si>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</si>
  <si>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</si>
  <si>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</si>
  <si>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</si>
  <si>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</si>
  <si>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</si>
  <si>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</si>
  <si>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</si>
  <si>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</si>
  <si>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</si>
  <si>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</si>
  <si>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</si>
  <si>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</si>
  <si>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</si>
  <si>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</si>
  <si>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</si>
  <si>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</si>
  <si>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</si>
  <si>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</si>
  <si>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</si>
  <si>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</si>
  <si>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</si>
  <si>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</si>
  <si>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</si>
  <si>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</si>
  <si>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</si>
  <si>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</si>
  <si>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</si>
  <si>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</si>
  <si>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</si>
  <si>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</si>
  <si>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</si>
  <si>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</si>
  <si>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</si>
  <si>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</si>
  <si>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</si>
  <si>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</si>
  <si>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</si>
  <si>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</si>
  <si>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</si>
  <si>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</si>
  <si>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</si>
  <si>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</si>
  <si>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</si>
  <si>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</si>
  <si>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</si>
  <si>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</si>
  <si>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</si>
  <si>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</si>
  <si>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</si>
  <si>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</si>
  <si>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</si>
  <si>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</si>
  <si>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</si>
  <si>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</si>
  <si>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</si>
  <si>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</si>
  <si>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</si>
  <si>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</si>
  <si>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</si>
  <si>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</si>
  <si>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</si>
  <si>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</si>
  <si>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</si>
  <si>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</si>
  <si>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</si>
  <si>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</si>
  <si>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</si>
  <si>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</si>
  <si>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</si>
  <si>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</si>
  <si>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</si>
  <si>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</si>
  <si>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</si>
  <si>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</si>
  <si>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</si>
  <si>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</si>
  <si>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</si>
  <si>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</si>
  <si>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</si>
  <si>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</si>
  <si>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</si>
  <si>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</si>
  <si>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</si>
  <si>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</si>
  <si>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</si>
  <si>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</si>
  <si>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</si>
  <si>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</si>
  <si>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</si>
  <si>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</si>
  <si>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</si>
  <si>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</si>
  <si>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</si>
  <si>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</si>
  <si>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</si>
  <si>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</si>
  <si>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</si>
  <si>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</si>
  <si>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</si>
  <si>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</si>
  <si>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</si>
  <si>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</si>
  <si>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</si>
  <si>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</si>
  <si>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</si>
  <si>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</si>
  <si>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</si>
  <si>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</si>
  <si>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</si>
  <si>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</si>
  <si>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</si>
  <si>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</si>
  <si>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</si>
  <si>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</si>
  <si>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</si>
  <si>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</si>
  <si>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</si>
  <si>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</si>
  <si>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</si>
  <si>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</si>
  <si>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</si>
  <si>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</si>
  <si>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</si>
  <si>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</si>
  <si>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</si>
  <si>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</si>
  <si>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</si>
  <si>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</si>
  <si>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</si>
  <si>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</si>
  <si>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</si>
  <si>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</si>
  <si>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</si>
  <si>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</si>
  <si>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</si>
  <si>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</si>
  <si>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</si>
  <si>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</si>
  <si>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</si>
  <si>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</si>
  <si>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</si>
  <si>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</si>
  <si>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</si>
  <si>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</si>
  <si>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</si>
  <si>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</si>
  <si>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</si>
  <si>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</si>
  <si>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</si>
  <si>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</si>
  <si>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</si>
  <si>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</si>
  <si>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</si>
  <si>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</si>
  <si>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</si>
  <si>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</si>
  <si>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</si>
  <si>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</si>
  <si>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</si>
  <si>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</si>
  <si>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</si>
  <si>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</si>
  <si>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</si>
  <si>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</si>
  <si>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</si>
  <si>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</si>
  <si>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</si>
  <si>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</si>
  <si>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</si>
  <si>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</si>
  <si>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</si>
  <si>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</si>
  <si>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</si>
  <si>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</si>
  <si>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</si>
  <si>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</si>
  <si>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</si>
  <si>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</si>
  <si>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</si>
  <si>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</si>
  <si>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</si>
  <si>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</si>
  <si>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</si>
  <si>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</si>
  <si>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</si>
  <si>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</si>
  <si>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</si>
  <si>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</si>
  <si>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</si>
  <si>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</si>
  <si>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</si>
  <si>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</si>
  <si>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</si>
  <si>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</si>
  <si>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</si>
  <si>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</si>
  <si>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</si>
  <si>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</si>
  <si>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</si>
  <si>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</si>
  <si>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</si>
  <si>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</si>
  <si>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</si>
  <si>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</si>
  <si>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</si>
  <si>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</si>
  <si>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</si>
  <si>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</si>
  <si>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</si>
  <si>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</si>
  <si>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</si>
  <si>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</si>
  <si>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</si>
  <si>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</si>
  <si>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</si>
  <si>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</si>
  <si>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</si>
  <si>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</si>
  <si>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</si>
  <si>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</si>
  <si>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</si>
  <si>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</si>
  <si>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</si>
  <si>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</si>
  <si>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</si>
  <si>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</si>
  <si>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</si>
  <si>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</si>
  <si>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</si>
  <si>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</si>
  <si>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</si>
  <si>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</si>
  <si>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</si>
  <si>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</si>
  <si>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</si>
  <si>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</si>
  <si>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</si>
  <si>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</si>
  <si>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</si>
  <si>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</si>
  <si>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</si>
  <si>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</si>
  <si>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</si>
  <si>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</si>
  <si>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</si>
  <si>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</si>
  <si>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</si>
  <si>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</si>
  <si>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</si>
  <si>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</si>
  <si>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</si>
  <si>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</si>
  <si>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</si>
  <si>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</si>
  <si>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</si>
  <si>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</si>
  <si>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</si>
  <si>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</si>
  <si>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</si>
  <si>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</si>
  <si>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</si>
  <si>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</si>
  <si>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</si>
  <si>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</si>
  <si>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</si>
  <si>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</si>
  <si>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</si>
  <si>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</si>
  <si>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</si>
  <si>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</si>
  <si>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</si>
  <si>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</si>
  <si>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</si>
  <si>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</si>
  <si>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</si>
  <si>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</si>
  <si>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</si>
  <si>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</si>
  <si>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</si>
  <si>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</si>
  <si>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</si>
  <si>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</si>
  <si>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</si>
  <si>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</si>
  <si>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</si>
  <si>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</si>
  <si>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</si>
  <si>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</si>
  <si>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</si>
  <si>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</si>
  <si>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</si>
  <si>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</si>
  <si>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</si>
  <si>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</si>
  <si>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</si>
  <si>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</si>
  <si>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</si>
  <si>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</si>
  <si>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</si>
  <si>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</si>
  <si>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</si>
  <si>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</si>
  <si>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</si>
  <si>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</si>
  <si>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</si>
  <si>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</si>
  <si>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</si>
  <si>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</si>
  <si>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</si>
  <si>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</si>
  <si>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</si>
  <si>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</si>
  <si>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</si>
  <si>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</si>
  <si>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</si>
  <si>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</si>
  <si>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</si>
  <si>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</si>
  <si>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</si>
  <si>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</si>
  <si>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</si>
  <si>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</si>
  <si>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</si>
  <si>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</si>
  <si>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</si>
  <si>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</si>
  <si>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</si>
  <si>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</si>
  <si>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</si>
  <si>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</si>
  <si>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</si>
  <si>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</si>
  <si>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</si>
  <si>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</si>
  <si>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</si>
  <si>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</si>
  <si>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</si>
  <si>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</si>
  <si>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</si>
  <si>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</si>
  <si>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</si>
  <si>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</si>
  <si>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</si>
  <si>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</si>
  <si>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</si>
  <si>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</si>
  <si>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</si>
  <si>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</si>
  <si>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</si>
  <si>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</si>
  <si>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</si>
  <si>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</si>
  <si>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</si>
  <si>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</si>
  <si>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</si>
  <si>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</si>
  <si>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</si>
  <si>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</si>
  <si>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</si>
  <si>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</si>
  <si>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</si>
  <si>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</si>
  <si>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</si>
  <si>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</si>
  <si>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</si>
  <si>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</si>
  <si>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</si>
  <si>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</si>
  <si>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</si>
  <si>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</si>
  <si>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</si>
  <si>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</si>
  <si>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</si>
  <si>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</si>
  <si>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</si>
  <si>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</si>
  <si>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</si>
  <si>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</si>
  <si>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</si>
  <si>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</si>
  <si>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</si>
  <si>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</si>
  <si>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</si>
  <si>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</si>
  <si>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</si>
  <si>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</si>
  <si>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</si>
  <si>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</si>
  <si>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</si>
  <si>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</si>
  <si>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</si>
  <si>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</si>
  <si>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</si>
  <si>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</si>
  <si>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</si>
  <si>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</si>
  <si>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</si>
  <si>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</si>
  <si>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</si>
  <si>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</si>
  <si>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</si>
  <si>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</si>
  <si>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</si>
  <si>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</si>
  <si>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</si>
  <si>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</si>
  <si>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</si>
  <si>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</si>
  <si>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</si>
  <si>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</si>
  <si>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</si>
  <si>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</si>
  <si>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</si>
  <si>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</si>
  <si>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</si>
  <si>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</si>
  <si>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</si>
  <si>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</si>
  <si>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</si>
  <si>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</si>
  <si>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</si>
  <si>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</si>
  <si>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</si>
  <si>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</si>
  <si>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</si>
  <si>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</si>
  <si>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</si>
  <si>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</si>
  <si>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</si>
  <si>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</si>
  <si>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</si>
  <si>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</si>
  <si>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</si>
  <si>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</si>
  <si>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</si>
  <si>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</si>
  <si>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</si>
  <si>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</si>
  <si>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</si>
  <si>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</si>
  <si>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</si>
  <si>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</si>
  <si>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</si>
  <si>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</si>
  <si>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</si>
  <si>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</si>
  <si>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</si>
  <si>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</si>
  <si>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</si>
  <si>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</si>
  <si>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</si>
  <si>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</si>
  <si>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</si>
  <si>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</si>
  <si>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</si>
  <si>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</si>
  <si>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</si>
  <si>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</si>
  <si>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</si>
  <si>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</si>
  <si>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</si>
  <si>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</si>
  <si>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</si>
  <si>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</si>
  <si>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</si>
  <si>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</si>
  <si>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</si>
  <si>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</si>
  <si>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</si>
  <si>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</si>
  <si>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</si>
  <si>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</si>
  <si>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</si>
  <si>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</si>
  <si>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</si>
  <si>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</si>
  <si>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</si>
  <si>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</si>
  <si>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</si>
  <si>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</si>
  <si>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</si>
  <si>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</si>
  <si>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</si>
  <si>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</si>
  <si>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</si>
  <si>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</si>
  <si>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</si>
  <si>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</si>
  <si>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</si>
  <si>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</si>
  <si>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</si>
  <si>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</si>
  <si>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</si>
  <si>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</si>
  <si>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</si>
  <si>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</si>
  <si>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</si>
  <si>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</si>
  <si>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</si>
  <si>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</si>
  <si>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</si>
  <si>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</si>
  <si>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</si>
  <si>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</si>
  <si>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</si>
  <si>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</si>
  <si>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</si>
  <si>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</si>
  <si>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</si>
  <si>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</si>
  <si>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</si>
  <si>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</si>
  <si>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</si>
  <si>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</si>
  <si>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</si>
  <si>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</si>
  <si>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出让</t>
  </si>
  <si>
    <t>市场价格</t>
  </si>
  <si>
    <t>企业</t>
  </si>
  <si>
    <t>一致</t>
  </si>
  <si>
    <t>商业</t>
  </si>
  <si>
    <t>成新度</t>
  </si>
  <si>
    <t>地上</t>
  </si>
  <si>
    <t>独立商业</t>
  </si>
  <si>
    <t>办公楼</t>
  </si>
  <si>
    <t>商业</t>
    <phoneticPr fontId="7" type="noConversion"/>
  </si>
  <si>
    <t>办公</t>
    <phoneticPr fontId="7" type="noConversion"/>
  </si>
  <si>
    <t>按公示增长率计算</t>
  </si>
  <si>
    <t>容积率修正</t>
  </si>
  <si>
    <t>自定义容积率</t>
  </si>
  <si>
    <t>不临58条商业街</t>
  </si>
  <si>
    <t>一般</t>
  </si>
  <si>
    <t>批发零售用地</t>
  </si>
  <si>
    <t>与级别开发程度一致</t>
  </si>
  <si>
    <t>估价对象容积率</t>
  </si>
  <si>
    <t>商务金融用地（办公类）</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</si>
  <si>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</si>
  <si>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</si>
  <si>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基准地价-商业</t>
  </si>
  <si>
    <t>基准地价-办公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</si>
</sst>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5" borderId="9" xfId="3"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84" fillId="0" borderId="2" xfId="3" applyFont="1" applyBorder="1" applyAlignment="1" applyProtection="1">
      <alignment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8928.57平方米。根据《建设工程规划许可证》[]、《出让合同》[]，估价对象规划建筑面积为25000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2021年3月14日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根据《国有土地使用证》[]，估价对象（分摊）出让国有建设用地使用权面积为8928.57平方米。根据《建设工程规划许可证》[]、《出让合同》[]，估价对象规划建筑面积为25000平方米。</v>
      </c>
    </row>
    <row r="16" spans="1:55" s="2593" customFormat="1">
      <c r="A16" s="2594" t="s">
        <v>2650</v>
      </c>
      <c r="B16" s="2595" t="str">
        <f>'预评函-1'!A22</f>
        <v>本次估价对象为出让国有建设用地使用权，《国有土地使用证》[]证载土地终止日期为商业2090年1月1日、办公2090年1月1日。截至估价期日，出让国有建设用地使用权剩余土地使用年限为。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估价期日：2021年3月14日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8928.57</v>
      </c>
    </row>
    <row r="44" spans="1:2">
      <c r="A44" s="2594" t="s">
        <v>2721</v>
      </c>
      <c r="B44" s="2595" t="str">
        <f>'预评函-2'!O3</f>
        <v>规划建筑面积/㎡</v>
      </c>
    </row>
    <row r="45" spans="1:2">
      <c r="A45" s="2594" t="s">
        <v>2703</v>
      </c>
      <c r="B45" s="2595">
        <f>'预评函-2'!O5</f>
        <v>25000</v>
      </c>
    </row>
    <row r="46" spans="1:2">
      <c r="A46" s="2594" t="s">
        <v>2704</v>
      </c>
      <c r="B46" s="2595" t="e">
        <f ca="1">'预评函-2'!P5</f>
        <v>#DIV/0!</v>
      </c>
    </row>
    <row r="47" spans="1:2">
      <c r="A47" s="2594" t="s">
        <v>2705</v>
      </c>
      <c r="B47" s="2595" t="e">
        <f ca="1">'预评函-2'!Q5</f>
        <v>#DIV/0!</v>
      </c>
    </row>
    <row r="48" spans="1:2">
      <c r="A48" s="2594" t="s">
        <v>2706</v>
      </c>
      <c r="B48" s="2595" t="e">
        <f ca="1">'预评函-2'!R5</f>
        <v>#DIV/0!</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D4" sqref="D4"/>
    </sheetView>
  </sheetViews>
  <sheetFormatPr defaultColWidth="10" defaultRowHeight="14.25"/>
  <cols>
    <col min="1" max="1" width="15.375" style="1613" customWidth="1"/>
    <col min="2"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17" t="str">
        <f>IF(B10="北京市","北京市",C10)&amp;F10&amp;B16&amp;"国有建设用地使用权"&amp;B9&amp;"预评估"</f>
        <v>北京市出让国有建设用地使用权市场价格预评估</v>
      </c>
      <c r="C1" s="3318"/>
      <c r="D1" s="3318"/>
      <c r="E1" s="3318"/>
      <c r="F1" s="3318"/>
      <c r="G1" s="3318"/>
      <c r="H1" s="3318"/>
      <c r="I1" s="3319"/>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44269</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3000</v>
      </c>
      <c r="C8" s="1598"/>
      <c r="D8" s="3323"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3001</v>
      </c>
      <c r="C9" s="1601"/>
      <c r="D9" s="3324"/>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3002</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20"/>
      <c r="C12" s="3321"/>
      <c r="D12" s="3322"/>
      <c r="E12" s="1620" t="s">
        <v>2050</v>
      </c>
      <c r="F12" s="3338" t="s">
        <v>2868</v>
      </c>
      <c r="G12" s="3339"/>
      <c r="H12" s="3339"/>
      <c r="I12" s="3340"/>
      <c r="J12" s="3073"/>
      <c r="K12" s="3056"/>
      <c r="L12" s="3052"/>
      <c r="M12" s="3052"/>
      <c r="N12" s="3053"/>
      <c r="O12" s="3054"/>
      <c r="P12" s="3053"/>
      <c r="Q12" s="3053"/>
      <c r="R12" s="3053"/>
      <c r="S12" s="3053"/>
      <c r="T12" s="3053"/>
      <c r="U12" s="3053"/>
    </row>
    <row r="13" spans="1:21">
      <c r="A13" s="1611" t="s">
        <v>2048</v>
      </c>
      <c r="B13" s="3320"/>
      <c r="C13" s="3321"/>
      <c r="D13" s="3322"/>
      <c r="E13" s="1620" t="s">
        <v>2050</v>
      </c>
      <c r="F13" s="3338" t="s">
        <v>2869</v>
      </c>
      <c r="G13" s="3339"/>
      <c r="H13" s="3339"/>
      <c r="I13" s="3340"/>
      <c r="J13" s="3073"/>
      <c r="K13" s="3056"/>
      <c r="L13" s="3052"/>
      <c r="M13" s="3052"/>
      <c r="N13" s="3053"/>
      <c r="O13" s="3054"/>
      <c r="P13" s="3053"/>
      <c r="Q13" s="3053"/>
      <c r="R13" s="3053"/>
      <c r="S13" s="3053"/>
      <c r="T13" s="3053"/>
      <c r="U13" s="3053"/>
    </row>
    <row r="14" spans="1:21">
      <c r="A14" s="1588" t="s">
        <v>2051</v>
      </c>
      <c r="B14" s="1620"/>
      <c r="C14" s="1757" t="s">
        <v>3003</v>
      </c>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3000</v>
      </c>
      <c r="C16" s="1620" t="s">
        <v>1937</v>
      </c>
      <c r="D16" s="2487" t="s">
        <v>1938</v>
      </c>
      <c r="E16" s="1642" t="s">
        <v>3004</v>
      </c>
      <c r="F16" s="1642" t="s">
        <v>1668</v>
      </c>
      <c r="G16" s="1642"/>
      <c r="H16" s="1642"/>
      <c r="I16" s="1610" t="s">
        <v>1943</v>
      </c>
      <c r="J16" s="3073"/>
      <c r="K16" s="2310" t="str">
        <f>IF(D17="","",D16&amp;TEXT(D17,"yyyy年m月d日;;"))</f>
        <v/>
      </c>
      <c r="L16" s="1620" t="str">
        <f>IF(OR(K16="",M16=""),"","、")</f>
        <v/>
      </c>
      <c r="M16" s="2310" t="str">
        <f>IF(E17="","",E16&amp;TEXT(E17,"yyyy年m月d日;;"))</f>
        <v>商业2090年1月1日</v>
      </c>
      <c r="N16" s="1620" t="str">
        <f>IF(OR(M16="",O16=""),"","、")</f>
        <v>、</v>
      </c>
      <c r="O16" s="2310" t="str">
        <f>IF(F17="","",F16&amp;TEXT(F17,"yyyy年m月d日;;"))</f>
        <v>办公2090年1月1日</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v>69399</v>
      </c>
      <c r="F17" s="3277">
        <f>E17</f>
        <v>69399</v>
      </c>
      <c r="G17" s="3277"/>
      <c r="H17" s="3277"/>
      <c r="I17" s="3277"/>
      <c r="J17" s="3073"/>
      <c r="K17" s="3051" t="str">
        <f>CONCATENATE(K16,L16,M16,N16,O16,P16,Q16,R16,S16,T16,,U16)</f>
        <v>商业2090年1月1日、办公2090年1月1日</v>
      </c>
      <c r="L17" s="3052"/>
      <c r="M17" s="3052"/>
      <c r="N17" s="3053"/>
      <c r="O17" s="3054"/>
      <c r="P17" s="3053"/>
      <c r="Q17" s="3053"/>
      <c r="R17" s="3053"/>
      <c r="S17" s="3053"/>
      <c r="T17" s="3053"/>
      <c r="U17" s="3053"/>
    </row>
    <row r="18" spans="1:21">
      <c r="A18" s="1679"/>
      <c r="B18" s="1607"/>
      <c r="C18" s="3002" t="s">
        <v>1945</v>
      </c>
      <c r="D18" s="1608"/>
      <c r="E18" s="1608">
        <v>40</v>
      </c>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t="str">
        <f>IF(B16="出让",IF(D17="","",ROUNDDOWN(MIN((D17-$D$3)/365,D18),2)),D18)</f>
        <v/>
      </c>
      <c r="E19" s="1609">
        <f>IF(B16="出让",IF(E17="","",ROUNDDOWN(MIN((E17-$D$3)/365,E18),2)),E18)</f>
        <v>40</v>
      </c>
      <c r="F19" s="1609">
        <f>IF(B16="出让",IF(F17="","",ROUNDDOWN(MIN((F17-$D$3)/365,F18),2)),F18)</f>
        <v>50</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35"/>
      <c r="E20" s="3336"/>
      <c r="F20" s="3336"/>
      <c r="G20" s="3336"/>
      <c r="H20" s="3336"/>
      <c r="I20" s="3337"/>
      <c r="J20" s="3073"/>
      <c r="K20" s="3056"/>
      <c r="L20" s="3052"/>
      <c r="M20" s="3052"/>
      <c r="N20" s="3053"/>
      <c r="O20" s="3054"/>
      <c r="P20" s="3053"/>
      <c r="Q20" s="3053"/>
      <c r="R20" s="3053"/>
      <c r="S20" s="3053"/>
      <c r="T20" s="3053"/>
      <c r="U20" s="3053"/>
    </row>
    <row r="21" spans="1:21">
      <c r="A21" s="1679" t="s">
        <v>1947</v>
      </c>
      <c r="B21" s="1680" t="s">
        <v>1948</v>
      </c>
      <c r="C21" s="1675">
        <f>'数据-汇总表'!E3</f>
        <v>25000</v>
      </c>
      <c r="D21" s="1676" t="s">
        <v>1949</v>
      </c>
      <c r="E21" s="3325" t="s">
        <v>1987</v>
      </c>
      <c r="F21" s="3326"/>
      <c r="G21" s="3326"/>
      <c r="H21" s="3326"/>
      <c r="I21" s="3327"/>
      <c r="J21" s="3073"/>
      <c r="K21" s="3056"/>
      <c r="L21" s="3052"/>
      <c r="M21" s="3052"/>
      <c r="N21" s="3053"/>
      <c r="O21" s="3054"/>
      <c r="P21" s="3053"/>
      <c r="Q21" s="3053"/>
      <c r="R21" s="3053"/>
      <c r="S21" s="3053"/>
      <c r="T21" s="3053"/>
      <c r="U21" s="3053"/>
    </row>
    <row r="22" spans="1:21">
      <c r="A22" s="2801" t="s">
        <v>943</v>
      </c>
      <c r="B22" s="1588" t="s">
        <v>1950</v>
      </c>
      <c r="C22" s="1610">
        <f>'数据-汇总表'!D3</f>
        <v>8928.57</v>
      </c>
      <c r="D22" s="1611" t="s">
        <v>1949</v>
      </c>
      <c r="E22" s="3325" t="s">
        <v>2870</v>
      </c>
      <c r="F22" s="3326"/>
      <c r="G22" s="3326"/>
      <c r="H22" s="3326"/>
      <c r="I22" s="3327"/>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28" t="s">
        <v>1955</v>
      </c>
      <c r="C24" s="3329"/>
      <c r="D24" s="3330" t="s">
        <v>1956</v>
      </c>
      <c r="E24" s="3331"/>
      <c r="F24" s="1628" t="s">
        <v>1957</v>
      </c>
      <c r="G24" s="3073"/>
      <c r="H24" s="3073"/>
      <c r="I24" s="3077"/>
      <c r="J24" s="3073"/>
      <c r="K24" s="3316"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1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1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43" t="s">
        <v>1990</v>
      </c>
      <c r="B31" s="1680" t="s">
        <v>1991</v>
      </c>
      <c r="C31" s="3341"/>
      <c r="D31" s="3342"/>
      <c r="E31" s="3073"/>
      <c r="F31" s="3073"/>
      <c r="G31" s="3073"/>
      <c r="H31" s="3073"/>
      <c r="I31" s="3077"/>
      <c r="J31" s="3073"/>
      <c r="K31" s="3059"/>
      <c r="L31" s="3053"/>
      <c r="M31" s="3053"/>
      <c r="N31" s="3053"/>
      <c r="O31" s="3053"/>
      <c r="P31" s="3053"/>
      <c r="Q31" s="3053"/>
      <c r="R31" s="3053"/>
      <c r="S31" s="3053"/>
      <c r="T31" s="3053"/>
      <c r="U31" s="3053"/>
    </row>
    <row r="32" spans="1:21">
      <c r="A32" s="3343"/>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43"/>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44"/>
      <c r="B34" s="1588" t="s">
        <v>1994</v>
      </c>
      <c r="C34" s="3345"/>
      <c r="D34" s="3346"/>
      <c r="E34" s="3073"/>
      <c r="F34" s="3073"/>
      <c r="G34" s="3073"/>
      <c r="H34" s="3073"/>
      <c r="I34" s="3077"/>
      <c r="J34" s="3073"/>
      <c r="K34" s="3059"/>
      <c r="L34" s="3053"/>
      <c r="M34" s="3053"/>
      <c r="N34" s="3053"/>
      <c r="O34" s="3053"/>
      <c r="P34" s="3053"/>
      <c r="Q34" s="3053"/>
      <c r="R34" s="3053"/>
      <c r="S34" s="3053"/>
      <c r="T34" s="3053"/>
      <c r="U34" s="3053"/>
    </row>
    <row r="35" spans="1:28">
      <c r="A35" s="3347" t="s">
        <v>839</v>
      </c>
      <c r="B35" s="1642"/>
      <c r="C35" s="1689" t="str">
        <f>IF(B35="场地平整","——","具体情况：")</f>
        <v>具体情况：</v>
      </c>
      <c r="D35" s="3349"/>
      <c r="E35" s="3350"/>
      <c r="F35" s="3350"/>
      <c r="G35" s="3350"/>
      <c r="H35" s="3350"/>
      <c r="I35" s="3351"/>
      <c r="J35" s="3073"/>
      <c r="K35" s="3060"/>
      <c r="L35" s="3052"/>
      <c r="M35" s="3052"/>
      <c r="N35" s="3053"/>
      <c r="O35" s="3054"/>
      <c r="P35" s="3053"/>
      <c r="Q35" s="3053"/>
      <c r="R35" s="3053"/>
      <c r="S35" s="3053"/>
      <c r="T35" s="3053"/>
      <c r="U35" s="3053"/>
    </row>
    <row r="36" spans="1:28">
      <c r="A36" s="3343"/>
      <c r="B36" s="3352" t="s">
        <v>2043</v>
      </c>
      <c r="C36" s="3353"/>
      <c r="D36" s="1705"/>
      <c r="E36" s="3354"/>
      <c r="F36" s="3354"/>
      <c r="G36" s="1611" t="str">
        <f>IF(B35="场地未平整","估价结果处理","")</f>
        <v/>
      </c>
      <c r="H36" s="3355"/>
      <c r="I36" s="3355"/>
      <c r="J36" s="3073"/>
      <c r="K36" s="3060"/>
      <c r="L36" s="3052"/>
      <c r="M36" s="3052"/>
      <c r="N36" s="3053"/>
      <c r="O36" s="3054"/>
      <c r="P36" s="3053"/>
      <c r="Q36" s="3053"/>
      <c r="R36" s="3053"/>
      <c r="S36" s="3053"/>
      <c r="T36" s="3053"/>
      <c r="U36" s="3053"/>
    </row>
    <row r="37" spans="1:28" ht="28.5">
      <c r="A37" s="3343"/>
      <c r="B37" s="3332"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43"/>
      <c r="B38" s="3333"/>
      <c r="C38" s="1596"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344"/>
      <c r="B39" s="3334"/>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15" t="s">
        <v>1974</v>
      </c>
      <c r="T40" s="1651" t="str">
        <f>NUMBERSTRING(7-K40,1)&amp;"通"</f>
        <v>七通</v>
      </c>
      <c r="U40" s="3053"/>
    </row>
    <row r="41" spans="1:28">
      <c r="A41" s="1590"/>
      <c r="B41" s="3348" t="s">
        <v>1712</v>
      </c>
      <c r="C41" s="3348"/>
      <c r="D41" s="3348"/>
      <c r="E41" s="3348"/>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15"/>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t="s">
        <v>1406</v>
      </c>
      <c r="C43" s="1657" t="s">
        <v>1406</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t="s">
        <v>1264</v>
      </c>
      <c r="C44" s="1657" t="s">
        <v>1264</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B3/2.8</f>
        <v>8928.5714285714294</v>
      </c>
      <c r="B3" s="22">
        <f>IF(C3="否",G5-AT5,G5)</f>
        <v>25000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25000</v>
      </c>
      <c r="H5" s="27">
        <f t="shared" ref="H5:AT5" si="0">SUM(H13:H641)</f>
        <v>25000</v>
      </c>
      <c r="I5" s="27">
        <f t="shared" si="0"/>
        <v>12500</v>
      </c>
      <c r="J5" s="27">
        <f t="shared" si="0"/>
        <v>0</v>
      </c>
      <c r="K5" s="27">
        <f t="shared" si="0"/>
        <v>12500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25000</v>
      </c>
      <c r="BA5" s="29">
        <f t="shared" si="1"/>
        <v>25000</v>
      </c>
      <c r="BB5" s="29">
        <f t="shared" si="1"/>
        <v>12500</v>
      </c>
      <c r="BC5" s="29">
        <f t="shared" si="1"/>
        <v>12500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8928.58</v>
      </c>
      <c r="F6" s="27" t="s">
        <v>1</v>
      </c>
      <c r="G6" s="27" t="s">
        <v>2</v>
      </c>
      <c r="H6" s="33">
        <f>SUMIF(I$12:AB$12,"总值",I6:AB6)</f>
        <v>8928.58</v>
      </c>
      <c r="I6" s="27">
        <f t="shared" ref="I6:AB6" si="2">ROUND($A$3*I5/$B$3,2)</f>
        <v>4464.29</v>
      </c>
      <c r="J6" s="27">
        <f t="shared" si="2"/>
        <v>0</v>
      </c>
      <c r="K6" s="27">
        <f t="shared" si="2"/>
        <v>4464.29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8928.57</v>
      </c>
      <c r="AZ6" s="27" t="s">
        <v>3</v>
      </c>
      <c r="BA6" s="27">
        <f>ROUND($AY$6*BA5/$AZ$5,2)</f>
        <v>8928.57</v>
      </c>
      <c r="BB6" s="27">
        <f>ROUND($AY$6*BB5/$AZ$5,2)</f>
        <v>4464.29</v>
      </c>
      <c r="BC6" s="27">
        <f t="shared" ref="BC6:BH6" si="4">ROUND($AY$6*BC5/$AZ$5,2)</f>
        <v>4464.29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3006</v>
      </c>
      <c r="J9" s="51"/>
      <c r="K9" s="2731" t="s">
        <v>3006</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3004</v>
      </c>
      <c r="J10" s="51"/>
      <c r="K10" s="2733" t="s">
        <v>1668</v>
      </c>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3007</v>
      </c>
      <c r="J11" s="71"/>
      <c r="K11" s="2732" t="s">
        <v>3008</v>
      </c>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独立商业</v>
      </c>
      <c r="BC12" s="79" t="str">
        <f>K11</f>
        <v>办公楼</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8928.57</v>
      </c>
      <c r="F13" s="81"/>
      <c r="G13" s="82">
        <f t="shared" ref="G13:G20" si="7">H13+AC13+AT13</f>
        <v>25000</v>
      </c>
      <c r="H13" s="33">
        <f t="shared" ref="H13:H20" si="8">SUMIF(I$12:AB$12,"总值",I13:AB13)</f>
        <v>25000</v>
      </c>
      <c r="I13" s="2730">
        <v>12500</v>
      </c>
      <c r="J13" s="2730"/>
      <c r="K13" s="2730">
        <f>25000-I13</f>
        <v>12500</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8928.57</v>
      </c>
      <c r="AZ13" s="27">
        <f t="shared" ref="AZ13:AZ20" si="12">BA13+BL13</f>
        <v>25000</v>
      </c>
      <c r="BA13" s="27">
        <f t="shared" ref="BA13:BA20" si="13">SUM(BB13:BK13)</f>
        <v>25000</v>
      </c>
      <c r="BB13" s="27">
        <f t="shared" ref="BB13:BB20" si="14">IF($D13="是",I13-J13,0)</f>
        <v>12500</v>
      </c>
      <c r="BC13" s="27">
        <f t="shared" ref="BC13:BC20" si="15">IF($D13="是",K13-L13,0)</f>
        <v>12500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t="s">
        <v>1669</v>
      </c>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56" t="s">
        <v>0</v>
      </c>
      <c r="B1" s="3356" t="s">
        <v>4</v>
      </c>
      <c r="C1" s="3356" t="s">
        <v>5</v>
      </c>
      <c r="D1" s="3357" t="s">
        <v>40</v>
      </c>
      <c r="E1" s="3357" t="s">
        <v>41</v>
      </c>
      <c r="F1" s="3357"/>
      <c r="G1" s="3357"/>
      <c r="H1" s="3357"/>
      <c r="I1" s="3357"/>
      <c r="J1" s="3357"/>
      <c r="K1" s="3357"/>
      <c r="L1" s="3357"/>
      <c r="M1" s="3357"/>
    </row>
    <row r="2" spans="1:13" ht="27" customHeight="1">
      <c r="A2" s="3356"/>
      <c r="B2" s="3356"/>
      <c r="C2" s="3356"/>
      <c r="D2" s="3357"/>
      <c r="E2" s="3357" t="s">
        <v>24</v>
      </c>
      <c r="F2" s="3357" t="s">
        <v>25</v>
      </c>
      <c r="G2" s="3357"/>
      <c r="H2" s="3357"/>
      <c r="I2" s="3357"/>
      <c r="J2" s="3357" t="s">
        <v>26</v>
      </c>
      <c r="K2" s="3357"/>
      <c r="L2" s="3357"/>
      <c r="M2" s="3357"/>
    </row>
    <row r="3" spans="1:13" ht="28.5">
      <c r="A3" s="3356"/>
      <c r="B3" s="3356"/>
      <c r="C3" s="3356"/>
      <c r="D3" s="3357"/>
      <c r="E3" s="33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57" t="s">
        <v>42</v>
      </c>
      <c r="B9" s="3357"/>
      <c r="C9" s="33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I12" sqref="I12"/>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67" t="s">
        <v>203</v>
      </c>
      <c r="B2" s="3367"/>
      <c r="C2" s="3367"/>
      <c r="D2" s="1888" t="s">
        <v>204</v>
      </c>
      <c r="E2" s="106" t="s">
        <v>205</v>
      </c>
      <c r="F2" s="3082"/>
      <c r="G2" s="1181"/>
      <c r="H2" s="1182"/>
      <c r="I2" s="1183" t="s">
        <v>849</v>
      </c>
      <c r="J2" s="3082"/>
      <c r="K2" s="3082"/>
      <c r="L2" s="3082"/>
      <c r="M2" s="3082"/>
      <c r="N2" s="3082"/>
      <c r="O2" s="3082"/>
      <c r="P2" s="3082"/>
    </row>
    <row r="3" spans="1:16" ht="15.75" thickBot="1">
      <c r="A3" s="3368" t="s">
        <v>206</v>
      </c>
      <c r="B3" s="3368"/>
      <c r="C3" s="3368"/>
      <c r="D3" s="107">
        <f>'数据-基础表'!AY6</f>
        <v>8928.57</v>
      </c>
      <c r="E3" s="107">
        <f>'数据-基础表'!AZ5</f>
        <v>25000</v>
      </c>
      <c r="F3" s="3082"/>
      <c r="G3" s="278" t="s">
        <v>850</v>
      </c>
      <c r="H3" s="273" t="s">
        <v>851</v>
      </c>
      <c r="I3" s="1889">
        <f>ROUND('数据-基础表'!B3/'数据-基础表'!A3,2)</f>
        <v>2.8</v>
      </c>
      <c r="J3" s="3082"/>
      <c r="K3" s="3082"/>
      <c r="L3" s="3082"/>
      <c r="M3" s="3082"/>
      <c r="N3" s="3082"/>
      <c r="O3" s="3082"/>
      <c r="P3" s="3082"/>
    </row>
    <row r="4" spans="1:16" ht="15">
      <c r="A4" s="3369"/>
      <c r="B4" s="3370"/>
      <c r="C4" s="3371"/>
      <c r="D4" s="108" t="s">
        <v>204</v>
      </c>
      <c r="E4" s="109" t="s">
        <v>205</v>
      </c>
      <c r="F4" s="3082"/>
      <c r="G4" s="1184"/>
      <c r="H4" s="273" t="s">
        <v>852</v>
      </c>
      <c r="I4" s="1889">
        <f>ROUND(SUMIF('数据-基础表'!I9:AS9,"地上",'数据-基础表'!I5:AS5)/'数据-基础表'!A3,2)</f>
        <v>2.8</v>
      </c>
      <c r="J4" s="3082"/>
      <c r="K4" s="3082"/>
      <c r="L4" s="3082"/>
      <c r="M4" s="3082"/>
      <c r="N4" s="3082"/>
      <c r="O4" s="3082"/>
      <c r="P4" s="3082"/>
    </row>
    <row r="5" spans="1:16">
      <c r="A5" s="110" t="s">
        <v>207</v>
      </c>
      <c r="B5" s="3372" t="s">
        <v>230</v>
      </c>
      <c r="C5" s="3372"/>
      <c r="D5" s="111">
        <f>ROUND($D$3*E5/$E$3,2)</f>
        <v>0</v>
      </c>
      <c r="E5" s="112">
        <f>SUMIF('数据-基础表'!$11:$11,"住宅",'数据-基础表'!$5:$5)</f>
        <v>0</v>
      </c>
      <c r="F5" s="3082"/>
      <c r="G5" s="278" t="s">
        <v>853</v>
      </c>
      <c r="H5" s="273" t="s">
        <v>851</v>
      </c>
      <c r="I5" s="1889">
        <f>ROUND(E31/D31,2)</f>
        <v>2.8</v>
      </c>
      <c r="J5" s="3082"/>
      <c r="K5" s="3082"/>
      <c r="L5" s="3082"/>
      <c r="M5" s="3082"/>
      <c r="N5" s="3082"/>
      <c r="O5" s="3082"/>
      <c r="P5" s="3082"/>
    </row>
    <row r="6" spans="1:16" ht="15" thickBot="1">
      <c r="A6" s="113"/>
      <c r="B6" s="3372" t="s">
        <v>208</v>
      </c>
      <c r="C6" s="3372"/>
      <c r="D6" s="111">
        <f>ROUND($D$3*E6/$E$3,2)</f>
        <v>8928.57</v>
      </c>
      <c r="E6" s="112">
        <f>E3-E5</f>
        <v>25000</v>
      </c>
      <c r="F6" s="3082"/>
      <c r="G6" s="1184"/>
      <c r="H6" s="273" t="s">
        <v>852</v>
      </c>
      <c r="I6" s="1889">
        <f>ROUND(F31/D31,2)</f>
        <v>2.8</v>
      </c>
      <c r="J6" s="3082"/>
      <c r="K6" s="3082"/>
      <c r="L6" s="3082"/>
      <c r="M6" s="3082"/>
      <c r="N6" s="3082"/>
      <c r="O6" s="3082"/>
      <c r="P6" s="3082"/>
    </row>
    <row r="7" spans="1:16" ht="15">
      <c r="A7" s="3364"/>
      <c r="B7" s="3365"/>
      <c r="C7" s="3366"/>
      <c r="D7" s="108" t="s">
        <v>204</v>
      </c>
      <c r="E7" s="114" t="s">
        <v>231</v>
      </c>
      <c r="F7" s="3082"/>
      <c r="G7" s="1139" t="s">
        <v>1636</v>
      </c>
      <c r="H7" s="1140"/>
      <c r="I7" s="1759">
        <v>2</v>
      </c>
      <c r="J7" s="3082"/>
      <c r="K7" s="3082"/>
      <c r="L7" s="3082"/>
      <c r="M7" s="3082"/>
      <c r="N7" s="3082"/>
      <c r="O7" s="3082"/>
      <c r="P7" s="3082"/>
    </row>
    <row r="8" spans="1:16">
      <c r="A8" s="110" t="s">
        <v>209</v>
      </c>
      <c r="B8" s="115" t="s">
        <v>210</v>
      </c>
      <c r="C8" s="111" t="s">
        <v>211</v>
      </c>
      <c r="D8" s="111">
        <f t="shared" ref="D8:D15" si="0">ROUND($D$3*E8/$E$3,2)</f>
        <v>8928.57</v>
      </c>
      <c r="E8" s="116">
        <f>SUMIF('数据-基础表'!BB10:BK10,"地上",'数据-基础表'!BB5:BK5)</f>
        <v>25000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8928.57</v>
      </c>
      <c r="E16" s="120">
        <f>SUM(E8:E15)</f>
        <v>25000</v>
      </c>
      <c r="F16" s="3082"/>
      <c r="G16" s="3083"/>
      <c r="H16" s="956" t="s">
        <v>219</v>
      </c>
      <c r="I16" s="957"/>
      <c r="J16" s="1897"/>
      <c r="K16" s="3358" t="s">
        <v>2548</v>
      </c>
      <c r="L16" s="3359"/>
      <c r="M16" s="3359"/>
      <c r="N16" s="3359"/>
      <c r="O16" s="3359"/>
      <c r="P16" s="3360"/>
    </row>
    <row r="17" spans="1:19" ht="15">
      <c r="A17" s="121" t="s">
        <v>216</v>
      </c>
      <c r="B17" s="122" t="s">
        <v>217</v>
      </c>
      <c r="C17" s="2177" t="s">
        <v>2301</v>
      </c>
      <c r="D17" s="108" t="s">
        <v>204</v>
      </c>
      <c r="E17" s="124" t="s">
        <v>205</v>
      </c>
      <c r="F17" s="125"/>
      <c r="G17" s="1319"/>
      <c r="H17" s="958" t="s">
        <v>218</v>
      </c>
      <c r="I17" s="959" t="s">
        <v>2300</v>
      </c>
      <c r="J17" s="1897"/>
      <c r="K17" s="3361" t="s">
        <v>2549</v>
      </c>
      <c r="L17" s="3362"/>
      <c r="M17" s="3363"/>
      <c r="N17" s="3361" t="s">
        <v>2550</v>
      </c>
      <c r="O17" s="3362"/>
      <c r="P17" s="3363"/>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3009</v>
      </c>
      <c r="D19" s="111">
        <f t="shared" ref="D19:D26" si="1">ROUND($D$3*E19/$E$3,2)</f>
        <v>4464.29</v>
      </c>
      <c r="E19" s="134">
        <f t="shared" ref="E19:E26" si="2">SUM(F19:G19)</f>
        <v>12500</v>
      </c>
      <c r="F19" s="3084">
        <f>'数据-基础表'!I13</f>
        <v>12500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4464.29</v>
      </c>
      <c r="S19" s="2180">
        <f t="shared" si="5"/>
        <v>12500</v>
      </c>
    </row>
    <row r="20" spans="1:19">
      <c r="A20" s="137"/>
      <c r="B20" s="115" t="s">
        <v>226</v>
      </c>
      <c r="C20" s="2737" t="s">
        <v>3010</v>
      </c>
      <c r="D20" s="111">
        <f t="shared" si="1"/>
        <v>4464.29</v>
      </c>
      <c r="E20" s="134">
        <f t="shared" si="2"/>
        <v>12500</v>
      </c>
      <c r="F20" s="3084">
        <f>'数据-基础表'!K13</f>
        <v>12500</v>
      </c>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4464.29</v>
      </c>
      <c r="S20" s="2180">
        <f t="shared" si="5"/>
        <v>12500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8928.58</v>
      </c>
      <c r="E27" s="141">
        <f>IF(SUM(E19:E26)='数据-基础表'!BA5,SUM(E19:E26),IF(F27="地上面积有误","面积有误","地下面积有误"))</f>
        <v>25000</v>
      </c>
      <c r="F27" s="134">
        <f>IF(SUM(F19:F26)=E8,SUM(F19:F26),"地上面积有误")</f>
        <v>25000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t="str">
        <f>IF(SUM(R19:R26)=$D$3,SUM(R19:R26),SUM(R19:R26)&amp;"误差"&amp;ROUND(SUM(R19:R26)-$D$3,2))</f>
        <v>8928.58误差0.01</v>
      </c>
      <c r="S27" s="273">
        <f>IF(SUM(S19:S26)=$E$3,SUM(S19:S26),SUM(S19:S26)&amp;"误差"&amp;ROUND(SUM(S19:S26)-E3,2))</f>
        <v>25000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8928.58</v>
      </c>
      <c r="E31" s="1323">
        <f>E27+E30</f>
        <v>25000</v>
      </c>
      <c r="F31" s="1324">
        <f>F27+F30</f>
        <v>25000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A6" sqref="A6"/>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44269</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3005</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2972</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商业</v>
      </c>
      <c r="B6" s="2216" t="str">
        <f>IF(A6=0,"","经营性")</f>
        <v>经营性</v>
      </c>
      <c r="C6" s="171" t="s">
        <v>3004</v>
      </c>
      <c r="D6" s="2187">
        <f>SUMIF(项目基本情况!D$15:I$15,C6,项目基本情况!D$18:I$18)</f>
        <v>40</v>
      </c>
      <c r="E6" s="2188">
        <f>IF(B6="","",SUMIF(项目基本情况!D$15:I$15,C6,项目基本情况!D$17:I$17))</f>
        <v>69399</v>
      </c>
      <c r="F6" s="172">
        <f>SUMIF(项目基本情况!D$15:I$15,C6,项目基本情况!D$19:I$19)</f>
        <v>40</v>
      </c>
      <c r="G6" s="173">
        <f>IF(ISERROR(ROUND(POWER(1+H6,D6-F6)*(POWER(1+H6,F6)-1)/(POWER(1+H6,D6)-1),3)),0,ROUND(POWER(1+H6,D6-F6)*(POWER(1+H6,F6)-1)/(POWER(1+H6,D6)-1),3))</f>
        <v>1</v>
      </c>
      <c r="H6" s="2738">
        <v>0.05</v>
      </c>
      <c r="I6" s="2738">
        <v>0.06</v>
      </c>
      <c r="J6" s="174">
        <v>0.08</v>
      </c>
      <c r="K6" s="177">
        <f>SUMIF('数据-汇总表'!C$19:C$33,'数据-取费表'!A6,'数据-汇总表'!E$19:E$33)</f>
        <v>12500</v>
      </c>
      <c r="L6" s="2739">
        <v>2500</v>
      </c>
      <c r="M6" s="175">
        <f t="shared" ref="M6:M14" si="0">ROUND(K6*L6/10000,0)</f>
        <v>3125</v>
      </c>
      <c r="N6" s="2740">
        <v>1</v>
      </c>
      <c r="O6" s="175" t="str">
        <f>IF($N$5="成新度","——",ROUND(M6*N6,0))</f>
        <v>——</v>
      </c>
      <c r="P6" s="176" t="str">
        <f>IF($N$5="成新度","——",M6-O6)</f>
        <v>——</v>
      </c>
      <c r="Q6" s="2741">
        <v>0.2</v>
      </c>
      <c r="R6" s="177">
        <f>SUMIF('数据-汇总表'!C$19:C$33,A6,'数据-汇总表'!R$19:R$33)</f>
        <v>4464.29</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0.85799999999999998</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办公</v>
      </c>
      <c r="B7" s="2216" t="str">
        <f t="shared" ref="B7:B13" si="1">IF(A7=0,"","经营性")</f>
        <v>经营性</v>
      </c>
      <c r="C7" s="171" t="s">
        <v>1668</v>
      </c>
      <c r="D7" s="2187">
        <f>SUMIF(项目基本情况!D$15:I$15,C7,项目基本情况!D$18:I$18)</f>
        <v>50</v>
      </c>
      <c r="E7" s="2188">
        <f>IF(B7="","",SUMIF(项目基本情况!D$15:I$15,C7,项目基本情况!D$17:I$17))</f>
        <v>69399</v>
      </c>
      <c r="F7" s="172">
        <f>SUMIF(项目基本情况!D$15:I$15,C7,项目基本情况!D$19:I$19)</f>
        <v>50</v>
      </c>
      <c r="G7" s="173">
        <f t="shared" ref="G7:G11" si="2">IF(ISERROR(ROUND(POWER(1+H7,D7-F7)*(POWER(1+H7,F7)-1)/(POWER(1+H7,D7)-1),3)),0,ROUND(POWER(1+H7,D7-F7)*(POWER(1+H7,F7)-1)/(POWER(1+H7,D7)-1),3))</f>
        <v>1</v>
      </c>
      <c r="H7" s="2738">
        <f>H6</f>
        <v>0.05</v>
      </c>
      <c r="I7" s="2738">
        <f>I6</f>
        <v>0.06</v>
      </c>
      <c r="J7" s="174">
        <f>J6</f>
        <v>0.08</v>
      </c>
      <c r="K7" s="177">
        <f>SUMIF('数据-汇总表'!C$19:C$33,'数据-取费表'!A7,'数据-汇总表'!E$19:E$33)</f>
        <v>12500</v>
      </c>
      <c r="L7" s="2739">
        <f>L6</f>
        <v>2500</v>
      </c>
      <c r="M7" s="175">
        <f t="shared" si="0"/>
        <v>3125</v>
      </c>
      <c r="N7" s="2740">
        <f>N6</f>
        <v>1</v>
      </c>
      <c r="O7" s="175" t="str">
        <f t="shared" ref="O7:O14" si="3">IF($N$5="成新度","——",ROUND(M7*N7,0))</f>
        <v>——</v>
      </c>
      <c r="P7" s="176" t="str">
        <f t="shared" ref="P7:P14" si="4">IF($N$5="成新度","——",M7-O7)</f>
        <v>——</v>
      </c>
      <c r="Q7" s="2741">
        <v>0.2</v>
      </c>
      <c r="R7" s="177">
        <f>SUMIF('数据-汇总表'!C$19:C$33,A7,'数据-汇总表'!R$19:R$33)</f>
        <v>4464.29</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0.91300000000000003</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25000</v>
      </c>
      <c r="L16" s="204">
        <f>ROUND(M16*10000/SUM(K6:K14),0)</f>
        <v>2500</v>
      </c>
      <c r="M16" s="204">
        <f>SUM(M6:M14)</f>
        <v>6250</v>
      </c>
      <c r="N16" s="205">
        <f>ROUND(SUMPRODUCT(M6:M14,N6:N14)/M16,3)</f>
        <v>1</v>
      </c>
      <c r="O16" s="204">
        <f>SUM(O6:O14)</f>
        <v>0</v>
      </c>
      <c r="P16" s="204">
        <f>SUM(P6:P14)</f>
        <v>0</v>
      </c>
      <c r="Q16" s="206">
        <f>ROUND(SUMPRODUCT(Q6:Q13,K6:K13)/SUMPRODUCT((Q6:Q13&gt;0)*(K6:K13)),2)</f>
        <v>0.2</v>
      </c>
      <c r="R16" s="2190">
        <f>SUM(R6:R13)</f>
        <v>8928.58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0.88600000000000001</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2985</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160</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2973</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2974</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2975</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2976</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2977</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2977</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2978</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91" priority="12" stopIfTrue="1" operator="containsText" text="自行计算">
      <formula>NOT(ISERROR(SEARCH("自行计算",T6)))</formula>
    </cfRule>
    <cfRule type="containsText" dxfId="190" priority="13" stopIfTrue="1" operator="containsText" text="自行计算">
      <formula>NOT(ISERROR(SEARCH("自行计算",T6)))</formula>
    </cfRule>
  </conditionalFormatting>
  <conditionalFormatting sqref="T6:T13">
    <cfRule type="containsText" dxfId="189" priority="10" stopIfTrue="1" operator="containsText" text="自行计算">
      <formula>NOT(ISERROR(SEARCH("自行计算",T6)))</formula>
    </cfRule>
    <cfRule type="containsText" dxfId="188" priority="11" stopIfTrue="1" operator="containsText" text="自行计算">
      <formula>NOT(ISERROR(SEARCH("自行计算",T6)))</formula>
    </cfRule>
  </conditionalFormatting>
  <conditionalFormatting sqref="T12:T13">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conditionalFormatting sqref="T12:T13">
    <cfRule type="containsText" dxfId="185" priority="2" stopIfTrue="1" operator="containsText" text="自行计算">
      <formula>NOT(ISERROR(SEARCH("自行计算",T12)))</formula>
    </cfRule>
    <cfRule type="containsText" dxfId="184" priority="3" stopIfTrue="1" operator="containsText" text="自行计算">
      <formula>NOT(ISERROR(SEARCH("自行计算",T12)))</formula>
    </cfRule>
  </conditionalFormatting>
  <conditionalFormatting sqref="T6:T15">
    <cfRule type="expression" dxfId="18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3" t="s">
        <v>1654</v>
      </c>
      <c r="B1" s="3374"/>
      <c r="C1" s="3374"/>
      <c r="D1" s="3374"/>
      <c r="E1" s="3374"/>
      <c r="F1" s="3374"/>
      <c r="G1" s="3374"/>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25000</v>
      </c>
      <c r="C1" s="3194"/>
      <c r="D1" s="3194"/>
      <c r="E1" s="3194"/>
      <c r="F1" s="3194"/>
      <c r="G1" s="3195"/>
      <c r="H1" s="3195"/>
      <c r="I1" s="3195"/>
      <c r="J1" s="3195"/>
    </row>
    <row r="2" spans="1:10" ht="16.5">
      <c r="A2" s="3185" t="s">
        <v>2824</v>
      </c>
      <c r="B2" s="3185">
        <f>SUM(C14:C23)</f>
        <v>8928.57</v>
      </c>
      <c r="C2" s="3194"/>
      <c r="D2" s="3194"/>
      <c r="E2" s="3194"/>
      <c r="F2" s="3194"/>
      <c r="G2" s="3195"/>
      <c r="H2" s="3195"/>
      <c r="I2" s="3195"/>
      <c r="J2" s="3195"/>
    </row>
    <row r="3" spans="1:10" ht="16.5">
      <c r="A3" s="3185" t="s">
        <v>2825</v>
      </c>
      <c r="B3" s="3187">
        <f>项目基本情况!D3</f>
        <v>44269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t="e">
        <f ca="1">SUM(D14:D23)</f>
        <v>#DIV/0!</v>
      </c>
      <c r="C5" s="3185" t="e">
        <f ca="1">ROUND(B5*10000/$B$1,0)</f>
        <v>#DIV/0!</v>
      </c>
      <c r="D5" s="3185" t="e">
        <f ca="1">ROUND(B5*10000/$B$2,0)</f>
        <v>#DIV/0!</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25000</v>
      </c>
      <c r="C14" s="3191">
        <f>结果表!K38</f>
        <v>8928.57</v>
      </c>
      <c r="D14" s="3191" t="e">
        <f ca="1">结果表!C42</f>
        <v>#DIV/0!</v>
      </c>
      <c r="E14" s="3191" t="e">
        <f ca="1">ROUND(D14*10000/B14,0)</f>
        <v>#DIV/0!</v>
      </c>
      <c r="F14" s="3191" t="e">
        <f ca="1">ROUND(D14*10000/C14,0)</f>
        <v>#DIV/0!</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20" sqref="C20"/>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19" t="str">
        <f>项目基本情况!K2</f>
        <v>北京市出让国有建设用地使用权</v>
      </c>
      <c r="B2" s="3420"/>
      <c r="C2" s="3421"/>
      <c r="D2" s="3421"/>
      <c r="E2" s="3421"/>
      <c r="F2" s="3421"/>
      <c r="G2" s="3420"/>
      <c r="H2" s="3420"/>
      <c r="I2" s="3422"/>
      <c r="J2" s="1912"/>
      <c r="K2" s="1911"/>
      <c r="L2" s="1911"/>
      <c r="M2" s="1911"/>
      <c r="N2" s="1911"/>
      <c r="O2" s="1911"/>
      <c r="P2" s="1911"/>
      <c r="Q2" s="1911"/>
      <c r="R2" s="1911"/>
      <c r="S2" s="1911"/>
      <c r="T2" s="1911"/>
      <c r="U2" s="1911"/>
      <c r="V2" s="1911"/>
    </row>
    <row r="3" spans="1:22" ht="14.25">
      <c r="A3" s="3430" t="s">
        <v>298</v>
      </c>
      <c r="B3" s="3431"/>
      <c r="C3" s="3431"/>
      <c r="D3" s="3431"/>
      <c r="E3" s="3431"/>
      <c r="F3" s="3431"/>
      <c r="G3" s="3431"/>
      <c r="H3" s="3431"/>
      <c r="I3" s="3431"/>
      <c r="J3" s="1912"/>
      <c r="K3" s="1911"/>
      <c r="L3" s="1911"/>
      <c r="M3" s="1911"/>
      <c r="N3" s="1911"/>
      <c r="O3" s="1911"/>
      <c r="P3" s="1911"/>
      <c r="Q3" s="1911"/>
      <c r="R3" s="1911"/>
      <c r="S3" s="1911"/>
      <c r="T3" s="1911"/>
      <c r="U3" s="1911"/>
      <c r="V3" s="1911"/>
    </row>
    <row r="4" spans="1:22" ht="14.25">
      <c r="A4" s="256" t="s">
        <v>299</v>
      </c>
      <c r="B4" s="257" t="s">
        <v>300</v>
      </c>
      <c r="C4" s="258" t="s">
        <v>3022</v>
      </c>
      <c r="D4" s="258" t="s">
        <v>3023</v>
      </c>
      <c r="E4" s="3394" t="s">
        <v>301</v>
      </c>
      <c r="F4" s="3436"/>
      <c r="G4" s="3436"/>
      <c r="H4" s="3436"/>
      <c r="I4" s="3395"/>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23" t="s">
        <v>302</v>
      </c>
      <c r="B5" s="3424">
        <v>25</v>
      </c>
      <c r="C5" s="3432"/>
      <c r="D5" s="3435"/>
      <c r="E5" s="259" t="s">
        <v>303</v>
      </c>
      <c r="F5" s="260"/>
      <c r="G5" s="260"/>
      <c r="H5" s="260"/>
      <c r="I5" s="261"/>
      <c r="J5" s="1912"/>
      <c r="K5" s="1911"/>
      <c r="L5" s="1911"/>
      <c r="M5" s="1911"/>
      <c r="N5" s="1911"/>
      <c r="O5" s="1911"/>
      <c r="P5" s="1911"/>
      <c r="Q5" s="1911"/>
      <c r="R5" s="1911"/>
      <c r="S5" s="1911"/>
      <c r="T5" s="1911"/>
      <c r="U5" s="1911"/>
      <c r="V5" s="1911"/>
    </row>
    <row r="6" spans="1:22" ht="14.25">
      <c r="A6" s="3423"/>
      <c r="B6" s="3424"/>
      <c r="C6" s="3433"/>
      <c r="D6" s="3435"/>
      <c r="E6" s="259" t="s">
        <v>304</v>
      </c>
      <c r="F6" s="260"/>
      <c r="G6" s="260"/>
      <c r="H6" s="260"/>
      <c r="I6" s="261"/>
      <c r="J6" s="1912"/>
      <c r="K6" s="1911"/>
      <c r="L6" s="1911"/>
      <c r="M6" s="1911"/>
      <c r="N6" s="1911"/>
      <c r="O6" s="1911"/>
      <c r="P6" s="1911"/>
      <c r="Q6" s="1911"/>
      <c r="R6" s="1911"/>
      <c r="S6" s="1911"/>
      <c r="T6" s="1911"/>
      <c r="U6" s="1911"/>
      <c r="V6" s="1911"/>
    </row>
    <row r="7" spans="1:22" ht="14.25">
      <c r="A7" s="3423"/>
      <c r="B7" s="3424"/>
      <c r="C7" s="3434"/>
      <c r="D7" s="3435"/>
      <c r="E7" s="259" t="s">
        <v>305</v>
      </c>
      <c r="F7" s="260"/>
      <c r="G7" s="260"/>
      <c r="H7" s="260"/>
      <c r="I7" s="261"/>
      <c r="J7" s="1912"/>
      <c r="K7" s="1911"/>
      <c r="L7" s="1911"/>
      <c r="M7" s="1911"/>
      <c r="N7" s="1911"/>
      <c r="O7" s="1911"/>
      <c r="P7" s="1911"/>
      <c r="Q7" s="1911"/>
      <c r="R7" s="1911"/>
      <c r="S7" s="1911"/>
      <c r="T7" s="1911"/>
      <c r="U7" s="1911"/>
      <c r="V7" s="1911"/>
    </row>
    <row r="8" spans="1:22" ht="14.25">
      <c r="A8" s="3423" t="s">
        <v>306</v>
      </c>
      <c r="B8" s="3424">
        <v>15</v>
      </c>
      <c r="C8" s="3432"/>
      <c r="D8" s="3435"/>
      <c r="E8" s="259" t="s">
        <v>307</v>
      </c>
      <c r="F8" s="260"/>
      <c r="G8" s="260"/>
      <c r="H8" s="260"/>
      <c r="I8" s="261"/>
      <c r="J8" s="1912"/>
      <c r="K8" s="1911"/>
      <c r="L8" s="1911"/>
      <c r="M8" s="1911"/>
      <c r="N8" s="1911"/>
      <c r="O8" s="1911"/>
      <c r="P8" s="1911"/>
      <c r="Q8" s="1911"/>
      <c r="R8" s="1911"/>
      <c r="S8" s="1911"/>
      <c r="T8" s="1911"/>
      <c r="U8" s="1911"/>
      <c r="V8" s="1911"/>
    </row>
    <row r="9" spans="1:22" ht="14.25">
      <c r="A9" s="3423"/>
      <c r="B9" s="3424"/>
      <c r="C9" s="3434"/>
      <c r="D9" s="3435"/>
      <c r="E9" s="259" t="s">
        <v>308</v>
      </c>
      <c r="F9" s="260"/>
      <c r="G9" s="260"/>
      <c r="H9" s="260"/>
      <c r="I9" s="261"/>
      <c r="J9" s="1912"/>
      <c r="K9" s="1911"/>
      <c r="L9" s="1911"/>
      <c r="M9" s="1911"/>
      <c r="N9" s="1911"/>
      <c r="O9" s="1911"/>
      <c r="P9" s="1911"/>
      <c r="Q9" s="1911"/>
      <c r="R9" s="1911"/>
      <c r="S9" s="1911"/>
      <c r="T9" s="1911"/>
      <c r="U9" s="1911"/>
      <c r="V9" s="1911"/>
    </row>
    <row r="10" spans="1:22" ht="14.25">
      <c r="A10" s="3423" t="s">
        <v>309</v>
      </c>
      <c r="B10" s="3424">
        <v>15</v>
      </c>
      <c r="C10" s="3432"/>
      <c r="D10" s="343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3"/>
      <c r="B11" s="3424"/>
      <c r="C11" s="3434"/>
      <c r="D11" s="343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3" t="s">
        <v>312</v>
      </c>
      <c r="B12" s="3424">
        <v>15</v>
      </c>
      <c r="C12" s="3432"/>
      <c r="D12" s="343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3"/>
      <c r="B13" s="3424"/>
      <c r="C13" s="3434"/>
      <c r="D13" s="343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3" t="s">
        <v>315</v>
      </c>
      <c r="B14" s="3424">
        <v>30</v>
      </c>
      <c r="C14" s="3432"/>
      <c r="D14" s="3435"/>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3"/>
      <c r="B15" s="3424"/>
      <c r="C15" s="3433"/>
      <c r="D15" s="343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3"/>
      <c r="B16" s="3424"/>
      <c r="C16" s="3434"/>
      <c r="D16" s="343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37" t="s">
        <v>2961</v>
      </c>
      <c r="F18" s="3438"/>
      <c r="G18" s="3438"/>
      <c r="H18" s="3438"/>
      <c r="I18" s="3438"/>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2206</v>
      </c>
      <c r="D19" s="269">
        <f ca="1">SUMIF(INDIRECT("'"&amp;D4&amp;"'"&amp;"!A:A"),结果表!B19,INDIRECT("'"&amp;D4&amp;"'"&amp;"!B:B"))</f>
        <v>2391</v>
      </c>
      <c r="E19" s="266" t="s">
        <v>323</v>
      </c>
      <c r="F19" s="267" t="s">
        <v>322</v>
      </c>
      <c r="G19" s="270" t="e">
        <f ca="1">ROUND(C19*$C$18+D19*$D$18,0)</f>
        <v>#DIV/0!</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4423</v>
      </c>
      <c r="D20" s="275">
        <f ca="1">SUMIF(INDIRECT("'"&amp;D4&amp;"'"&amp;"!A:A"),结果表!B20,INDIRECT("'"&amp;D4&amp;"'"&amp;"!B:B"))</f>
        <v>3911</v>
      </c>
      <c r="E20" s="272"/>
      <c r="F20" s="273" t="s">
        <v>325</v>
      </c>
      <c r="G20" s="276" t="e">
        <f ca="1">ROUND(C20*$C$18+D20*$D$18,0)</f>
        <v>#DIV/0!</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#DIV/0!</v>
      </c>
      <c r="D21" s="149" t="e">
        <f ca="1">SUMIF(INDIRECT("'"&amp;D4&amp;"'"&amp;"!A:A"),结果表!B21,INDIRECT("'"&amp;D4&amp;"'"&amp;"!B:B"))</f>
        <v>#DIV/0!</v>
      </c>
      <c r="E21" s="272"/>
      <c r="F21" s="278" t="s">
        <v>327</v>
      </c>
      <c r="G21" s="280" t="e">
        <f ca="1">ROUND(C21*$C$18+D21*$D$18,0)</f>
        <v>#DIV/0!</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8.3862194016319114E-2</v>
      </c>
      <c r="E22" s="282"/>
      <c r="F22" s="283"/>
      <c r="G22" s="284" t="e">
        <f ca="1">ROUND(G19/('数据-汇总表'!D3/666.67),0)</f>
        <v>#DIV/0!</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6"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43"/>
      <c r="B25" s="1275" t="s">
        <v>331</v>
      </c>
      <c r="C25" s="288">
        <f>IF(B30=0,0,C30)</f>
        <v>0</v>
      </c>
      <c r="D25" s="289"/>
      <c r="E25" s="309"/>
      <c r="F25" s="309"/>
      <c r="G25" s="309"/>
      <c r="H25" s="309"/>
      <c r="I25" s="309"/>
      <c r="J25" s="1911"/>
      <c r="K25" s="1209" t="e">
        <f ca="1">项目基本情况!B16&amp;"国有建设用地使用权价格："&amp;O38&amp;"万元"</f>
        <v>#DIV/0!</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e">
        <f ca="1">"大写金额：人民币"&amp;NUMBERSTRING(INT(O38*10000),2)&amp;"元整"</f>
        <v>#DIV/0!</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e">
        <f ca="1">"单位面积地价："&amp;M38&amp;"元/平方米"</f>
        <v>#DIV/0!</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e">
        <f ca="1">"楼面地价："&amp;N38&amp;"元/平方米"</f>
        <v>#DIV/0!</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2962</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39" t="s">
        <v>2963</v>
      </c>
      <c r="B31" s="3439"/>
      <c r="C31" s="3439"/>
      <c r="D31" s="3439"/>
      <c r="E31" s="3439"/>
      <c r="F31" s="3439"/>
      <c r="G31" s="3439"/>
      <c r="H31" s="3439"/>
      <c r="I31" s="3439"/>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t="e">
        <f ca="1">G19-C24</f>
        <v>#DIV/0!</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t="e">
        <f ca="1">ROUND(C32*10000/'数据-汇总表'!E3,0)</f>
        <v>#DIV/0!</v>
      </c>
      <c r="D33" s="1334" t="s">
        <v>1682</v>
      </c>
      <c r="E33" s="3396"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t="e">
        <f ca="1">ROUND(C32*10000/'数据-汇总表'!D3,0)</f>
        <v>#DIV/0!</v>
      </c>
      <c r="D34" s="1336" t="s">
        <v>1682</v>
      </c>
      <c r="E34" s="3397"/>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t="e">
        <f ca="1">ROUND(C32/('数据-汇总表'!D3/666.67),0)</f>
        <v>#DIV/0!</v>
      </c>
      <c r="D35" s="1339" t="s">
        <v>1684</v>
      </c>
      <c r="E35" s="3398"/>
      <c r="F35" s="299" t="s">
        <v>342</v>
      </c>
      <c r="G35" s="970"/>
      <c r="H35" s="969" t="s">
        <v>343</v>
      </c>
      <c r="I35" s="309"/>
      <c r="J35" s="1911"/>
      <c r="K35" s="3402" t="s">
        <v>350</v>
      </c>
      <c r="L35" s="3402" t="s">
        <v>351</v>
      </c>
      <c r="M35" s="1218" t="s">
        <v>352</v>
      </c>
      <c r="N35" s="3402" t="s">
        <v>353</v>
      </c>
      <c r="O35" s="3402" t="s">
        <v>354</v>
      </c>
      <c r="P35" s="1911"/>
      <c r="V35" s="1911"/>
    </row>
    <row r="36" spans="1:26" ht="16.5" customHeight="1">
      <c r="A36" s="301" t="s">
        <v>344</v>
      </c>
      <c r="B36" s="302" t="s">
        <v>333</v>
      </c>
      <c r="C36" s="303" t="s">
        <v>345</v>
      </c>
      <c r="D36" s="303" t="s">
        <v>346</v>
      </c>
      <c r="E36" s="304" t="s">
        <v>347</v>
      </c>
      <c r="F36" s="309"/>
      <c r="G36" s="309"/>
      <c r="H36" s="309"/>
      <c r="I36" s="309"/>
      <c r="J36" s="1913"/>
      <c r="K36" s="3403"/>
      <c r="L36" s="3403"/>
      <c r="M36" s="1220" t="s">
        <v>355</v>
      </c>
      <c r="N36" s="3403"/>
      <c r="O36" s="3403"/>
      <c r="P36" s="1911"/>
      <c r="V36" s="1911"/>
    </row>
    <row r="37" spans="1:26" ht="16.5" customHeight="1" thickBot="1">
      <c r="A37" s="1214" t="s">
        <v>348</v>
      </c>
      <c r="B37" s="305"/>
      <c r="C37" s="292"/>
      <c r="D37" s="292"/>
      <c r="E37" s="293"/>
      <c r="F37" s="309"/>
      <c r="G37" s="309"/>
      <c r="H37" s="309"/>
      <c r="I37" s="309"/>
      <c r="J37" s="1913"/>
      <c r="K37" s="3404"/>
      <c r="L37" s="3404"/>
      <c r="M37" s="1221"/>
      <c r="N37" s="3404"/>
      <c r="O37" s="3404"/>
      <c r="P37" s="1911"/>
      <c r="V37" s="1911"/>
    </row>
    <row r="38" spans="1:26" ht="16.5" customHeight="1" thickBot="1">
      <c r="A38" s="1214" t="s">
        <v>349</v>
      </c>
      <c r="B38" s="305"/>
      <c r="C38" s="292"/>
      <c r="D38" s="292"/>
      <c r="E38" s="293"/>
      <c r="F38" s="309"/>
      <c r="G38" s="309"/>
      <c r="H38" s="309"/>
      <c r="I38" s="309"/>
      <c r="J38" s="1913"/>
      <c r="K38" s="1222">
        <f>'数据-汇总表'!D3</f>
        <v>8928.57</v>
      </c>
      <c r="L38" s="1223">
        <f>'数据-汇总表'!E3</f>
        <v>25000</v>
      </c>
      <c r="M38" s="1223" t="e">
        <f ca="1">C34</f>
        <v>#DIV/0!</v>
      </c>
      <c r="N38" s="1223" t="e">
        <f ca="1">C33</f>
        <v>#DIV/0!</v>
      </c>
      <c r="O38" s="1224" t="e">
        <f ca="1">C32</f>
        <v>#DIV/0!</v>
      </c>
      <c r="P38" s="1911"/>
      <c r="V38" s="1911"/>
    </row>
    <row r="39" spans="1:26" ht="16.5" customHeight="1" thickBot="1">
      <c r="A39" s="1219"/>
      <c r="B39" s="306"/>
      <c r="C39" s="307"/>
      <c r="D39" s="307"/>
      <c r="E39" s="308"/>
      <c r="F39" s="309"/>
      <c r="G39" s="309"/>
      <c r="H39" s="309"/>
      <c r="I39" s="309"/>
      <c r="J39" s="1913"/>
      <c r="K39" s="3415" t="str">
        <f>MID(A44,3,LEN(A44)-2)</f>
        <v/>
      </c>
      <c r="L39" s="3416"/>
      <c r="M39" s="3416"/>
      <c r="N39" s="3417"/>
      <c r="O39" s="1341" t="str">
        <f>C44</f>
        <v>——</v>
      </c>
      <c r="P39" s="1911"/>
      <c r="V39" s="1911"/>
    </row>
    <row r="40" spans="1:26" ht="19.5" thickBot="1">
      <c r="A40" s="104" t="s">
        <v>864</v>
      </c>
      <c r="B40" s="309"/>
      <c r="C40" s="309"/>
      <c r="D40" s="309"/>
      <c r="E40" s="309"/>
      <c r="F40" s="309"/>
      <c r="G40" s="309"/>
      <c r="H40" s="309"/>
      <c r="I40" s="309"/>
      <c r="J40" s="1913"/>
      <c r="K40" s="3415" t="str">
        <f t="shared" ref="K40:K41" si="0">MID(A45,3,LEN(A45)-2)</f>
        <v/>
      </c>
      <c r="L40" s="3416"/>
      <c r="M40" s="3416"/>
      <c r="N40" s="3417"/>
      <c r="O40" s="1341" t="str">
        <f>C45</f>
        <v>——</v>
      </c>
      <c r="P40" s="1911"/>
      <c r="V40" s="1911"/>
    </row>
    <row r="41" spans="1:26" ht="16.5" thickBot="1">
      <c r="A41" s="310" t="s">
        <v>356</v>
      </c>
      <c r="B41" s="311"/>
      <c r="C41" s="312" t="s">
        <v>357</v>
      </c>
      <c r="D41" s="313" t="s">
        <v>358</v>
      </c>
      <c r="E41" s="313" t="s">
        <v>359</v>
      </c>
      <c r="F41" s="314" t="s">
        <v>360</v>
      </c>
      <c r="G41" s="309"/>
      <c r="H41" s="309"/>
      <c r="I41" s="309"/>
      <c r="J41" s="1913"/>
      <c r="K41" s="3415" t="str">
        <f t="shared" si="0"/>
        <v/>
      </c>
      <c r="L41" s="3416"/>
      <c r="M41" s="3416"/>
      <c r="N41" s="3417"/>
      <c r="O41" s="1341" t="str">
        <f>C46</f>
        <v>——</v>
      </c>
      <c r="P41" s="1911"/>
      <c r="V41" s="1911"/>
    </row>
    <row r="42" spans="1:26" ht="29.25">
      <c r="A42" s="3444" t="s">
        <v>2056</v>
      </c>
      <c r="B42" s="3445"/>
      <c r="C42" s="262" t="e">
        <f ca="1">C32</f>
        <v>#DIV/0!</v>
      </c>
      <c r="D42" s="315" t="e">
        <f ca="1">C33</f>
        <v>#DIV/0!</v>
      </c>
      <c r="E42" s="315" t="e">
        <f ca="1">C34</f>
        <v>#DIV/0!</v>
      </c>
      <c r="F42" s="316" t="e">
        <f ca="1">C35</f>
        <v>#DIV/0!</v>
      </c>
      <c r="G42" s="309"/>
      <c r="H42" s="309"/>
      <c r="I42" s="317"/>
      <c r="J42" s="1913"/>
      <c r="K42" s="1225" t="s">
        <v>361</v>
      </c>
      <c r="L42" s="1930" t="s">
        <v>362</v>
      </c>
      <c r="M42" s="1226" t="s">
        <v>363</v>
      </c>
      <c r="N42" s="1931" t="s">
        <v>364</v>
      </c>
      <c r="O42" s="1932" t="s">
        <v>365</v>
      </c>
      <c r="P42" s="1911"/>
      <c r="V42" s="1911"/>
    </row>
    <row r="43" spans="1:26" ht="18">
      <c r="A43" s="3454" t="s">
        <v>2711</v>
      </c>
      <c r="B43" s="3455"/>
      <c r="C43" s="262">
        <f>IF(H33="正常操作",G33+G34+G35,G34+G35)</f>
        <v>0</v>
      </c>
      <c r="D43" s="315" t="s">
        <v>43</v>
      </c>
      <c r="E43" s="315" t="s">
        <v>44</v>
      </c>
      <c r="F43" s="316" t="s">
        <v>44</v>
      </c>
      <c r="G43" s="2583" t="s">
        <v>943</v>
      </c>
      <c r="H43" s="309"/>
      <c r="I43" s="317"/>
      <c r="J43" s="1913"/>
      <c r="K43" s="1227" t="str">
        <f>C4</f>
        <v>基准地价-商业</v>
      </c>
      <c r="L43" s="1228">
        <f ca="1">IF(L42="估价结果/万元",C19,C20)</f>
        <v>2206</v>
      </c>
      <c r="M43" s="1229" t="e">
        <f>C18</f>
        <v>#DIV/0!</v>
      </c>
      <c r="N43" s="1230" t="e">
        <f ca="1">IF(N42="测算结果/万元",G19,G20)</f>
        <v>#DIV/0!</v>
      </c>
      <c r="O43" s="1231" t="e">
        <f ca="1">IF(O42="最终结果/万元",C32,C33)</f>
        <v>#DIV/0!</v>
      </c>
      <c r="P43" s="1911"/>
      <c r="V43" s="1911"/>
    </row>
    <row r="44" spans="1:26" ht="18.75" thickBot="1">
      <c r="A44" s="3444" t="str">
        <f>IF(OR(项目基本情况!E8="抵押价格",项目基本情况!E8="已注销及未注销"),"3.抵押价格","——")</f>
        <v>——</v>
      </c>
      <c r="B44" s="3445"/>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基准地价-办公</v>
      </c>
      <c r="L44" s="1233">
        <f ca="1">IF(L42="估价结果/万元",D19,D20)</f>
        <v>2391</v>
      </c>
      <c r="M44" s="1234" t="e">
        <f>D18</f>
        <v>#DIV/0!</v>
      </c>
      <c r="N44" s="1235"/>
      <c r="O44" s="1236"/>
      <c r="P44" s="1911"/>
      <c r="V44" s="1911"/>
    </row>
    <row r="45" spans="1:26" ht="15">
      <c r="A45" s="3449" t="str">
        <f>IF(项目基本情况!E8="已注销及未注销","4.抵押担保权已注销时的抵押价格",IF(项目基本情况!E8="已注销","3.抵押担保权已注销时的抵押价格","——"))</f>
        <v>——</v>
      </c>
      <c r="B45" s="3450"/>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46" t="str">
        <f>IF(项目基本情况!E9="抵押净值",IF(A45="——","4.抵押净值","5.抵押净值"),"——")</f>
        <v>——</v>
      </c>
      <c r="B46" s="344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07" t="s">
        <v>374</v>
      </c>
      <c r="B63" s="3408"/>
      <c r="C63" s="3409"/>
      <c r="D63" s="339" t="e">
        <f ca="1">ROUND(C42*F63,0)</f>
        <v>#DIV/0!</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51" t="s">
        <v>378</v>
      </c>
      <c r="B64" s="3452"/>
      <c r="C64" s="3452"/>
      <c r="D64" s="3452"/>
      <c r="E64" s="3452"/>
      <c r="F64" s="3452"/>
      <c r="G64" s="3453"/>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48" t="s">
        <v>386</v>
      </c>
      <c r="B66" s="3414"/>
      <c r="C66" s="3414"/>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375" t="s">
        <v>385</v>
      </c>
      <c r="M66" s="3376"/>
      <c r="N66" s="2312"/>
      <c r="O66" s="2313"/>
      <c r="P66" s="2314"/>
      <c r="Q66" s="1911"/>
      <c r="R66" s="1911"/>
      <c r="S66" s="1911"/>
      <c r="T66" s="1911"/>
      <c r="U66" s="1911"/>
      <c r="V66" s="1911"/>
    </row>
    <row r="67" spans="1:22" ht="25.5" customHeight="1">
      <c r="A67" s="350" t="s">
        <v>389</v>
      </c>
      <c r="B67" s="3426" t="s">
        <v>390</v>
      </c>
      <c r="C67" s="3426"/>
      <c r="D67" s="351">
        <v>0</v>
      </c>
      <c r="E67" s="41" t="s">
        <v>391</v>
      </c>
      <c r="F67" s="62" t="s">
        <v>21</v>
      </c>
      <c r="G67" s="3410"/>
      <c r="H67" s="3006" t="s">
        <v>2964</v>
      </c>
      <c r="I67" s="3008"/>
      <c r="J67" s="1918"/>
      <c r="K67" s="1890">
        <v>2</v>
      </c>
      <c r="L67" s="3380" t="s">
        <v>388</v>
      </c>
      <c r="M67" s="3380"/>
      <c r="N67" s="1279">
        <f>'数据-取费表'!B2</f>
        <v>44269</v>
      </c>
      <c r="O67" s="1279"/>
      <c r="P67" s="1279"/>
      <c r="Q67" s="1911"/>
      <c r="R67" s="1911"/>
      <c r="S67" s="1911"/>
      <c r="T67" s="1911"/>
      <c r="U67" s="1911"/>
      <c r="V67" s="1911"/>
    </row>
    <row r="68" spans="1:22" ht="25.5" customHeight="1">
      <c r="A68" s="352"/>
      <c r="B68" s="3426" t="s">
        <v>393</v>
      </c>
      <c r="C68" s="3426"/>
      <c r="D68" s="353"/>
      <c r="E68" s="77"/>
      <c r="F68" s="354"/>
      <c r="G68" s="3411"/>
      <c r="H68" s="3007" t="s">
        <v>2965</v>
      </c>
      <c r="I68" s="3008"/>
      <c r="J68" s="1918"/>
      <c r="K68" s="1890">
        <v>3</v>
      </c>
      <c r="L68" s="3380" t="s">
        <v>392</v>
      </c>
      <c r="M68" s="3380"/>
      <c r="N68" s="1247" t="e">
        <f ca="1">C42</f>
        <v>#DIV/0!</v>
      </c>
      <c r="O68" s="1247"/>
      <c r="P68" s="1247"/>
      <c r="Q68" s="1911"/>
      <c r="R68" s="1911"/>
      <c r="S68" s="1911"/>
      <c r="T68" s="1911"/>
      <c r="U68" s="1911"/>
      <c r="V68" s="1911"/>
    </row>
    <row r="69" spans="1:22" ht="23.45" customHeight="1">
      <c r="A69" s="355"/>
      <c r="B69" s="3426" t="s">
        <v>394</v>
      </c>
      <c r="C69" s="3426"/>
      <c r="D69" s="356"/>
      <c r="E69" s="73"/>
      <c r="F69" s="354"/>
      <c r="G69" s="3412"/>
      <c r="H69" s="3007" t="s">
        <v>2966</v>
      </c>
      <c r="I69" s="3008"/>
      <c r="J69" s="1918"/>
      <c r="K69" s="1248">
        <v>4</v>
      </c>
      <c r="L69" s="3381" t="s">
        <v>2862</v>
      </c>
      <c r="M69" s="3382"/>
      <c r="N69" s="1249" t="str">
        <f>C44</f>
        <v>——</v>
      </c>
      <c r="O69" s="1249"/>
      <c r="P69" s="1249"/>
      <c r="Q69" s="1911"/>
      <c r="R69" s="1911"/>
      <c r="S69" s="1911"/>
      <c r="T69" s="1911"/>
      <c r="U69" s="1911"/>
      <c r="V69" s="1911"/>
    </row>
    <row r="70" spans="1:22" ht="24" customHeight="1">
      <c r="A70" s="357" t="s">
        <v>395</v>
      </c>
      <c r="B70" s="3426" t="s">
        <v>396</v>
      </c>
      <c r="C70" s="3426"/>
      <c r="D70" s="356" t="e">
        <f ca="1">ROUND(D63*'数据-取费表'!B41/(1+'数据-取费表'!C42),0)</f>
        <v>#DIV/0!</v>
      </c>
      <c r="E70" s="17" t="s">
        <v>397</v>
      </c>
      <c r="F70" s="358">
        <f>'数据-取费表'!B41</f>
        <v>0</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25" t="s">
        <v>2995</v>
      </c>
      <c r="C71" s="3442"/>
      <c r="D71" s="356" t="e">
        <f ca="1">ROUND(D63*'数据-取费表'!B41/(1+'数据-取费表'!C42),0)</f>
        <v>#DIV/0!</v>
      </c>
      <c r="E71" s="17" t="s">
        <v>397</v>
      </c>
      <c r="F71" s="358">
        <f>'数据-取费表'!B41</f>
        <v>0</v>
      </c>
      <c r="G71" s="359"/>
      <c r="H71" s="309"/>
      <c r="I71" s="1246"/>
      <c r="J71" s="1918"/>
      <c r="K71" s="2764" t="s">
        <v>398</v>
      </c>
      <c r="L71" s="3383" t="s">
        <v>399</v>
      </c>
      <c r="M71" s="3383"/>
      <c r="N71" s="2764" t="s">
        <v>400</v>
      </c>
      <c r="O71" s="2764" t="s">
        <v>401</v>
      </c>
      <c r="P71" s="2764" t="s">
        <v>402</v>
      </c>
      <c r="Q71" s="1911"/>
      <c r="R71" s="1911"/>
      <c r="S71" s="1911"/>
      <c r="T71" s="1911"/>
      <c r="U71" s="1911"/>
      <c r="V71" s="1911"/>
    </row>
    <row r="72" spans="1:22" ht="12" customHeight="1">
      <c r="A72" s="357" t="s">
        <v>405</v>
      </c>
      <c r="B72" s="3425" t="s">
        <v>2996</v>
      </c>
      <c r="C72" s="3442"/>
      <c r="D72" s="356" t="e">
        <f ca="1">C86</f>
        <v>#DIV/0!</v>
      </c>
      <c r="E72" s="73" t="s">
        <v>406</v>
      </c>
      <c r="F72" s="358">
        <f>'数据-取费表'!B41</f>
        <v>0</v>
      </c>
      <c r="G72" s="359"/>
      <c r="H72" s="1252"/>
      <c r="I72" s="1246"/>
      <c r="J72" s="1918"/>
      <c r="K72" s="1890">
        <v>1</v>
      </c>
      <c r="L72" s="3379" t="s">
        <v>404</v>
      </c>
      <c r="M72" s="3379"/>
      <c r="N72" s="1250" t="b">
        <f>D66</f>
        <v>0</v>
      </c>
      <c r="O72" s="1773" t="str">
        <f>E66</f>
        <v>销售额×税（费）率</v>
      </c>
      <c r="P72" s="1251">
        <f>F66</f>
        <v>0</v>
      </c>
      <c r="Q72" s="1911"/>
      <c r="R72" s="1911"/>
      <c r="S72" s="1911"/>
      <c r="T72" s="1911"/>
      <c r="U72" s="1911"/>
      <c r="V72" s="1911"/>
    </row>
    <row r="73" spans="1:22" ht="24" customHeight="1">
      <c r="A73" s="3413" t="s">
        <v>408</v>
      </c>
      <c r="B73" s="3414"/>
      <c r="C73" s="3414"/>
      <c r="D73" s="360" t="e">
        <f ca="1">IF(H73="个人住宅",0,ROUND(D63*I73,0))</f>
        <v>#DIV/0!</v>
      </c>
      <c r="E73" s="17" t="s">
        <v>409</v>
      </c>
      <c r="F73" s="358" t="str">
        <f>IF(H73="正常",I73,"免征")</f>
        <v>免征</v>
      </c>
      <c r="G73" s="359"/>
      <c r="H73" s="189"/>
      <c r="I73" s="358">
        <f>'数据-取费表'!B49</f>
        <v>5.0000000000000001E-4</v>
      </c>
      <c r="J73" s="1918"/>
      <c r="K73" s="1890">
        <v>2</v>
      </c>
      <c r="L73" s="3379" t="s">
        <v>407</v>
      </c>
      <c r="M73" s="3379"/>
      <c r="N73" s="1250" t="e">
        <f t="shared" ref="N73:P74" ca="1" si="1">D73</f>
        <v>#DIV/0!</v>
      </c>
      <c r="O73" s="1773" t="str">
        <f t="shared" si="1"/>
        <v>销售额×税（费）率</v>
      </c>
      <c r="P73" s="1251" t="str">
        <f t="shared" si="1"/>
        <v>免征</v>
      </c>
      <c r="Q73" s="1911"/>
      <c r="R73" s="1911"/>
      <c r="S73" s="1911"/>
      <c r="T73" s="1911"/>
      <c r="U73" s="1911"/>
      <c r="V73" s="1911"/>
    </row>
    <row r="74" spans="1:22" ht="24.75">
      <c r="A74" s="3413" t="s">
        <v>411</v>
      </c>
      <c r="B74" s="3414"/>
      <c r="C74" s="3414"/>
      <c r="D74" s="360" t="e">
        <f ca="1">IF(H74="个人住宅",D75,D76)</f>
        <v>#DIV/0!</v>
      </c>
      <c r="E74" s="17" t="s">
        <v>412</v>
      </c>
      <c r="F74" s="358" t="str">
        <f>IF(H74="正常",F76,"免征")</f>
        <v>免征</v>
      </c>
      <c r="G74" s="971" t="s">
        <v>413</v>
      </c>
      <c r="H74" s="361"/>
      <c r="I74" s="42"/>
      <c r="J74" s="1918"/>
      <c r="K74" s="1890">
        <v>3</v>
      </c>
      <c r="L74" s="3379" t="s">
        <v>410</v>
      </c>
      <c r="M74" s="3379"/>
      <c r="N74" s="1250" t="e">
        <f t="shared" ca="1" si="1"/>
        <v>#DIV/0!</v>
      </c>
      <c r="O74" s="1773" t="str">
        <f t="shared" si="1"/>
        <v>增值额×税（费）率</v>
      </c>
      <c r="P74" s="1253" t="str">
        <f t="shared" si="1"/>
        <v>免征</v>
      </c>
      <c r="Q74" s="1911"/>
      <c r="R74" s="1911"/>
      <c r="S74" s="1911"/>
      <c r="T74" s="1911"/>
      <c r="U74" s="1911"/>
      <c r="V74" s="1911"/>
    </row>
    <row r="75" spans="1:22" ht="12.75">
      <c r="A75" s="357" t="s">
        <v>414</v>
      </c>
      <c r="B75" s="3394" t="s">
        <v>415</v>
      </c>
      <c r="C75" s="3395"/>
      <c r="D75" s="362">
        <v>0</v>
      </c>
      <c r="E75" s="41" t="s">
        <v>416</v>
      </c>
      <c r="F75" s="363"/>
      <c r="G75" s="359"/>
      <c r="H75" s="42"/>
      <c r="I75" s="42"/>
      <c r="J75" s="1918"/>
      <c r="K75" s="2758">
        <f>IF(H77="非个人房产","",4)</f>
        <v>4</v>
      </c>
      <c r="L75" s="3379" t="str">
        <f>IF(H77="非个人房产","——","个人所得税")</f>
        <v>个人所得税</v>
      </c>
      <c r="M75" s="3379"/>
      <c r="N75" s="1254">
        <f>D77</f>
        <v>0</v>
      </c>
      <c r="O75" s="1786" t="str">
        <f>E77</f>
        <v>差额计税</v>
      </c>
      <c r="P75" s="1255">
        <f>F77</f>
        <v>0.01</v>
      </c>
      <c r="Q75" s="1911"/>
      <c r="R75" s="1911"/>
      <c r="S75" s="1911"/>
      <c r="T75" s="1911"/>
      <c r="U75" s="1911"/>
      <c r="V75" s="1911"/>
    </row>
    <row r="76" spans="1:22" ht="24.75">
      <c r="A76" s="357" t="s">
        <v>395</v>
      </c>
      <c r="B76" s="3394" t="s">
        <v>418</v>
      </c>
      <c r="C76" s="3436"/>
      <c r="D76" s="360" t="e">
        <f ca="1">IF(H76="转让取得",C99,C115)</f>
        <v>#DIV/0!</v>
      </c>
      <c r="E76" s="17" t="s">
        <v>419</v>
      </c>
      <c r="F76" s="53" t="s">
        <v>21</v>
      </c>
      <c r="G76" s="359"/>
      <c r="H76" s="361"/>
      <c r="I76" s="42"/>
      <c r="J76" s="1918"/>
      <c r="K76" s="2758" t="str">
        <f>IF(项目基本情况!K6="上海银行",IF(K75="",4,K75+1),"")</f>
        <v/>
      </c>
      <c r="L76" s="3390" t="str">
        <f>IF(项目基本情况!K6="上海银行","其他处置费用","")</f>
        <v/>
      </c>
      <c r="M76" s="3391"/>
      <c r="N76" s="1250" t="str">
        <f>IF(项目基本情况!K6="上海银行",N89,"")</f>
        <v/>
      </c>
      <c r="O76" s="3392" t="str">
        <f>IF(项目基本情况!K6="上海银行","包含处置中涉及的律师、诉讼、拍卖、评估等费用","")</f>
        <v/>
      </c>
      <c r="P76" s="3393"/>
      <c r="Q76" s="1911"/>
      <c r="R76" s="1911"/>
      <c r="S76" s="1911"/>
      <c r="T76" s="1911"/>
      <c r="U76" s="1911"/>
      <c r="V76" s="1911"/>
    </row>
    <row r="77" spans="1:22" ht="24.75" thickBot="1">
      <c r="A77" s="3405" t="s">
        <v>421</v>
      </c>
      <c r="B77" s="3406"/>
      <c r="C77" s="3406"/>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2967</v>
      </c>
      <c r="J77" s="1918"/>
      <c r="K77" s="3401">
        <f>IF(AND(K75="",K76=""),4,IF(项目基本情况!K6="上海银行",K76+1,K75+1))</f>
        <v>5</v>
      </c>
      <c r="L77" s="3379" t="s">
        <v>2863</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01"/>
      <c r="L78" s="3379"/>
      <c r="M78" s="2763" t="s">
        <v>420</v>
      </c>
      <c r="N78" s="1256"/>
      <c r="O78" s="1257" t="str">
        <f ca="1">NUMBERSTRING(INT(O77*10000),2)&amp;"元整"</f>
        <v>零元整</v>
      </c>
      <c r="P78" s="1258"/>
      <c r="Q78" s="1911"/>
      <c r="R78" s="1911"/>
      <c r="S78" s="1911"/>
      <c r="T78" s="1911"/>
      <c r="U78" s="1911"/>
      <c r="V78" s="1911"/>
    </row>
    <row r="79" spans="1:22" ht="13.5" thickBot="1">
      <c r="A79" s="3456" t="s">
        <v>422</v>
      </c>
      <c r="B79" s="3456"/>
      <c r="C79" s="3456"/>
      <c r="D79" s="3456"/>
      <c r="E79" s="3456"/>
      <c r="F79" s="42"/>
      <c r="G79" s="42"/>
      <c r="H79" s="991"/>
      <c r="I79" s="309"/>
      <c r="J79" s="1918"/>
      <c r="K79" s="3377">
        <f>K77+1</f>
        <v>6</v>
      </c>
      <c r="L79" s="3379" t="s">
        <v>2864</v>
      </c>
      <c r="M79" s="2763" t="s">
        <v>417</v>
      </c>
      <c r="N79" s="1256"/>
      <c r="O79" s="1257" t="e">
        <f ca="1">N69-O77</f>
        <v>#VALUE!</v>
      </c>
      <c r="P79" s="1258"/>
      <c r="Q79" s="1911"/>
      <c r="R79" s="1911"/>
      <c r="S79" s="1911"/>
      <c r="T79" s="1911"/>
      <c r="U79" s="1911"/>
      <c r="V79" s="1911"/>
    </row>
    <row r="80" spans="1:22" ht="12.75">
      <c r="A80" s="3387" t="s">
        <v>423</v>
      </c>
      <c r="B80" s="3388"/>
      <c r="C80" s="982"/>
      <c r="D80" s="982" t="s">
        <v>424</v>
      </c>
      <c r="E80" s="364" t="s">
        <v>425</v>
      </c>
      <c r="F80" s="42"/>
      <c r="G80" s="42"/>
      <c r="H80" s="991"/>
      <c r="I80" s="309"/>
      <c r="J80" s="1911"/>
      <c r="K80" s="3378"/>
      <c r="L80" s="3379"/>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t="e">
        <f ca="1">ROUND((C82+C83)/(1+'数据-取费表'!C42),0)</f>
        <v>#DIV/0!</v>
      </c>
      <c r="D81" s="367"/>
      <c r="E81" s="368"/>
      <c r="F81" s="42"/>
      <c r="G81" s="42"/>
      <c r="H81" s="991"/>
      <c r="I81" s="309"/>
      <c r="J81" s="1911"/>
      <c r="K81" s="2758">
        <f>K79+1</f>
        <v>7</v>
      </c>
      <c r="L81" s="3399" t="s">
        <v>2865</v>
      </c>
      <c r="M81" s="3400"/>
      <c r="N81" s="1260"/>
      <c r="O81" s="1261" t="e">
        <f ca="1">ROUND(O79*10000/'数据-汇总表'!E3,0)</f>
        <v>#VALUE!</v>
      </c>
      <c r="P81" s="1262"/>
      <c r="Q81" s="1911"/>
      <c r="R81" s="1911"/>
      <c r="S81" s="1911"/>
      <c r="T81" s="1911"/>
      <c r="U81" s="1911"/>
      <c r="V81" s="1911"/>
    </row>
    <row r="82" spans="1:26" ht="13.5" thickTop="1">
      <c r="A82" s="369" t="s">
        <v>1815</v>
      </c>
      <c r="B82" s="370" t="s">
        <v>427</v>
      </c>
      <c r="C82" s="371" t="e">
        <f ca="1">D63</f>
        <v>#DIV/0!</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389"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389"/>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t="e">
        <f ca="1">C81-C84</f>
        <v>#DIV/0!</v>
      </c>
      <c r="D85" s="372" t="s">
        <v>19</v>
      </c>
      <c r="E85" s="373"/>
      <c r="F85" s="42"/>
      <c r="G85" s="42"/>
      <c r="H85" s="991"/>
      <c r="I85" s="309"/>
      <c r="J85" s="1911"/>
      <c r="K85" s="3389"/>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t="e">
        <f ca="1">IF(C85&lt;=0,0,ROUND(C85*D86,0))</f>
        <v>#DIV/0!</v>
      </c>
      <c r="D86" s="383">
        <f>'数据-取费表'!B41</f>
        <v>0</v>
      </c>
      <c r="E86" s="384"/>
      <c r="F86" s="42"/>
      <c r="G86" s="42"/>
      <c r="H86" s="991"/>
      <c r="I86" s="309"/>
      <c r="J86" s="1911"/>
      <c r="K86" s="3389"/>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389"/>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28" t="s">
        <v>432</v>
      </c>
      <c r="B88" s="3429"/>
      <c r="C88" s="3429"/>
      <c r="D88" s="3429"/>
      <c r="E88" s="3429"/>
      <c r="F88" s="3429"/>
      <c r="G88" s="3429"/>
      <c r="H88" s="3429"/>
      <c r="I88" s="1269"/>
      <c r="J88" s="1919"/>
      <c r="K88" s="3389"/>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387" t="s">
        <v>423</v>
      </c>
      <c r="B89" s="3388"/>
      <c r="C89" s="982"/>
      <c r="D89" s="982" t="s">
        <v>424</v>
      </c>
      <c r="E89" s="385" t="s">
        <v>433</v>
      </c>
      <c r="F89" s="386"/>
      <c r="G89" s="386"/>
      <c r="H89" s="387"/>
      <c r="I89" s="1270"/>
      <c r="J89" s="1921"/>
      <c r="K89" s="3389"/>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t="e">
        <f ca="1">ROUND(D63/(1+'数据-取费表'!C42),0)</f>
        <v>#DIV/0!</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t="e">
        <f ca="1">C92+C96</f>
        <v>#DIV/0!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25" t="s">
        <v>441</v>
      </c>
      <c r="F94" s="3426"/>
      <c r="G94" s="3426"/>
      <c r="H94" s="3427"/>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t="e">
        <f ca="1">ROUND(D63*D96/(1+'数据-取费表'!C42),0)</f>
        <v>#DIV/0!</v>
      </c>
      <c r="D96" s="400">
        <f>'数据-取费表'!B43</f>
        <v>0</v>
      </c>
      <c r="E96" s="3384" t="s">
        <v>2413</v>
      </c>
      <c r="F96" s="3385"/>
      <c r="G96" s="3385"/>
      <c r="H96" s="338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t="e">
        <f ca="1">C90-C91</f>
        <v>#DIV/0!</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28" t="s">
        <v>448</v>
      </c>
      <c r="B101" s="3429"/>
      <c r="C101" s="3429"/>
      <c r="D101" s="3429"/>
      <c r="E101" s="3429"/>
      <c r="F101" s="3429"/>
      <c r="G101" s="3429"/>
      <c r="H101" s="3429"/>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387" t="s">
        <v>423</v>
      </c>
      <c r="B102" s="3388"/>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t="e">
        <f ca="1">ROUND(D63/(1+'数据-取费表'!C42),0)</f>
        <v>#DIV/0!</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t="e">
        <f ca="1">IF(H106="仅含出让金",C105+C108+C109+C110+C111+C112,C105+C109+C110+C111+C112)</f>
        <v>#DIV/0!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2988</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40" t="s">
        <v>2959</v>
      </c>
      <c r="H108" s="3441"/>
      <c r="I108" s="2859"/>
      <c r="J108" s="1916"/>
      <c r="K108" s="3244" t="s">
        <v>2989</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18" t="s">
        <v>456</v>
      </c>
      <c r="F109" s="3385"/>
      <c r="G109" s="338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18" t="s">
        <v>458</v>
      </c>
      <c r="F110" s="3385"/>
      <c r="G110" s="3385"/>
      <c r="H110" s="3386"/>
      <c r="I110" s="11"/>
      <c r="J110" s="1916"/>
      <c r="K110" s="3245" t="s">
        <v>2990</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t="e">
        <f ca="1">ROUND(D63*D111/(1+'数据-取费表'!C42),0)</f>
        <v>#DIV/0!</v>
      </c>
      <c r="D111" s="400">
        <f>'数据-取费表'!B43</f>
        <v>0</v>
      </c>
      <c r="E111" s="3384" t="s">
        <v>2413</v>
      </c>
      <c r="F111" s="3385"/>
      <c r="G111" s="3385"/>
      <c r="H111" s="338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18" t="s">
        <v>2436</v>
      </c>
      <c r="F112" s="3385"/>
      <c r="G112" s="3385"/>
      <c r="H112" s="338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t="e">
        <f ca="1">ROUND(C103-C104,0)</f>
        <v>#DIV/0!</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108">
    <cfRule type="expression" dxfId="175" priority="3" stopIfTrue="1">
      <formula>$H$106&lt;&gt;"仅含出让金"</formula>
    </cfRule>
  </conditionalFormatting>
  <conditionalFormatting sqref="C109">
    <cfRule type="expression" dxfId="174" priority="2" stopIfTrue="1">
      <formula>$H$109="由企业提供"</formula>
    </cfRule>
  </conditionalFormatting>
  <conditionalFormatting sqref="I33">
    <cfRule type="expression" dxfId="17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3"/>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-952</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-381</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-1066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-71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500</v>
      </c>
      <c r="D16" s="2561">
        <f ca="1">IF(B1="",'数据-汇总表'!E3,INDIRECT("'数据-取费表'!K"&amp;$K$1)+INDIRECT("'数据-取费表'!S"&amp;$K$1))</f>
        <v>25000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500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25000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500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160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500</v>
      </c>
      <c r="D22" s="2561">
        <f ca="1">IF(B1="",'数据-汇总表'!E6,IF(INDIRECT("'数据-取费表'!c"&amp;$K$1)="住宅",INDIRECT("'数据-取费表'!s"&amp;$K$1),INDIRECT("'数据-取费表'!k"&amp;$K$1)+INDIRECT("'数据-取费表'!s"&amp;$K$1)))</f>
        <v>25000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20</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48</v>
      </c>
      <c r="D26" s="461">
        <f ca="1">C27</f>
        <v>0.1002</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0.1002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48</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1068</v>
      </c>
      <c r="D30" s="471">
        <f ca="1">C32</f>
        <v>0.13070000000000001</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1068</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0.13070000000000001</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204</v>
      </c>
      <c r="D33" s="461">
        <f ca="1">C34</f>
        <v>0.20610000000000001</v>
      </c>
      <c r="E33" s="463" t="s">
        <v>489</v>
      </c>
      <c r="F33" s="473">
        <f ca="1">IF(B1="",'数据-取费表'!Q16,INDIRECT("'数据-取费表'!q"&amp;$K$1))</f>
        <v>0.2</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0.20610000000000001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204</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-952</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P17" sqref="P17:P33"/>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-6865.5334193203416</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-2746</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-7689</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-513</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6250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188</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500</v>
      </c>
      <c r="D16" s="445">
        <f ca="1">IF(B1="",'数据-汇总表'!E3,INDIRECT("'数据-取费表'!K"&amp;$K$1)+INDIRECT("'数据-取费表'!S"&amp;$K$1))</f>
        <v>25000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94</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7032</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141</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341</v>
      </c>
      <c r="D21" s="461">
        <f ca="1">C23</f>
        <v>1E-3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341</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1E-3</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1435</v>
      </c>
      <c r="D24" s="483">
        <f ca="1">C26</f>
        <v>4.0000000000000001E-3</v>
      </c>
      <c r="E24" s="463" t="s">
        <v>501</v>
      </c>
      <c r="F24" s="473">
        <f ca="1">IF(B1="",'数据-取费表'!Q16,INDIRECT("'数据-取费表'!q"&amp;$K$1))</f>
        <v>0.2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1435</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4.0000000000000001E-3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0</v>
      </c>
      <c r="D27" s="456" t="s">
        <v>2809</v>
      </c>
      <c r="E27" s="456"/>
      <c r="F27" s="460">
        <f>'数据-取费表'!B41</f>
        <v>0</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9178</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9178</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-6865.5334193203416</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4" t="str">
        <f>项目基本情况!B1</f>
        <v>北京市出让国有建设用地使用权市场价格预评估</v>
      </c>
      <c r="C37" s="3284"/>
      <c r="D37" s="3284"/>
      <c r="E37" s="3284"/>
      <c r="F37" s="3284"/>
      <c r="G37" s="3284"/>
      <c r="H37" s="3284"/>
      <c r="I37" s="3284"/>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P17" sqref="P17:P33"/>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79" t="s">
        <v>516</v>
      </c>
      <c r="D6" s="3480"/>
      <c r="E6" s="3479" t="s">
        <v>517</v>
      </c>
      <c r="F6" s="3480"/>
      <c r="G6" s="3479" t="s">
        <v>518</v>
      </c>
      <c r="H6" s="3480"/>
      <c r="I6" s="3479" t="s">
        <v>519</v>
      </c>
      <c r="J6" s="3480"/>
      <c r="K6" s="508" t="s">
        <v>520</v>
      </c>
      <c r="L6" s="2015"/>
      <c r="M6" s="2014"/>
      <c r="N6" s="2014"/>
      <c r="O6" s="2016"/>
      <c r="P6" s="3481" t="s">
        <v>521</v>
      </c>
      <c r="Q6" s="3482"/>
      <c r="R6" s="3467" t="s">
        <v>517</v>
      </c>
      <c r="S6" s="3468"/>
      <c r="T6" s="3467" t="s">
        <v>518</v>
      </c>
      <c r="U6" s="3468"/>
      <c r="V6" s="3487" t="s">
        <v>519</v>
      </c>
      <c r="W6" s="3487"/>
      <c r="X6" s="1502"/>
      <c r="Y6" s="3467" t="s">
        <v>521</v>
      </c>
      <c r="Z6" s="3468"/>
      <c r="AA6" s="3462" t="s">
        <v>517</v>
      </c>
      <c r="AB6" s="3463" t="s">
        <v>518</v>
      </c>
      <c r="AC6" s="3462" t="s">
        <v>519</v>
      </c>
    </row>
    <row r="7" spans="1:30" ht="20.25">
      <c r="A7" s="509"/>
      <c r="B7" s="510"/>
      <c r="C7" s="3490" t="s">
        <v>2897</v>
      </c>
      <c r="D7" s="3491"/>
      <c r="E7" s="3490" t="s">
        <v>2898</v>
      </c>
      <c r="F7" s="3491"/>
      <c r="G7" s="3490" t="s">
        <v>2899</v>
      </c>
      <c r="H7" s="3491"/>
      <c r="I7" s="3490" t="s">
        <v>2900</v>
      </c>
      <c r="J7" s="3491"/>
      <c r="K7" s="508"/>
      <c r="L7" s="2015"/>
      <c r="M7" s="2014"/>
      <c r="N7" s="2014"/>
      <c r="O7" s="2016"/>
      <c r="P7" s="3483"/>
      <c r="Q7" s="3484"/>
      <c r="R7" s="3469"/>
      <c r="S7" s="3470"/>
      <c r="T7" s="3469"/>
      <c r="U7" s="3470"/>
      <c r="V7" s="3487"/>
      <c r="W7" s="3487"/>
      <c r="X7" s="1502"/>
      <c r="Y7" s="3469"/>
      <c r="Z7" s="3470"/>
      <c r="AA7" s="3463"/>
      <c r="AB7" s="3463"/>
      <c r="AC7" s="3463"/>
    </row>
    <row r="8" spans="1:30" ht="21" thickBot="1">
      <c r="A8" s="509"/>
      <c r="B8" s="510"/>
      <c r="C8" s="3492" t="s">
        <v>2901</v>
      </c>
      <c r="D8" s="3493"/>
      <c r="E8" s="3492" t="s">
        <v>2901</v>
      </c>
      <c r="F8" s="3493"/>
      <c r="G8" s="3488" t="s">
        <v>2901</v>
      </c>
      <c r="H8" s="3489"/>
      <c r="I8" s="3488" t="s">
        <v>2901</v>
      </c>
      <c r="J8" s="3489"/>
      <c r="K8" s="508" t="s">
        <v>522</v>
      </c>
      <c r="L8" s="2015"/>
      <c r="M8" s="2014"/>
      <c r="N8" s="2014"/>
      <c r="O8" s="2016"/>
      <c r="P8" s="3485"/>
      <c r="Q8" s="3486"/>
      <c r="R8" s="3469"/>
      <c r="S8" s="3470"/>
      <c r="T8" s="3471"/>
      <c r="U8" s="3472"/>
      <c r="V8" s="3487"/>
      <c r="W8" s="3487"/>
      <c r="X8" s="1502"/>
      <c r="Y8" s="3471"/>
      <c r="Z8" s="3472"/>
      <c r="AA8" s="3464"/>
      <c r="AB8" s="3464"/>
      <c r="AC8" s="3464"/>
    </row>
    <row r="9" spans="1:30" s="1203" customFormat="1" ht="21" thickBot="1">
      <c r="A9" s="2629"/>
      <c r="B9" s="2636" t="s">
        <v>523</v>
      </c>
      <c r="C9" s="2628">
        <f>'数据-取费表'!B2</f>
        <v>44269</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465" t="s">
        <v>524</v>
      </c>
      <c r="Q9" s="3474"/>
      <c r="R9" s="1503" t="s">
        <v>8</v>
      </c>
      <c r="S9" s="1504">
        <f t="shared" ref="S9:S17" si="0">F9</f>
        <v>0</v>
      </c>
      <c r="T9" s="1503" t="s">
        <v>8</v>
      </c>
      <c r="U9" s="1504">
        <f t="shared" ref="U9:U17" si="1">H9</f>
        <v>0</v>
      </c>
      <c r="V9" s="1503" t="s">
        <v>8</v>
      </c>
      <c r="W9" s="1504">
        <f t="shared" ref="W9:W17" si="2">J9</f>
        <v>0</v>
      </c>
      <c r="X9" s="1505"/>
      <c r="Y9" s="3465" t="s">
        <v>524</v>
      </c>
      <c r="Z9" s="3466"/>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465" t="s">
        <v>527</v>
      </c>
      <c r="Q10" s="3466"/>
      <c r="R10" s="1503" t="s">
        <v>8</v>
      </c>
      <c r="S10" s="1504">
        <f t="shared" si="0"/>
        <v>0</v>
      </c>
      <c r="T10" s="1503" t="s">
        <v>8</v>
      </c>
      <c r="U10" s="1504">
        <f t="shared" si="1"/>
        <v>0</v>
      </c>
      <c r="V10" s="1503" t="s">
        <v>8</v>
      </c>
      <c r="W10" s="1504">
        <f t="shared" si="2"/>
        <v>0</v>
      </c>
      <c r="X10" s="1505"/>
      <c r="Y10" s="3465" t="s">
        <v>527</v>
      </c>
      <c r="Z10" s="3466"/>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73" t="s">
        <v>529</v>
      </c>
      <c r="Q11" s="1134" t="str">
        <f t="shared" ref="Q11:Q17" si="6">B11</f>
        <v>用途</v>
      </c>
      <c r="R11" s="1503" t="s">
        <v>8</v>
      </c>
      <c r="S11" s="1504">
        <f t="shared" si="0"/>
        <v>100</v>
      </c>
      <c r="T11" s="1503" t="s">
        <v>8</v>
      </c>
      <c r="U11" s="1504">
        <f t="shared" si="1"/>
        <v>100</v>
      </c>
      <c r="V11" s="1503" t="s">
        <v>8</v>
      </c>
      <c r="W11" s="1504">
        <f t="shared" si="2"/>
        <v>100</v>
      </c>
      <c r="X11" s="1505"/>
      <c r="Y11" s="3424"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473"/>
      <c r="Q12" s="1134" t="str">
        <f t="shared" si="6"/>
        <v>土地使用年限（年）</v>
      </c>
      <c r="R12" s="1503" t="s">
        <v>8</v>
      </c>
      <c r="S12" s="1504">
        <f t="shared" si="0"/>
        <v>100</v>
      </c>
      <c r="T12" s="1503" t="s">
        <v>8</v>
      </c>
      <c r="U12" s="1504">
        <f t="shared" si="1"/>
        <v>100</v>
      </c>
      <c r="V12" s="1503" t="s">
        <v>8</v>
      </c>
      <c r="W12" s="1504">
        <f t="shared" si="2"/>
        <v>100</v>
      </c>
      <c r="X12" s="1505"/>
      <c r="Y12" s="3424"/>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473"/>
      <c r="Q13" s="1134" t="str">
        <f t="shared" si="6"/>
        <v>容积率</v>
      </c>
      <c r="R13" s="1503" t="s">
        <v>8</v>
      </c>
      <c r="S13" s="1504" t="e">
        <f t="shared" si="0"/>
        <v>#N/A</v>
      </c>
      <c r="T13" s="1503" t="s">
        <v>8</v>
      </c>
      <c r="U13" s="1504" t="e">
        <f t="shared" si="1"/>
        <v>#N/A</v>
      </c>
      <c r="V13" s="1503" t="s">
        <v>8</v>
      </c>
      <c r="W13" s="1504" t="e">
        <f t="shared" si="2"/>
        <v>#N/A</v>
      </c>
      <c r="X13" s="1505"/>
      <c r="Y13" s="3424"/>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73"/>
      <c r="Q14" s="1134" t="str">
        <f t="shared" si="6"/>
        <v>配建</v>
      </c>
      <c r="R14" s="1503" t="s">
        <v>8</v>
      </c>
      <c r="S14" s="1504">
        <f t="shared" si="0"/>
        <v>100</v>
      </c>
      <c r="T14" s="1503" t="s">
        <v>8</v>
      </c>
      <c r="U14" s="1504">
        <f t="shared" si="1"/>
        <v>100</v>
      </c>
      <c r="V14" s="1503" t="s">
        <v>8</v>
      </c>
      <c r="W14" s="1504">
        <f t="shared" si="2"/>
        <v>100</v>
      </c>
      <c r="X14" s="1505"/>
      <c r="Y14" s="3424"/>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73"/>
      <c r="Q15" s="1134">
        <f t="shared" si="6"/>
        <v>111</v>
      </c>
      <c r="R15" s="1503" t="s">
        <v>8</v>
      </c>
      <c r="S15" s="1504">
        <f t="shared" si="0"/>
        <v>100</v>
      </c>
      <c r="T15" s="1503" t="s">
        <v>8</v>
      </c>
      <c r="U15" s="1504">
        <f t="shared" si="1"/>
        <v>100</v>
      </c>
      <c r="V15" s="1503" t="s">
        <v>8</v>
      </c>
      <c r="W15" s="1504">
        <f t="shared" si="2"/>
        <v>100</v>
      </c>
      <c r="X15" s="1505"/>
      <c r="Y15" s="3424"/>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73"/>
      <c r="Q16" s="1134">
        <f t="shared" si="6"/>
        <v>111</v>
      </c>
      <c r="R16" s="1503" t="s">
        <v>8</v>
      </c>
      <c r="S16" s="1504">
        <f t="shared" si="0"/>
        <v>100</v>
      </c>
      <c r="T16" s="1503" t="s">
        <v>8</v>
      </c>
      <c r="U16" s="1504">
        <f t="shared" si="1"/>
        <v>100</v>
      </c>
      <c r="V16" s="1503" t="s">
        <v>8</v>
      </c>
      <c r="W16" s="1504">
        <f t="shared" si="2"/>
        <v>100</v>
      </c>
      <c r="X16" s="1505"/>
      <c r="Y16" s="3424"/>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475" t="s">
        <v>534</v>
      </c>
      <c r="Q17" s="1507" t="str">
        <f t="shared" si="6"/>
        <v>居住社区成熟度</v>
      </c>
      <c r="R17" s="1508" t="s">
        <v>8</v>
      </c>
      <c r="S17" s="1509">
        <f t="shared" si="0"/>
        <v>100</v>
      </c>
      <c r="T17" s="1508" t="s">
        <v>8</v>
      </c>
      <c r="U17" s="1509">
        <f t="shared" si="1"/>
        <v>100</v>
      </c>
      <c r="V17" s="1508" t="s">
        <v>8</v>
      </c>
      <c r="W17" s="1509">
        <f t="shared" si="2"/>
        <v>100</v>
      </c>
      <c r="X17" s="1502"/>
      <c r="Y17" s="3475"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476"/>
      <c r="Q18" s="1507"/>
      <c r="R18" s="1508"/>
      <c r="S18" s="1509"/>
      <c r="T18" s="1508"/>
      <c r="U18" s="1509"/>
      <c r="V18" s="1508"/>
      <c r="W18" s="1509"/>
      <c r="X18" s="1502"/>
      <c r="Y18" s="3476"/>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476"/>
      <c r="Q19" s="1507" t="str">
        <f>B19</f>
        <v>商业繁华度</v>
      </c>
      <c r="R19" s="1508" t="s">
        <v>8</v>
      </c>
      <c r="S19" s="1509">
        <f>F19</f>
        <v>100</v>
      </c>
      <c r="T19" s="1508" t="s">
        <v>8</v>
      </c>
      <c r="U19" s="1509">
        <f>H19</f>
        <v>100</v>
      </c>
      <c r="V19" s="1508" t="s">
        <v>8</v>
      </c>
      <c r="W19" s="1509">
        <f>J19</f>
        <v>100</v>
      </c>
      <c r="X19" s="1502"/>
      <c r="Y19" s="3476"/>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476"/>
      <c r="Q20" s="1507"/>
      <c r="R20" s="1508"/>
      <c r="S20" s="1509"/>
      <c r="T20" s="1508"/>
      <c r="U20" s="1509"/>
      <c r="V20" s="1508"/>
      <c r="W20" s="1509"/>
      <c r="X20" s="1502"/>
      <c r="Y20" s="3476"/>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76"/>
      <c r="Q21" s="1507" t="str">
        <f>B21</f>
        <v>办公集聚程度</v>
      </c>
      <c r="R21" s="1508" t="s">
        <v>8</v>
      </c>
      <c r="S21" s="1509">
        <f>F21</f>
        <v>100</v>
      </c>
      <c r="T21" s="1508" t="s">
        <v>8</v>
      </c>
      <c r="U21" s="1509">
        <f>H21</f>
        <v>100</v>
      </c>
      <c r="V21" s="1508" t="s">
        <v>8</v>
      </c>
      <c r="W21" s="1509">
        <f>J21</f>
        <v>100</v>
      </c>
      <c r="X21" s="1502"/>
      <c r="Y21" s="3476"/>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476"/>
      <c r="Q22" s="1507"/>
      <c r="R22" s="1508"/>
      <c r="S22" s="1509"/>
      <c r="T22" s="1508"/>
      <c r="U22" s="1509"/>
      <c r="V22" s="1508"/>
      <c r="W22" s="1509"/>
      <c r="X22" s="1502"/>
      <c r="Y22" s="3476"/>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476"/>
      <c r="Q23" s="1507" t="str">
        <f>B23</f>
        <v>交通便捷度</v>
      </c>
      <c r="R23" s="1508" t="s">
        <v>8</v>
      </c>
      <c r="S23" s="1509">
        <f>F23</f>
        <v>100</v>
      </c>
      <c r="T23" s="1508" t="s">
        <v>8</v>
      </c>
      <c r="U23" s="1509">
        <f>H23</f>
        <v>100</v>
      </c>
      <c r="V23" s="1508" t="s">
        <v>8</v>
      </c>
      <c r="W23" s="1509">
        <f>J23</f>
        <v>100</v>
      </c>
      <c r="X23" s="1502"/>
      <c r="Y23" s="3476"/>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476"/>
      <c r="Q24" s="1507"/>
      <c r="R24" s="1508"/>
      <c r="S24" s="1509"/>
      <c r="T24" s="1508"/>
      <c r="U24" s="1509"/>
      <c r="V24" s="1508"/>
      <c r="W24" s="1509"/>
      <c r="X24" s="1502"/>
      <c r="Y24" s="3476"/>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476"/>
      <c r="Q25" s="1507" t="str">
        <f t="shared" ref="Q25:Q39" si="8">B25</f>
        <v>区域土地利用方向</v>
      </c>
      <c r="R25" s="1508" t="s">
        <v>8</v>
      </c>
      <c r="S25" s="1509">
        <f>F25</f>
        <v>100</v>
      </c>
      <c r="T25" s="1508" t="s">
        <v>8</v>
      </c>
      <c r="U25" s="1509">
        <f>H25</f>
        <v>100</v>
      </c>
      <c r="V25" s="1508" t="s">
        <v>8</v>
      </c>
      <c r="W25" s="1509">
        <f>J25</f>
        <v>100</v>
      </c>
      <c r="X25" s="1502"/>
      <c r="Y25" s="3476"/>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476"/>
      <c r="Q26" s="1507"/>
      <c r="R26" s="1508"/>
      <c r="S26" s="1509"/>
      <c r="T26" s="1508"/>
      <c r="U26" s="1509"/>
      <c r="V26" s="1508"/>
      <c r="W26" s="1509"/>
      <c r="X26" s="1502"/>
      <c r="Y26" s="3476"/>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476"/>
      <c r="Q27" s="1507" t="str">
        <f t="shared" si="8"/>
        <v>自然及人文环境状况</v>
      </c>
      <c r="R27" s="1508" t="s">
        <v>8</v>
      </c>
      <c r="S27" s="1509">
        <f>F27</f>
        <v>100</v>
      </c>
      <c r="T27" s="1508" t="s">
        <v>8</v>
      </c>
      <c r="U27" s="1509">
        <f>H27</f>
        <v>100</v>
      </c>
      <c r="V27" s="1508" t="s">
        <v>8</v>
      </c>
      <c r="W27" s="1509">
        <f>J27</f>
        <v>100</v>
      </c>
      <c r="X27" s="1502"/>
      <c r="Y27" s="3476"/>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476"/>
      <c r="Q28" s="1507"/>
      <c r="R28" s="1508"/>
      <c r="S28" s="1509"/>
      <c r="T28" s="1508"/>
      <c r="U28" s="1509"/>
      <c r="V28" s="1508"/>
      <c r="W28" s="1509"/>
      <c r="X28" s="1502"/>
      <c r="Y28" s="3476"/>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476"/>
      <c r="Q29" s="1134" t="str">
        <f t="shared" si="8"/>
        <v>公共配套设施</v>
      </c>
      <c r="R29" s="1503" t="s">
        <v>8</v>
      </c>
      <c r="S29" s="1504">
        <f>F29</f>
        <v>100</v>
      </c>
      <c r="T29" s="1503" t="s">
        <v>8</v>
      </c>
      <c r="U29" s="1504">
        <f>H29</f>
        <v>100</v>
      </c>
      <c r="V29" s="1503" t="s">
        <v>8</v>
      </c>
      <c r="W29" s="1504">
        <f>J29</f>
        <v>100</v>
      </c>
      <c r="X29" s="1505"/>
      <c r="Y29" s="3476"/>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476"/>
      <c r="Q30" s="1134"/>
      <c r="R30" s="1503"/>
      <c r="S30" s="1504"/>
      <c r="T30" s="1503"/>
      <c r="U30" s="1504"/>
      <c r="V30" s="1503"/>
      <c r="W30" s="1504"/>
      <c r="X30" s="1505"/>
      <c r="Y30" s="3476"/>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476"/>
      <c r="Q31" s="2428" t="str">
        <f t="shared" ref="Q31" si="9">B31</f>
        <v>基础设施水平</v>
      </c>
      <c r="R31" s="1503" t="s">
        <v>8</v>
      </c>
      <c r="S31" s="1504">
        <f>F31</f>
        <v>100</v>
      </c>
      <c r="T31" s="1503" t="s">
        <v>8</v>
      </c>
      <c r="U31" s="1504">
        <f>H31</f>
        <v>100</v>
      </c>
      <c r="V31" s="1503" t="s">
        <v>8</v>
      </c>
      <c r="W31" s="1504">
        <f>J31</f>
        <v>100</v>
      </c>
      <c r="X31" s="1505"/>
      <c r="Y31" s="3476"/>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476"/>
      <c r="Q32" s="2428"/>
      <c r="R32" s="1503"/>
      <c r="S32" s="1504"/>
      <c r="T32" s="1503"/>
      <c r="U32" s="1504"/>
      <c r="V32" s="1503"/>
      <c r="W32" s="1504"/>
      <c r="X32" s="1505"/>
      <c r="Y32" s="3476"/>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76"/>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76"/>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76"/>
      <c r="Q34" s="1507" t="str">
        <f t="shared" si="8"/>
        <v>毗邻道路的类型与等级</v>
      </c>
      <c r="R34" s="1508" t="s">
        <v>8</v>
      </c>
      <c r="S34" s="1509">
        <f t="shared" si="10"/>
        <v>100</v>
      </c>
      <c r="T34" s="1508" t="s">
        <v>8</v>
      </c>
      <c r="U34" s="1509">
        <f t="shared" si="11"/>
        <v>100</v>
      </c>
      <c r="V34" s="1508" t="s">
        <v>8</v>
      </c>
      <c r="W34" s="1509">
        <f t="shared" si="12"/>
        <v>100</v>
      </c>
      <c r="X34" s="1502"/>
      <c r="Y34" s="3476"/>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476"/>
      <c r="Q35" s="1507"/>
      <c r="R35" s="1508"/>
      <c r="S35" s="1509"/>
      <c r="T35" s="1508"/>
      <c r="U35" s="1509"/>
      <c r="V35" s="1508"/>
      <c r="W35" s="1509"/>
      <c r="X35" s="1502"/>
      <c r="Y35" s="3476"/>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76"/>
      <c r="Q36" s="1507" t="str">
        <f t="shared" si="8"/>
        <v>土地级别</v>
      </c>
      <c r="R36" s="1508" t="s">
        <v>8</v>
      </c>
      <c r="S36" s="1509">
        <f t="shared" si="10"/>
        <v>100</v>
      </c>
      <c r="T36" s="1508" t="s">
        <v>8</v>
      </c>
      <c r="U36" s="1509">
        <f t="shared" si="11"/>
        <v>100</v>
      </c>
      <c r="V36" s="1508" t="s">
        <v>8</v>
      </c>
      <c r="W36" s="1509">
        <f t="shared" si="12"/>
        <v>100</v>
      </c>
      <c r="X36" s="1502"/>
      <c r="Y36" s="3476"/>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76"/>
      <c r="Q37" s="1507">
        <f t="shared" si="8"/>
        <v>111</v>
      </c>
      <c r="R37" s="1508" t="s">
        <v>8</v>
      </c>
      <c r="S37" s="1509">
        <f t="shared" si="10"/>
        <v>100</v>
      </c>
      <c r="T37" s="1508" t="s">
        <v>8</v>
      </c>
      <c r="U37" s="1509">
        <f t="shared" si="11"/>
        <v>100</v>
      </c>
      <c r="V37" s="1508" t="s">
        <v>8</v>
      </c>
      <c r="W37" s="1509">
        <f t="shared" si="12"/>
        <v>100</v>
      </c>
      <c r="X37" s="1502"/>
      <c r="Y37" s="3476"/>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77" t="s">
        <v>544</v>
      </c>
      <c r="Q38" s="1507">
        <f t="shared" si="8"/>
        <v>111</v>
      </c>
      <c r="R38" s="1508" t="s">
        <v>8</v>
      </c>
      <c r="S38" s="1509">
        <f t="shared" si="10"/>
        <v>100</v>
      </c>
      <c r="T38" s="1508" t="s">
        <v>8</v>
      </c>
      <c r="U38" s="1509">
        <f t="shared" si="11"/>
        <v>100</v>
      </c>
      <c r="V38" s="1508" t="s">
        <v>8</v>
      </c>
      <c r="W38" s="1509">
        <f t="shared" si="12"/>
        <v>100</v>
      </c>
      <c r="X38" s="1502"/>
      <c r="Y38" s="3478"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78"/>
      <c r="Q39" s="1507">
        <f t="shared" si="8"/>
        <v>111</v>
      </c>
      <c r="R39" s="1512" t="s">
        <v>8</v>
      </c>
      <c r="S39" s="1513">
        <f t="shared" si="10"/>
        <v>100</v>
      </c>
      <c r="T39" s="1512" t="s">
        <v>8</v>
      </c>
      <c r="U39" s="1513">
        <f t="shared" si="11"/>
        <v>100</v>
      </c>
      <c r="V39" s="1512" t="s">
        <v>8</v>
      </c>
      <c r="W39" s="1513">
        <f t="shared" si="12"/>
        <v>100</v>
      </c>
      <c r="X39" s="1514"/>
      <c r="Y39" s="3478"/>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478"/>
      <c r="Q40" s="1507" t="str">
        <f>B40</f>
        <v>宗地面积</v>
      </c>
      <c r="R40" s="1508" t="s">
        <v>8</v>
      </c>
      <c r="S40" s="1509" t="e">
        <f t="shared" si="10"/>
        <v>#N/A</v>
      </c>
      <c r="T40" s="1508" t="s">
        <v>8</v>
      </c>
      <c r="U40" s="1509" t="e">
        <f t="shared" si="11"/>
        <v>#N/A</v>
      </c>
      <c r="V40" s="1508" t="s">
        <v>8</v>
      </c>
      <c r="W40" s="1509" t="e">
        <f t="shared" si="12"/>
        <v>#N/A</v>
      </c>
      <c r="X40" s="1502"/>
      <c r="Y40" s="3478"/>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478"/>
      <c r="Q41" s="1507" t="str">
        <f t="shared" ref="Q41:Q47" si="14">B41</f>
        <v>宗地形状</v>
      </c>
      <c r="R41" s="1508" t="s">
        <v>8</v>
      </c>
      <c r="S41" s="1509">
        <f t="shared" si="10"/>
        <v>100</v>
      </c>
      <c r="T41" s="1508" t="s">
        <v>8</v>
      </c>
      <c r="U41" s="1509">
        <f t="shared" si="11"/>
        <v>100</v>
      </c>
      <c r="V41" s="1508" t="s">
        <v>8</v>
      </c>
      <c r="W41" s="1509">
        <f t="shared" si="12"/>
        <v>100</v>
      </c>
      <c r="X41" s="1502"/>
      <c r="Y41" s="3478"/>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78"/>
      <c r="Q42" s="1507" t="str">
        <f t="shared" si="14"/>
        <v>临街宽度及深度</v>
      </c>
      <c r="R42" s="1508" t="s">
        <v>8</v>
      </c>
      <c r="S42" s="1509">
        <f t="shared" si="10"/>
        <v>100</v>
      </c>
      <c r="T42" s="1508" t="s">
        <v>8</v>
      </c>
      <c r="U42" s="1509">
        <f t="shared" si="11"/>
        <v>100</v>
      </c>
      <c r="V42" s="1508" t="s">
        <v>8</v>
      </c>
      <c r="W42" s="1509">
        <f t="shared" si="12"/>
        <v>100</v>
      </c>
      <c r="X42" s="1502"/>
      <c r="Y42" s="3478"/>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478"/>
      <c r="Q43" s="1507" t="str">
        <f t="shared" si="14"/>
        <v>宗地开发程度</v>
      </c>
      <c r="R43" s="1503" t="s">
        <v>8</v>
      </c>
      <c r="S43" s="1504">
        <f t="shared" si="10"/>
        <v>100</v>
      </c>
      <c r="T43" s="1503" t="s">
        <v>8</v>
      </c>
      <c r="U43" s="1504">
        <f t="shared" si="11"/>
        <v>100</v>
      </c>
      <c r="V43" s="1503" t="s">
        <v>8</v>
      </c>
      <c r="W43" s="1504">
        <f t="shared" si="12"/>
        <v>100</v>
      </c>
      <c r="X43" s="1505"/>
      <c r="Y43" s="3478"/>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478" t="s">
        <v>544</v>
      </c>
      <c r="Q44" s="1507" t="str">
        <f t="shared" si="14"/>
        <v>工程地质条件</v>
      </c>
      <c r="R44" s="1508" t="s">
        <v>8</v>
      </c>
      <c r="S44" s="1509">
        <f t="shared" si="10"/>
        <v>100</v>
      </c>
      <c r="T44" s="1508" t="s">
        <v>8</v>
      </c>
      <c r="U44" s="1509">
        <f t="shared" si="11"/>
        <v>100</v>
      </c>
      <c r="V44" s="1508" t="s">
        <v>8</v>
      </c>
      <c r="W44" s="1509">
        <f t="shared" si="12"/>
        <v>100</v>
      </c>
      <c r="X44" s="1502"/>
      <c r="Y44" s="3478"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78"/>
      <c r="Q45" s="1507">
        <f t="shared" si="14"/>
        <v>111</v>
      </c>
      <c r="R45" s="1508" t="s">
        <v>8</v>
      </c>
      <c r="S45" s="1509">
        <f t="shared" si="10"/>
        <v>100</v>
      </c>
      <c r="T45" s="1508" t="s">
        <v>8</v>
      </c>
      <c r="U45" s="1509">
        <f t="shared" si="11"/>
        <v>100</v>
      </c>
      <c r="V45" s="1508" t="s">
        <v>8</v>
      </c>
      <c r="W45" s="1509">
        <f t="shared" si="12"/>
        <v>100</v>
      </c>
      <c r="X45" s="1502"/>
      <c r="Y45" s="3478"/>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78"/>
      <c r="Q46" s="1507">
        <f t="shared" si="14"/>
        <v>111</v>
      </c>
      <c r="R46" s="1508" t="s">
        <v>8</v>
      </c>
      <c r="S46" s="1509">
        <f t="shared" si="10"/>
        <v>100</v>
      </c>
      <c r="T46" s="1508" t="s">
        <v>8</v>
      </c>
      <c r="U46" s="1509">
        <f t="shared" si="11"/>
        <v>100</v>
      </c>
      <c r="V46" s="1508" t="s">
        <v>8</v>
      </c>
      <c r="W46" s="1509">
        <f t="shared" si="12"/>
        <v>100</v>
      </c>
      <c r="X46" s="1502"/>
      <c r="Y46" s="3478"/>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78"/>
      <c r="Q47" s="1507">
        <f t="shared" si="14"/>
        <v>111</v>
      </c>
      <c r="R47" s="1512" t="s">
        <v>8</v>
      </c>
      <c r="S47" s="1513">
        <f t="shared" si="10"/>
        <v>100</v>
      </c>
      <c r="T47" s="1512" t="s">
        <v>8</v>
      </c>
      <c r="U47" s="1513">
        <f t="shared" si="11"/>
        <v>100</v>
      </c>
      <c r="V47" s="1512" t="s">
        <v>8</v>
      </c>
      <c r="W47" s="1513">
        <f t="shared" si="12"/>
        <v>100</v>
      </c>
      <c r="X47" s="1514"/>
      <c r="Y47" s="3478"/>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473" t="str">
        <f>A48</f>
        <v>成交单价</v>
      </c>
      <c r="Q48" s="3473"/>
      <c r="R48" s="3487">
        <f>E48</f>
        <v>0</v>
      </c>
      <c r="S48" s="3487"/>
      <c r="T48" s="3487">
        <f>G48</f>
        <v>0</v>
      </c>
      <c r="U48" s="3487"/>
      <c r="V48" s="3487">
        <f>I48</f>
        <v>0</v>
      </c>
      <c r="W48" s="3487"/>
      <c r="X48" s="1497"/>
      <c r="Y48" s="1516"/>
      <c r="Z48" s="1497"/>
      <c r="AA48" s="1497"/>
      <c r="AB48" s="1497"/>
      <c r="AC48" s="1497"/>
    </row>
    <row r="49" spans="1:29" ht="21" thickBot="1">
      <c r="A49" s="609" t="s">
        <v>2674</v>
      </c>
      <c r="B49" s="610"/>
      <c r="C49" s="611" t="e">
        <f>R50</f>
        <v>#DIV/0!</v>
      </c>
      <c r="D49" s="3014" t="s">
        <v>2968</v>
      </c>
      <c r="E49" s="611" t="e">
        <f>R49</f>
        <v>#DIV/0!</v>
      </c>
      <c r="F49" s="3015"/>
      <c r="G49" s="612" t="e">
        <f>T49</f>
        <v>#DIV/0!</v>
      </c>
      <c r="H49" s="3015"/>
      <c r="I49" s="611" t="e">
        <f>V49</f>
        <v>#DIV/0!</v>
      </c>
      <c r="J49" s="3015"/>
      <c r="K49" s="3016">
        <f>F49+H49+J49</f>
        <v>0</v>
      </c>
      <c r="L49" s="2026"/>
      <c r="M49" s="2014"/>
      <c r="N49" s="2014"/>
      <c r="O49" s="2027"/>
      <c r="P49" s="3473" t="str">
        <f>A49</f>
        <v>比较价格（元/平方米）</v>
      </c>
      <c r="Q49" s="3473"/>
      <c r="R49" s="3497" t="e">
        <f>ROUND(PRODUCT(R48,AA9:AA47),0)</f>
        <v>#DIV/0!</v>
      </c>
      <c r="S49" s="3497"/>
      <c r="T49" s="3497" t="e">
        <f>ROUND(PRODUCT(T48,AB9:AB47),0)</f>
        <v>#DIV/0!</v>
      </c>
      <c r="U49" s="3497"/>
      <c r="V49" s="3497" t="e">
        <f>ROUND(PRODUCT(V48,AC9:AC47),0)</f>
        <v>#DIV/0!</v>
      </c>
      <c r="W49" s="3497"/>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494" t="str">
        <f>A50</f>
        <v>估价对象XX用房的比较价格（楼面单价，元/平方米）</v>
      </c>
      <c r="Q50" s="3495"/>
      <c r="R50" s="3496" t="e">
        <f>ROUND(IF(D49="简单平均",AVERAGE(R49:W49),R49*F49+T49*H49+V49*J49),0)</f>
        <v>#DIV/0!</v>
      </c>
      <c r="S50" s="3496"/>
      <c r="T50" s="3496"/>
      <c r="U50" s="3496"/>
      <c r="V50" s="3496"/>
      <c r="W50" s="3496"/>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457" t="s">
        <v>2269</v>
      </c>
      <c r="H57" s="3458"/>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25000</v>
      </c>
      <c r="F58" s="628" t="e">
        <f t="shared" ref="F58:F67" si="15">ROUND(B58*E58/10000,0)</f>
        <v>#DIV/0!</v>
      </c>
      <c r="G58" s="3459"/>
      <c r="H58" s="3460"/>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0.6</v>
      </c>
      <c r="D59" s="2109">
        <v>0.25</v>
      </c>
      <c r="E59" s="631">
        <v>0</v>
      </c>
      <c r="F59" s="628" t="e">
        <f t="shared" si="15"/>
        <v>#DIV/0!</v>
      </c>
      <c r="G59" s="3461" t="s">
        <v>2270</v>
      </c>
      <c r="H59" s="1862" t="str">
        <f>项目基本情况!B43</f>
        <v>九级</v>
      </c>
      <c r="I59" s="1495">
        <f>SUMIF(修正!$A$45:$A$56,H59,修正!B45:B56)</f>
        <v>0.6</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0.3</v>
      </c>
      <c r="D60" s="2109">
        <v>0.25</v>
      </c>
      <c r="E60" s="631">
        <v>0</v>
      </c>
      <c r="F60" s="628" t="e">
        <f t="shared" si="15"/>
        <v>#DIV/0!</v>
      </c>
      <c r="G60" s="3461"/>
      <c r="H60" s="1862" t="str">
        <f>项目基本情况!B43</f>
        <v>九级</v>
      </c>
      <c r="I60" s="1495">
        <f>SUMIF(修正!$A$45:$A$56,H60,修正!C45:C56)</f>
        <v>0.3</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0.2</v>
      </c>
      <c r="D61" s="2109">
        <v>0.25</v>
      </c>
      <c r="E61" s="631">
        <v>0</v>
      </c>
      <c r="F61" s="628" t="e">
        <f t="shared" si="15"/>
        <v>#DIV/0!</v>
      </c>
      <c r="G61" s="3461"/>
      <c r="H61" s="1862" t="str">
        <f>项目基本情况!B43</f>
        <v>九级</v>
      </c>
      <c r="I61" s="1495">
        <f>SUMIF(修正!$A$45:$A$56,H61,修正!D45:D56)</f>
        <v>0.2</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0.2</v>
      </c>
      <c r="D62" s="2109">
        <v>0.25</v>
      </c>
      <c r="E62" s="631">
        <v>0</v>
      </c>
      <c r="F62" s="628" t="e">
        <f t="shared" si="15"/>
        <v>#DIV/0!</v>
      </c>
      <c r="G62" s="3461"/>
      <c r="H62" s="1862" t="str">
        <f>项目基本情况!B43</f>
        <v>九级</v>
      </c>
      <c r="I62" s="1495">
        <f>SUMIF(修正!$A$45:$A$56,H62,修正!E45:E56)</f>
        <v>0.2</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九级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九级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0.15</v>
      </c>
      <c r="D66" s="2109">
        <v>0.25</v>
      </c>
      <c r="E66" s="633">
        <f>'数据-汇总表'!E14</f>
        <v>0</v>
      </c>
      <c r="F66" s="628" t="e">
        <f t="shared" si="15"/>
        <v>#DIV/0!</v>
      </c>
      <c r="G66" s="1859" t="s">
        <v>2270</v>
      </c>
      <c r="H66" s="1862" t="str">
        <f>项目基本情况!B43</f>
        <v>九级</v>
      </c>
      <c r="I66" s="1495">
        <f>SUMIF(修正!$A$45:$A$56,H66,修正!H45:H56)</f>
        <v>0.15</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九级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8928.57</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"北京市平均增长率"&amp;TEXT(SUMIF('基准地价-商业'!N21:N25,A73,'基准地价-商业'!P21:P25),"0.00%")</f>
        <v>北京市平均增长率1.75%</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2" priority="18" stopIfTrue="1" operator="containsText" text="超过">
      <formula>NOT(ISERROR(SEARCH("超过",F53)))</formula>
    </cfRule>
  </conditionalFormatting>
  <conditionalFormatting sqref="J55">
    <cfRule type="containsText" dxfId="171" priority="17" stopIfTrue="1" operator="containsText" text="超过">
      <formula>NOT(ISERROR(SEARCH("超过",J55)))</formula>
    </cfRule>
  </conditionalFormatting>
  <conditionalFormatting sqref="H55">
    <cfRule type="containsText" dxfId="170" priority="16" stopIfTrue="1" operator="containsText" text="超过">
      <formula>NOT(ISERROR(SEARCH("超过",H55)))</formula>
    </cfRule>
  </conditionalFormatting>
  <conditionalFormatting sqref="F55">
    <cfRule type="containsText" dxfId="169" priority="15" stopIfTrue="1" operator="containsText" text="超过">
      <formula>NOT(ISERROR(SEARCH("超过",F55)))</formula>
    </cfRule>
  </conditionalFormatting>
  <conditionalFormatting sqref="F54 H54 J54">
    <cfRule type="containsText" dxfId="168" priority="14" stopIfTrue="1" operator="containsText" text="超过">
      <formula>NOT(ISERROR(SEARCH("超过",F54)))</formula>
    </cfRule>
  </conditionalFormatting>
  <conditionalFormatting sqref="E53">
    <cfRule type="expression" dxfId="167" priority="13" stopIfTrue="1">
      <formula>$F$53="超过30%"</formula>
    </cfRule>
  </conditionalFormatting>
  <conditionalFormatting sqref="G55">
    <cfRule type="expression" dxfId="166" priority="12" stopIfTrue="1">
      <formula>$H$55="超过30%"</formula>
    </cfRule>
  </conditionalFormatting>
  <conditionalFormatting sqref="E54">
    <cfRule type="expression" dxfId="165" priority="11" stopIfTrue="1">
      <formula>$F$54="超过20%"</formula>
    </cfRule>
  </conditionalFormatting>
  <conditionalFormatting sqref="E55">
    <cfRule type="expression" dxfId="164" priority="10" stopIfTrue="1">
      <formula>$F$55="超过30%"</formula>
    </cfRule>
  </conditionalFormatting>
  <conditionalFormatting sqref="G53">
    <cfRule type="expression" dxfId="163" priority="9" stopIfTrue="1">
      <formula>$H$55+$H$53="超过30%"</formula>
    </cfRule>
  </conditionalFormatting>
  <conditionalFormatting sqref="G54">
    <cfRule type="expression" dxfId="162" priority="8" stopIfTrue="1">
      <formula>$H$54="超过20%"</formula>
    </cfRule>
  </conditionalFormatting>
  <conditionalFormatting sqref="I53">
    <cfRule type="expression" dxfId="161" priority="7" stopIfTrue="1">
      <formula>$J$53="超过30%"</formula>
    </cfRule>
  </conditionalFormatting>
  <conditionalFormatting sqref="I54">
    <cfRule type="expression" dxfId="160" priority="6" stopIfTrue="1">
      <formula>$J$54="超过20%"</formula>
    </cfRule>
  </conditionalFormatting>
  <conditionalFormatting sqref="I55">
    <cfRule type="expression" dxfId="159" priority="5" stopIfTrue="1">
      <formula>$J$55="超过30%"</formula>
    </cfRule>
  </conditionalFormatting>
  <conditionalFormatting sqref="F49">
    <cfRule type="expression" dxfId="158" priority="4">
      <formula>$D$49="简单平均"</formula>
    </cfRule>
  </conditionalFormatting>
  <conditionalFormatting sqref="H49">
    <cfRule type="expression" dxfId="157" priority="3">
      <formula>$D$49="简单平均"</formula>
    </cfRule>
  </conditionalFormatting>
  <conditionalFormatting sqref="J49">
    <cfRule type="expression" dxfId="156" priority="2">
      <formula>$D$49="简单平均"</formula>
    </cfRule>
  </conditionalFormatting>
  <conditionalFormatting sqref="F9:F47 H9:H47 J9:J47">
    <cfRule type="cellIs" dxfId="15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P17" sqref="P17:P33"/>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79" t="s">
        <v>516</v>
      </c>
      <c r="D6" s="3480"/>
      <c r="E6" s="3504" t="s">
        <v>517</v>
      </c>
      <c r="F6" s="3505"/>
      <c r="G6" s="3479" t="s">
        <v>518</v>
      </c>
      <c r="H6" s="3480"/>
      <c r="I6" s="3479" t="s">
        <v>519</v>
      </c>
      <c r="J6" s="3480"/>
      <c r="K6" s="508" t="s">
        <v>520</v>
      </c>
      <c r="L6" s="2015"/>
      <c r="M6" s="2016"/>
      <c r="N6" s="2016"/>
      <c r="O6" s="2016"/>
      <c r="P6" s="3481" t="s">
        <v>521</v>
      </c>
      <c r="Q6" s="3482"/>
      <c r="R6" s="3467" t="s">
        <v>517</v>
      </c>
      <c r="S6" s="3468"/>
      <c r="T6" s="3467" t="s">
        <v>518</v>
      </c>
      <c r="U6" s="3468"/>
      <c r="V6" s="3487" t="s">
        <v>519</v>
      </c>
      <c r="W6" s="3487"/>
      <c r="X6" s="1502"/>
      <c r="Y6" s="3467" t="s">
        <v>521</v>
      </c>
      <c r="Z6" s="3468"/>
      <c r="AA6" s="3462" t="s">
        <v>517</v>
      </c>
      <c r="AB6" s="3463" t="s">
        <v>518</v>
      </c>
      <c r="AC6" s="3462" t="s">
        <v>519</v>
      </c>
    </row>
    <row r="7" spans="1:29" ht="15">
      <c r="A7" s="509"/>
      <c r="B7" s="510"/>
      <c r="C7" s="3490" t="s">
        <v>2897</v>
      </c>
      <c r="D7" s="3491"/>
      <c r="E7" s="3506" t="s">
        <v>2898</v>
      </c>
      <c r="F7" s="3507"/>
      <c r="G7" s="3490" t="s">
        <v>2899</v>
      </c>
      <c r="H7" s="3491"/>
      <c r="I7" s="3490" t="s">
        <v>2900</v>
      </c>
      <c r="J7" s="3491"/>
      <c r="K7" s="508"/>
      <c r="L7" s="2015"/>
      <c r="M7" s="2016"/>
      <c r="N7" s="2016"/>
      <c r="O7" s="2016"/>
      <c r="P7" s="3483"/>
      <c r="Q7" s="3484"/>
      <c r="R7" s="3469"/>
      <c r="S7" s="3470"/>
      <c r="T7" s="3469"/>
      <c r="U7" s="3470"/>
      <c r="V7" s="3487"/>
      <c r="W7" s="3487"/>
      <c r="X7" s="1502"/>
      <c r="Y7" s="3469"/>
      <c r="Z7" s="3470"/>
      <c r="AA7" s="3463"/>
      <c r="AB7" s="3463"/>
      <c r="AC7" s="3463"/>
    </row>
    <row r="8" spans="1:29" ht="15.75" thickBot="1">
      <c r="A8" s="511"/>
      <c r="B8" s="512"/>
      <c r="C8" s="3488" t="s">
        <v>2901</v>
      </c>
      <c r="D8" s="3489"/>
      <c r="E8" s="3508" t="s">
        <v>2901</v>
      </c>
      <c r="F8" s="3509"/>
      <c r="G8" s="3488" t="s">
        <v>2901</v>
      </c>
      <c r="H8" s="3489"/>
      <c r="I8" s="3488" t="s">
        <v>2901</v>
      </c>
      <c r="J8" s="3489"/>
      <c r="K8" s="508" t="s">
        <v>522</v>
      </c>
      <c r="L8" s="2015"/>
      <c r="M8" s="2016"/>
      <c r="N8" s="2016"/>
      <c r="O8" s="2016"/>
      <c r="P8" s="3485"/>
      <c r="Q8" s="3486"/>
      <c r="R8" s="3469"/>
      <c r="S8" s="3470"/>
      <c r="T8" s="3471"/>
      <c r="U8" s="3472"/>
      <c r="V8" s="3487"/>
      <c r="W8" s="3487"/>
      <c r="X8" s="1502"/>
      <c r="Y8" s="3471"/>
      <c r="Z8" s="3472"/>
      <c r="AA8" s="3464"/>
      <c r="AB8" s="3464"/>
      <c r="AC8" s="3464"/>
    </row>
    <row r="9" spans="1:29" s="1203" customFormat="1" ht="15.75" thickBot="1">
      <c r="A9" s="2629"/>
      <c r="B9" s="2636" t="s">
        <v>523</v>
      </c>
      <c r="C9" s="513">
        <f>'数据-取费表'!B2</f>
        <v>44269</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65" t="s">
        <v>524</v>
      </c>
      <c r="Q9" s="3474"/>
      <c r="R9" s="1503" t="s">
        <v>8</v>
      </c>
      <c r="S9" s="1504">
        <f t="shared" ref="S9:S17" si="0">F9</f>
        <v>0</v>
      </c>
      <c r="T9" s="1503" t="s">
        <v>8</v>
      </c>
      <c r="U9" s="1504">
        <f t="shared" ref="U9:U17" si="1">H9</f>
        <v>0</v>
      </c>
      <c r="V9" s="1503" t="s">
        <v>8</v>
      </c>
      <c r="W9" s="1504">
        <f t="shared" ref="W9:W17" si="2">J9</f>
        <v>0</v>
      </c>
      <c r="X9" s="1505"/>
      <c r="Y9" s="3465" t="s">
        <v>524</v>
      </c>
      <c r="Z9" s="3466"/>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65" t="s">
        <v>527</v>
      </c>
      <c r="Q10" s="3466"/>
      <c r="R10" s="1503" t="s">
        <v>8</v>
      </c>
      <c r="S10" s="1504">
        <f t="shared" si="0"/>
        <v>0</v>
      </c>
      <c r="T10" s="1503" t="s">
        <v>8</v>
      </c>
      <c r="U10" s="1504">
        <f t="shared" si="1"/>
        <v>0</v>
      </c>
      <c r="V10" s="1503" t="s">
        <v>8</v>
      </c>
      <c r="W10" s="1504">
        <f t="shared" si="2"/>
        <v>0</v>
      </c>
      <c r="X10" s="1505"/>
      <c r="Y10" s="3465" t="s">
        <v>527</v>
      </c>
      <c r="Z10" s="3466"/>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73" t="s">
        <v>529</v>
      </c>
      <c r="Q11" s="1134" t="str">
        <f t="shared" ref="Q11:Q17" si="6">B11</f>
        <v>用途</v>
      </c>
      <c r="R11" s="1503" t="s">
        <v>8</v>
      </c>
      <c r="S11" s="1504">
        <f t="shared" si="0"/>
        <v>100</v>
      </c>
      <c r="T11" s="1503" t="s">
        <v>8</v>
      </c>
      <c r="U11" s="1504">
        <f t="shared" si="1"/>
        <v>100</v>
      </c>
      <c r="V11" s="1503" t="s">
        <v>8</v>
      </c>
      <c r="W11" s="1504">
        <f t="shared" si="2"/>
        <v>100</v>
      </c>
      <c r="X11" s="1505"/>
      <c r="Y11" s="3424"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473"/>
      <c r="Q12" s="1134" t="str">
        <f t="shared" si="6"/>
        <v>土地使用年限（年）</v>
      </c>
      <c r="R12" s="1503" t="s">
        <v>8</v>
      </c>
      <c r="S12" s="1504">
        <f t="shared" si="0"/>
        <v>100</v>
      </c>
      <c r="T12" s="1503" t="s">
        <v>8</v>
      </c>
      <c r="U12" s="1504">
        <f t="shared" si="1"/>
        <v>100</v>
      </c>
      <c r="V12" s="1503" t="s">
        <v>8</v>
      </c>
      <c r="W12" s="1504">
        <f t="shared" si="2"/>
        <v>100</v>
      </c>
      <c r="X12" s="1505"/>
      <c r="Y12" s="3424"/>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73"/>
      <c r="Q13" s="1134" t="str">
        <f t="shared" si="6"/>
        <v>容积率</v>
      </c>
      <c r="R13" s="1503" t="s">
        <v>8</v>
      </c>
      <c r="S13" s="1504" t="e">
        <f t="shared" si="0"/>
        <v>#N/A</v>
      </c>
      <c r="T13" s="1503" t="s">
        <v>8</v>
      </c>
      <c r="U13" s="1504" t="e">
        <f t="shared" si="1"/>
        <v>#N/A</v>
      </c>
      <c r="V13" s="1503" t="s">
        <v>8</v>
      </c>
      <c r="W13" s="1504" t="e">
        <f t="shared" si="2"/>
        <v>#N/A</v>
      </c>
      <c r="X13" s="1505"/>
      <c r="Y13" s="3424"/>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73"/>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73"/>
      <c r="Q15" s="1134">
        <f t="shared" si="6"/>
        <v>111</v>
      </c>
      <c r="R15" s="1503" t="s">
        <v>8</v>
      </c>
      <c r="S15" s="1504">
        <f t="shared" si="0"/>
        <v>100</v>
      </c>
      <c r="T15" s="1503" t="s">
        <v>8</v>
      </c>
      <c r="U15" s="1504">
        <f t="shared" si="1"/>
        <v>100</v>
      </c>
      <c r="V15" s="1503" t="s">
        <v>8</v>
      </c>
      <c r="W15" s="1504">
        <f t="shared" si="2"/>
        <v>100</v>
      </c>
      <c r="X15" s="1505"/>
      <c r="Y15" s="3424"/>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73"/>
      <c r="Q16" s="1134">
        <f t="shared" si="6"/>
        <v>111</v>
      </c>
      <c r="R16" s="1503" t="s">
        <v>8</v>
      </c>
      <c r="S16" s="1504">
        <f t="shared" si="0"/>
        <v>100</v>
      </c>
      <c r="T16" s="1503" t="s">
        <v>8</v>
      </c>
      <c r="U16" s="1504">
        <f t="shared" si="1"/>
        <v>100</v>
      </c>
      <c r="V16" s="1503" t="s">
        <v>8</v>
      </c>
      <c r="W16" s="1504">
        <f t="shared" si="2"/>
        <v>100</v>
      </c>
      <c r="X16" s="1505"/>
      <c r="Y16" s="3424"/>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75" t="s">
        <v>534</v>
      </c>
      <c r="Q17" s="1507" t="str">
        <f t="shared" si="6"/>
        <v>产业集聚程度</v>
      </c>
      <c r="R17" s="1508" t="s">
        <v>8</v>
      </c>
      <c r="S17" s="1509">
        <f t="shared" si="0"/>
        <v>100</v>
      </c>
      <c r="T17" s="1508" t="s">
        <v>8</v>
      </c>
      <c r="U17" s="1509">
        <f t="shared" si="1"/>
        <v>100</v>
      </c>
      <c r="V17" s="1508" t="s">
        <v>8</v>
      </c>
      <c r="W17" s="1509">
        <f t="shared" si="2"/>
        <v>100</v>
      </c>
      <c r="X17" s="1502"/>
      <c r="Y17" s="3475"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476"/>
      <c r="Q18" s="1507"/>
      <c r="R18" s="1508"/>
      <c r="S18" s="1509"/>
      <c r="T18" s="1508"/>
      <c r="U18" s="1509"/>
      <c r="V18" s="1508"/>
      <c r="W18" s="1509"/>
      <c r="X18" s="1502"/>
      <c r="Y18" s="3476"/>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76"/>
      <c r="Q19" s="1507" t="str">
        <f>B19</f>
        <v>交通便捷度</v>
      </c>
      <c r="R19" s="1508" t="s">
        <v>8</v>
      </c>
      <c r="S19" s="1509">
        <f>F19</f>
        <v>100</v>
      </c>
      <c r="T19" s="1508" t="s">
        <v>8</v>
      </c>
      <c r="U19" s="1509">
        <f>H19</f>
        <v>100</v>
      </c>
      <c r="V19" s="1508" t="s">
        <v>8</v>
      </c>
      <c r="W19" s="1509">
        <f>J19</f>
        <v>100</v>
      </c>
      <c r="X19" s="1502"/>
      <c r="Y19" s="3476"/>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476"/>
      <c r="Q20" s="1507"/>
      <c r="R20" s="1508"/>
      <c r="S20" s="1509"/>
      <c r="T20" s="1508"/>
      <c r="U20" s="1509"/>
      <c r="V20" s="1508"/>
      <c r="W20" s="1509"/>
      <c r="X20" s="1502"/>
      <c r="Y20" s="3476"/>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476"/>
      <c r="Q21" s="1507" t="str">
        <f t="shared" ref="Q21:Q35" si="8">B21</f>
        <v>区域土地利用方向</v>
      </c>
      <c r="R21" s="1508" t="s">
        <v>8</v>
      </c>
      <c r="S21" s="1509">
        <f>F21</f>
        <v>100</v>
      </c>
      <c r="T21" s="1508" t="s">
        <v>8</v>
      </c>
      <c r="U21" s="1509">
        <f>H21</f>
        <v>100</v>
      </c>
      <c r="V21" s="1508" t="s">
        <v>8</v>
      </c>
      <c r="W21" s="1509">
        <f>J21</f>
        <v>100</v>
      </c>
      <c r="X21" s="1502"/>
      <c r="Y21" s="3476"/>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476"/>
      <c r="Q22" s="1507"/>
      <c r="R22" s="1508"/>
      <c r="S22" s="1509"/>
      <c r="T22" s="1508"/>
      <c r="U22" s="1509"/>
      <c r="V22" s="1508"/>
      <c r="W22" s="1509"/>
      <c r="X22" s="1502"/>
      <c r="Y22" s="3476"/>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76"/>
      <c r="Q23" s="1507" t="str">
        <f t="shared" si="8"/>
        <v>环境状况</v>
      </c>
      <c r="R23" s="1508" t="s">
        <v>8</v>
      </c>
      <c r="S23" s="1509">
        <f>F23</f>
        <v>100</v>
      </c>
      <c r="T23" s="1508" t="s">
        <v>8</v>
      </c>
      <c r="U23" s="1509">
        <f>H23</f>
        <v>100</v>
      </c>
      <c r="V23" s="1508" t="s">
        <v>8</v>
      </c>
      <c r="W23" s="1509">
        <f>J23</f>
        <v>100</v>
      </c>
      <c r="X23" s="1502"/>
      <c r="Y23" s="3476"/>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476"/>
      <c r="Q24" s="1507"/>
      <c r="R24" s="1508"/>
      <c r="S24" s="1509"/>
      <c r="T24" s="1508"/>
      <c r="U24" s="1509"/>
      <c r="V24" s="1508"/>
      <c r="W24" s="1509"/>
      <c r="X24" s="1502"/>
      <c r="Y24" s="3476"/>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76"/>
      <c r="Q25" s="1134" t="str">
        <f t="shared" si="8"/>
        <v>公共配套设施</v>
      </c>
      <c r="R25" s="1503" t="s">
        <v>8</v>
      </c>
      <c r="S25" s="1504">
        <f>F25</f>
        <v>100</v>
      </c>
      <c r="T25" s="1503" t="s">
        <v>8</v>
      </c>
      <c r="U25" s="1504">
        <f>H25</f>
        <v>100</v>
      </c>
      <c r="V25" s="1503" t="s">
        <v>8</v>
      </c>
      <c r="W25" s="1504">
        <f>J25</f>
        <v>100</v>
      </c>
      <c r="X25" s="1505"/>
      <c r="Y25" s="3476"/>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476"/>
      <c r="Q26" s="1134"/>
      <c r="R26" s="1503"/>
      <c r="S26" s="1504"/>
      <c r="T26" s="1503"/>
      <c r="U26" s="1504"/>
      <c r="V26" s="1503"/>
      <c r="W26" s="1504"/>
      <c r="X26" s="1505"/>
      <c r="Y26" s="3476"/>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76"/>
      <c r="Q27" s="2428" t="str">
        <f t="shared" ref="Q27" si="9">B27</f>
        <v>基础设施水平</v>
      </c>
      <c r="R27" s="1503" t="s">
        <v>8</v>
      </c>
      <c r="S27" s="1504">
        <f>F27</f>
        <v>100</v>
      </c>
      <c r="T27" s="1503" t="s">
        <v>8</v>
      </c>
      <c r="U27" s="1504">
        <f>H27</f>
        <v>100</v>
      </c>
      <c r="V27" s="1503" t="s">
        <v>8</v>
      </c>
      <c r="W27" s="1504">
        <f>J27</f>
        <v>100</v>
      </c>
      <c r="X27" s="1505"/>
      <c r="Y27" s="3476"/>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476"/>
      <c r="Q28" s="2428"/>
      <c r="R28" s="1503"/>
      <c r="S28" s="1504"/>
      <c r="T28" s="1503"/>
      <c r="U28" s="1504"/>
      <c r="V28" s="1503"/>
      <c r="W28" s="1504"/>
      <c r="X28" s="1505"/>
      <c r="Y28" s="3476"/>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76"/>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76"/>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76"/>
      <c r="Q30" s="1507" t="str">
        <f t="shared" si="8"/>
        <v>毗邻道路的类型与等级</v>
      </c>
      <c r="R30" s="1508" t="s">
        <v>8</v>
      </c>
      <c r="S30" s="1509">
        <f t="shared" si="10"/>
        <v>100</v>
      </c>
      <c r="T30" s="1508" t="s">
        <v>8</v>
      </c>
      <c r="U30" s="1509">
        <f t="shared" si="11"/>
        <v>100</v>
      </c>
      <c r="V30" s="1508" t="s">
        <v>8</v>
      </c>
      <c r="W30" s="1509">
        <f t="shared" si="12"/>
        <v>100</v>
      </c>
      <c r="X30" s="1502"/>
      <c r="Y30" s="3476"/>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476"/>
      <c r="Q31" s="1507"/>
      <c r="R31" s="1508"/>
      <c r="S31" s="1509"/>
      <c r="T31" s="1508"/>
      <c r="U31" s="1509"/>
      <c r="V31" s="1508"/>
      <c r="W31" s="1509"/>
      <c r="X31" s="1502"/>
      <c r="Y31" s="3476"/>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76"/>
      <c r="Q32" s="1507" t="str">
        <f t="shared" si="8"/>
        <v>土地级别</v>
      </c>
      <c r="R32" s="1508" t="s">
        <v>8</v>
      </c>
      <c r="S32" s="1509">
        <f t="shared" si="10"/>
        <v>100</v>
      </c>
      <c r="T32" s="1508" t="s">
        <v>8</v>
      </c>
      <c r="U32" s="1509">
        <f t="shared" si="11"/>
        <v>100</v>
      </c>
      <c r="V32" s="1508" t="s">
        <v>8</v>
      </c>
      <c r="W32" s="1509">
        <f t="shared" si="12"/>
        <v>100</v>
      </c>
      <c r="X32" s="1502"/>
      <c r="Y32" s="3476"/>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76"/>
      <c r="Q33" s="1507">
        <f t="shared" si="8"/>
        <v>111</v>
      </c>
      <c r="R33" s="1508" t="s">
        <v>8</v>
      </c>
      <c r="S33" s="1509">
        <f t="shared" si="10"/>
        <v>100</v>
      </c>
      <c r="T33" s="1508" t="s">
        <v>8</v>
      </c>
      <c r="U33" s="1509">
        <f t="shared" si="11"/>
        <v>100</v>
      </c>
      <c r="V33" s="1508" t="s">
        <v>8</v>
      </c>
      <c r="W33" s="1509">
        <f t="shared" si="12"/>
        <v>100</v>
      </c>
      <c r="X33" s="1502"/>
      <c r="Y33" s="3476"/>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77" t="s">
        <v>544</v>
      </c>
      <c r="Q34" s="1507">
        <f t="shared" si="8"/>
        <v>111</v>
      </c>
      <c r="R34" s="1508" t="s">
        <v>8</v>
      </c>
      <c r="S34" s="1509">
        <f t="shared" si="10"/>
        <v>100</v>
      </c>
      <c r="T34" s="1508" t="s">
        <v>8</v>
      </c>
      <c r="U34" s="1509">
        <f t="shared" si="11"/>
        <v>100</v>
      </c>
      <c r="V34" s="1508" t="s">
        <v>8</v>
      </c>
      <c r="W34" s="1509">
        <f t="shared" si="12"/>
        <v>100</v>
      </c>
      <c r="X34" s="1502"/>
      <c r="Y34" s="3478"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78"/>
      <c r="Q35" s="1507">
        <f t="shared" si="8"/>
        <v>111</v>
      </c>
      <c r="R35" s="1512" t="s">
        <v>8</v>
      </c>
      <c r="S35" s="1513">
        <f t="shared" si="10"/>
        <v>100</v>
      </c>
      <c r="T35" s="1512" t="s">
        <v>8</v>
      </c>
      <c r="U35" s="1513">
        <f t="shared" si="11"/>
        <v>100</v>
      </c>
      <c r="V35" s="1512" t="s">
        <v>8</v>
      </c>
      <c r="W35" s="1513">
        <f t="shared" si="12"/>
        <v>100</v>
      </c>
      <c r="X35" s="1514"/>
      <c r="Y35" s="3478"/>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78"/>
      <c r="Q36" s="1507" t="str">
        <f>B36</f>
        <v>宗地面积</v>
      </c>
      <c r="R36" s="1508" t="s">
        <v>8</v>
      </c>
      <c r="S36" s="1509" t="e">
        <f t="shared" si="10"/>
        <v>#N/A</v>
      </c>
      <c r="T36" s="1508" t="s">
        <v>8</v>
      </c>
      <c r="U36" s="1509" t="e">
        <f t="shared" si="11"/>
        <v>#N/A</v>
      </c>
      <c r="V36" s="1508" t="s">
        <v>8</v>
      </c>
      <c r="W36" s="1509" t="e">
        <f t="shared" si="12"/>
        <v>#N/A</v>
      </c>
      <c r="X36" s="1502"/>
      <c r="Y36" s="3478"/>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78"/>
      <c r="Q37" s="1507" t="str">
        <f t="shared" ref="Q37:Q42" si="14">B37</f>
        <v>宗地形状</v>
      </c>
      <c r="R37" s="1508" t="s">
        <v>8</v>
      </c>
      <c r="S37" s="1509">
        <f t="shared" si="10"/>
        <v>100</v>
      </c>
      <c r="T37" s="1508" t="s">
        <v>8</v>
      </c>
      <c r="U37" s="1509">
        <f t="shared" si="11"/>
        <v>100</v>
      </c>
      <c r="V37" s="1508" t="s">
        <v>8</v>
      </c>
      <c r="W37" s="1509">
        <f t="shared" si="12"/>
        <v>100</v>
      </c>
      <c r="X37" s="1502"/>
      <c r="Y37" s="3478"/>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78"/>
      <c r="Q38" s="1507" t="str">
        <f t="shared" si="14"/>
        <v>宗地开发程度</v>
      </c>
      <c r="R38" s="1503" t="s">
        <v>8</v>
      </c>
      <c r="S38" s="1504">
        <f t="shared" si="10"/>
        <v>100</v>
      </c>
      <c r="T38" s="1503" t="s">
        <v>8</v>
      </c>
      <c r="U38" s="1504">
        <f t="shared" si="11"/>
        <v>100</v>
      </c>
      <c r="V38" s="1503" t="s">
        <v>8</v>
      </c>
      <c r="W38" s="1504">
        <f t="shared" si="12"/>
        <v>100</v>
      </c>
      <c r="X38" s="1505"/>
      <c r="Y38" s="3478"/>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8" t="s">
        <v>595</v>
      </c>
      <c r="Q39" s="1507" t="str">
        <f t="shared" si="14"/>
        <v>工程地质条件</v>
      </c>
      <c r="R39" s="1508" t="s">
        <v>8</v>
      </c>
      <c r="S39" s="1509">
        <f t="shared" si="10"/>
        <v>100</v>
      </c>
      <c r="T39" s="1508" t="s">
        <v>8</v>
      </c>
      <c r="U39" s="1509">
        <f t="shared" si="11"/>
        <v>100</v>
      </c>
      <c r="V39" s="1508" t="s">
        <v>8</v>
      </c>
      <c r="W39" s="1509">
        <f t="shared" si="12"/>
        <v>100</v>
      </c>
      <c r="X39" s="1502"/>
      <c r="Y39" s="3478"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78"/>
      <c r="Q40" s="1507">
        <f t="shared" si="14"/>
        <v>111</v>
      </c>
      <c r="R40" s="1508" t="s">
        <v>8</v>
      </c>
      <c r="S40" s="1509">
        <f t="shared" si="10"/>
        <v>100</v>
      </c>
      <c r="T40" s="1508" t="s">
        <v>8</v>
      </c>
      <c r="U40" s="1509">
        <f t="shared" si="11"/>
        <v>100</v>
      </c>
      <c r="V40" s="1508" t="s">
        <v>8</v>
      </c>
      <c r="W40" s="1509">
        <f t="shared" si="12"/>
        <v>100</v>
      </c>
      <c r="X40" s="1502"/>
      <c r="Y40" s="3478"/>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78"/>
      <c r="Q41" s="1507">
        <f t="shared" si="14"/>
        <v>111</v>
      </c>
      <c r="R41" s="1508" t="s">
        <v>8</v>
      </c>
      <c r="S41" s="1509">
        <f t="shared" si="10"/>
        <v>100</v>
      </c>
      <c r="T41" s="1508" t="s">
        <v>8</v>
      </c>
      <c r="U41" s="1509">
        <f t="shared" si="11"/>
        <v>100</v>
      </c>
      <c r="V41" s="1508" t="s">
        <v>8</v>
      </c>
      <c r="W41" s="1509">
        <f t="shared" si="12"/>
        <v>100</v>
      </c>
      <c r="X41" s="1502"/>
      <c r="Y41" s="3478"/>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78"/>
      <c r="Q42" s="1507">
        <f t="shared" si="14"/>
        <v>111</v>
      </c>
      <c r="R42" s="1512" t="s">
        <v>8</v>
      </c>
      <c r="S42" s="1513">
        <f t="shared" si="10"/>
        <v>100</v>
      </c>
      <c r="T42" s="1512" t="s">
        <v>8</v>
      </c>
      <c r="U42" s="1513">
        <f t="shared" si="11"/>
        <v>100</v>
      </c>
      <c r="V42" s="1512" t="s">
        <v>8</v>
      </c>
      <c r="W42" s="1513">
        <f t="shared" si="12"/>
        <v>100</v>
      </c>
      <c r="X42" s="1514"/>
      <c r="Y42" s="3478"/>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473" t="str">
        <f>A43</f>
        <v>成交单价</v>
      </c>
      <c r="Q43" s="3473"/>
      <c r="R43" s="3487">
        <f>E43</f>
        <v>0</v>
      </c>
      <c r="S43" s="3487"/>
      <c r="T43" s="3487">
        <f>G43</f>
        <v>0</v>
      </c>
      <c r="U43" s="3487"/>
      <c r="V43" s="3487">
        <f>I43</f>
        <v>0</v>
      </c>
      <c r="W43" s="3487"/>
      <c r="X43" s="1497"/>
      <c r="Y43" s="1516"/>
      <c r="Z43" s="1497"/>
      <c r="AA43" s="1497"/>
      <c r="AB43" s="1497"/>
      <c r="AC43" s="1497"/>
    </row>
    <row r="44" spans="1:29" ht="15.75" thickBot="1">
      <c r="A44" s="609" t="s">
        <v>2674</v>
      </c>
      <c r="B44" s="610"/>
      <c r="C44" s="611" t="e">
        <f>R45</f>
        <v>#DIV/0!</v>
      </c>
      <c r="D44" s="3014" t="s">
        <v>2968</v>
      </c>
      <c r="E44" s="611" t="e">
        <f>R44</f>
        <v>#DIV/0!</v>
      </c>
      <c r="F44" s="3015"/>
      <c r="G44" s="612" t="e">
        <f>T44</f>
        <v>#DIV/0!</v>
      </c>
      <c r="H44" s="3015"/>
      <c r="I44" s="611" t="e">
        <f>V44</f>
        <v>#DIV/0!</v>
      </c>
      <c r="J44" s="3015"/>
      <c r="K44" s="3016">
        <f>F44+H44+J44</f>
        <v>0</v>
      </c>
      <c r="L44" s="2026"/>
      <c r="M44" s="2016"/>
      <c r="N44" s="2016"/>
      <c r="O44" s="2027"/>
      <c r="P44" s="3473" t="str">
        <f>A44</f>
        <v>比较价格（元/平方米）</v>
      </c>
      <c r="Q44" s="3473"/>
      <c r="R44" s="3497" t="e">
        <f>ROUND(PRODUCT(R43,AA9:AA42),0)</f>
        <v>#DIV/0!</v>
      </c>
      <c r="S44" s="3497"/>
      <c r="T44" s="3497" t="e">
        <f>ROUND(PRODUCT(T43,AB9:AB42),0)</f>
        <v>#DIV/0!</v>
      </c>
      <c r="U44" s="3497"/>
      <c r="V44" s="3497" t="e">
        <f>ROUND(PRODUCT(V43,AC9:AC42),0)</f>
        <v>#DIV/0!</v>
      </c>
      <c r="W44" s="3497"/>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494" t="str">
        <f>A45</f>
        <v>估价对象XX用房的比较价格（楼面单价，元/平方米）</v>
      </c>
      <c r="Q45" s="3495"/>
      <c r="R45" s="3503" t="e">
        <f>ROUND(IF(D44="简单平均",AVERAGE(R44:W44),R44*F44+T44*H44+V44*J44),0)</f>
        <v>#DIV/0!</v>
      </c>
      <c r="S45" s="3503"/>
      <c r="T45" s="3503"/>
      <c r="U45" s="3503"/>
      <c r="V45" s="3503"/>
      <c r="W45" s="3503"/>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498" t="s">
        <v>2272</v>
      </c>
      <c r="H52" s="3499"/>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25000</v>
      </c>
      <c r="F53" s="1864" t="e">
        <f t="shared" ref="F53:F62" si="15">ROUND(B53*E53/10000,0)</f>
        <v>#DIV/0!</v>
      </c>
      <c r="G53" s="3500"/>
      <c r="H53" s="3501"/>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0.6</v>
      </c>
      <c r="D54" s="2109">
        <v>0.25</v>
      </c>
      <c r="E54" s="631"/>
      <c r="F54" s="1864" t="e">
        <f t="shared" si="15"/>
        <v>#DIV/0!</v>
      </c>
      <c r="G54" s="3502" t="s">
        <v>2273</v>
      </c>
      <c r="H54" s="1868" t="str">
        <f>项目基本情况!B43</f>
        <v>九级</v>
      </c>
      <c r="I54" s="1867">
        <f>SUMIF(修正!$A$45:$A$56,H54,修正!B45:B56)</f>
        <v>0.6</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0.3</v>
      </c>
      <c r="D55" s="2109">
        <v>0.25</v>
      </c>
      <c r="E55" s="631"/>
      <c r="F55" s="1864" t="e">
        <f t="shared" si="15"/>
        <v>#DIV/0!</v>
      </c>
      <c r="G55" s="3502"/>
      <c r="H55" s="1869" t="str">
        <f>项目基本情况!B43</f>
        <v>九级</v>
      </c>
      <c r="I55" s="1867">
        <f>SUMIF(修正!$A$45:$A$56,H55,修正!C45:C56)</f>
        <v>0.3</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0.2</v>
      </c>
      <c r="D56" s="2109">
        <v>0.25</v>
      </c>
      <c r="E56" s="631"/>
      <c r="F56" s="1864" t="e">
        <f t="shared" si="15"/>
        <v>#DIV/0!</v>
      </c>
      <c r="G56" s="3502"/>
      <c r="H56" s="1869" t="str">
        <f>项目基本情况!B43</f>
        <v>九级</v>
      </c>
      <c r="I56" s="1867">
        <f>SUMIF(修正!$A$45:$A$56,H56,修正!D45:D56)</f>
        <v>0.2</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0.2</v>
      </c>
      <c r="D57" s="2109">
        <v>0.25</v>
      </c>
      <c r="E57" s="631"/>
      <c r="F57" s="1864" t="e">
        <f t="shared" si="15"/>
        <v>#DIV/0!</v>
      </c>
      <c r="G57" s="3502"/>
      <c r="H57" s="1869" t="str">
        <f>项目基本情况!B43</f>
        <v>九级</v>
      </c>
      <c r="I57" s="1867">
        <f>SUMIF(修正!$A$45:$A$56,H57,修正!E45:E56)</f>
        <v>0.2</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九级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九级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0.15</v>
      </c>
      <c r="D61" s="2109">
        <v>0.25</v>
      </c>
      <c r="E61" s="633">
        <f>'数据-汇总表'!E14</f>
        <v>0</v>
      </c>
      <c r="F61" s="1864" t="e">
        <f t="shared" si="15"/>
        <v>#DIV/0!</v>
      </c>
      <c r="G61" s="1870" t="s">
        <v>2273</v>
      </c>
      <c r="H61" s="1869" t="str">
        <f>项目基本情况!B43</f>
        <v>九级</v>
      </c>
      <c r="I61" s="1867">
        <f>SUMIF(修正!$A$45:$A$56,H61,修正!H45:H56)</f>
        <v>0.15</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九级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8928.57</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"北京市平均增长率"&amp;TEXT('基准地价-商业'!P24,"0.00%")</f>
        <v>北京市平均增长率1.28%</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4" priority="18" stopIfTrue="1" operator="containsText" text="超过">
      <formula>NOT(ISERROR(SEARCH("超过",F48)))</formula>
    </cfRule>
  </conditionalFormatting>
  <conditionalFormatting sqref="J50">
    <cfRule type="containsText" dxfId="153" priority="17" stopIfTrue="1" operator="containsText" text="超过">
      <formula>NOT(ISERROR(SEARCH("超过",J50)))</formula>
    </cfRule>
  </conditionalFormatting>
  <conditionalFormatting sqref="H50">
    <cfRule type="containsText" dxfId="152" priority="16" stopIfTrue="1" operator="containsText" text="超过">
      <formula>NOT(ISERROR(SEARCH("超过",H50)))</formula>
    </cfRule>
  </conditionalFormatting>
  <conditionalFormatting sqref="F50">
    <cfRule type="containsText" dxfId="151" priority="15" stopIfTrue="1" operator="containsText" text="超过">
      <formula>NOT(ISERROR(SEARCH("超过",F50)))</formula>
    </cfRule>
  </conditionalFormatting>
  <conditionalFormatting sqref="F49 H49 J49">
    <cfRule type="containsText" dxfId="150" priority="14" stopIfTrue="1" operator="containsText" text="超过">
      <formula>NOT(ISERROR(SEARCH("超过",F49)))</formula>
    </cfRule>
  </conditionalFormatting>
  <conditionalFormatting sqref="E48">
    <cfRule type="expression" dxfId="149" priority="13" stopIfTrue="1">
      <formula>$F$48="超过30%"</formula>
    </cfRule>
  </conditionalFormatting>
  <conditionalFormatting sqref="G50">
    <cfRule type="expression" dxfId="148" priority="12" stopIfTrue="1">
      <formula>$H$50="超过30%"</formula>
    </cfRule>
  </conditionalFormatting>
  <conditionalFormatting sqref="E50">
    <cfRule type="expression" dxfId="147" priority="10" stopIfTrue="1">
      <formula>$F$50="超过30%"</formula>
    </cfRule>
  </conditionalFormatting>
  <conditionalFormatting sqref="G48">
    <cfRule type="expression" dxfId="146" priority="9" stopIfTrue="1">
      <formula>$H$48="超过30%"</formula>
    </cfRule>
  </conditionalFormatting>
  <conditionalFormatting sqref="G49">
    <cfRule type="expression" dxfId="145" priority="8" stopIfTrue="1">
      <formula>$H$49="超过20%"</formula>
    </cfRule>
  </conditionalFormatting>
  <conditionalFormatting sqref="I48">
    <cfRule type="expression" dxfId="144" priority="7" stopIfTrue="1">
      <formula>$J$48="超过30%"</formula>
    </cfRule>
  </conditionalFormatting>
  <conditionalFormatting sqref="I49">
    <cfRule type="expression" dxfId="143" priority="6" stopIfTrue="1">
      <formula>$J$49="超过20%"</formula>
    </cfRule>
  </conditionalFormatting>
  <conditionalFormatting sqref="I50">
    <cfRule type="expression" dxfId="142" priority="5" stopIfTrue="1">
      <formula>$J$50="超过30%"</formula>
    </cfRule>
  </conditionalFormatting>
  <conditionalFormatting sqref="E49">
    <cfRule type="expression" dxfId="141" priority="51" stopIfTrue="1">
      <formula>#REF!+$F$49="超过20%"</formula>
    </cfRule>
  </conditionalFormatting>
  <conditionalFormatting sqref="F44">
    <cfRule type="expression" dxfId="140" priority="4">
      <formula>$D$44="简单平均"</formula>
    </cfRule>
  </conditionalFormatting>
  <conditionalFormatting sqref="H44">
    <cfRule type="expression" dxfId="139" priority="3">
      <formula>$D$44="简单平均"</formula>
    </cfRule>
  </conditionalFormatting>
  <conditionalFormatting sqref="J44">
    <cfRule type="expression" dxfId="138" priority="2">
      <formula>$D$44="简单平均"</formula>
    </cfRule>
  </conditionalFormatting>
  <conditionalFormatting sqref="F9:F42 H9:H42 J9:J42">
    <cfRule type="cellIs" dxfId="13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zoomScale="85" zoomScaleNormal="60" zoomScaleSheetLayoutView="85" workbookViewId="0">
      <selection activeCell="D1" sqref="D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 ca="1">SUM(D29:D30,D33:D39)</f>
        <v>4987.6955833333332</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2206</v>
      </c>
      <c r="C2" s="1356" t="s">
        <v>912</v>
      </c>
      <c r="D2" s="1357" t="s">
        <v>913</v>
      </c>
      <c r="E2" s="1358" t="s">
        <v>3004</v>
      </c>
      <c r="F2" s="1357" t="s">
        <v>915</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10735</v>
      </c>
      <c r="U2" s="2643">
        <f>12500/12</f>
        <v>1041.6666666666667</v>
      </c>
      <c r="V2" s="2654">
        <f ca="1">ROUND(T2*U2/10000,0)</f>
        <v>1118</v>
      </c>
      <c r="W2" s="2070"/>
      <c r="X2" s="2070"/>
      <c r="Y2" s="2070"/>
      <c r="Z2" s="2070"/>
      <c r="AA2" s="2070"/>
      <c r="AB2" s="2070"/>
      <c r="AC2" s="2071"/>
    </row>
    <row r="3" spans="1:39" ht="15.75">
      <c r="A3" s="1360" t="s">
        <v>1678</v>
      </c>
      <c r="B3" s="1025">
        <f ca="1">ROUND(B2*10000/D1,0)</f>
        <v>4423</v>
      </c>
      <c r="C3" s="1356" t="s">
        <v>918</v>
      </c>
      <c r="D3" s="1357" t="s">
        <v>919</v>
      </c>
      <c r="E3" s="1361" t="s">
        <v>3016</v>
      </c>
      <c r="F3" s="1362" t="s">
        <v>3013</v>
      </c>
      <c r="G3" s="1026">
        <f>IF(F3="宗地容积率",'数据-汇总表'!I4,IF(F3="估价对象容积率",'数据-汇总表'!I6,'数据-汇总表'!I7))</f>
        <v>2</v>
      </c>
      <c r="H3" s="1363" t="s">
        <v>920</v>
      </c>
      <c r="I3" s="1027">
        <v>10</v>
      </c>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7075</v>
      </c>
      <c r="U3" s="2643">
        <f t="shared" ref="U3:U13" si="1">12500/12</f>
        <v>1041.6666666666667</v>
      </c>
      <c r="V3" s="2654">
        <f t="shared" ref="V3:V16" ca="1" si="2">ROUND(T3*U3/10000,0)</f>
        <v>737</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5568</v>
      </c>
      <c r="U4" s="2643">
        <f t="shared" si="1"/>
        <v>1041.6666666666667</v>
      </c>
      <c r="V4" s="2654">
        <f t="shared" ca="1" si="2"/>
        <v>580</v>
      </c>
      <c r="W4" s="2070"/>
      <c r="X4" s="2070"/>
      <c r="Y4" s="2070"/>
      <c r="Z4" s="2070"/>
      <c r="AA4" s="2070"/>
      <c r="AB4" s="2070"/>
      <c r="AC4" s="2071"/>
    </row>
    <row r="5" spans="1:39" s="1370" customFormat="1" ht="15.75" thickBot="1">
      <c r="A5" s="1567" t="s">
        <v>1814</v>
      </c>
      <c r="B5" s="1364" t="s">
        <v>922</v>
      </c>
      <c r="C5" s="1028">
        <f>ROUND(IF(E2="商业",C6*C7+C16,(IF(E2="住宅",C6*C12+C16,C6+C16))),0)</f>
        <v>4010</v>
      </c>
      <c r="D5" s="2793">
        <f>ROUND(C6+C16,0)</f>
        <v>4010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4160</v>
      </c>
      <c r="U5" s="2643">
        <f t="shared" si="1"/>
        <v>1041.6666666666667</v>
      </c>
      <c r="V5" s="2654">
        <f t="shared" ca="1" si="2"/>
        <v>433</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SUMIF(L1:L12,'基准地价-商业'!G2,M1:M12)</f>
        <v>4010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3128</v>
      </c>
      <c r="U6" s="2643">
        <f t="shared" si="1"/>
        <v>1041.6666666666667</v>
      </c>
      <c r="V6" s="2654">
        <f t="shared" ca="1" si="2"/>
        <v>326</v>
      </c>
      <c r="W6" s="2070"/>
      <c r="X6" s="2070"/>
      <c r="Y6" s="2070"/>
      <c r="Z6" s="2070"/>
      <c r="AA6" s="2070"/>
      <c r="AB6" s="2070"/>
      <c r="AC6" s="2072"/>
      <c r="AD6" s="1368"/>
      <c r="AE6" s="1368"/>
      <c r="AF6" s="1368"/>
      <c r="AG6" s="1368"/>
      <c r="AH6" s="1368"/>
      <c r="AI6" s="1368"/>
      <c r="AJ6" s="1369"/>
    </row>
    <row r="7" spans="1:39" ht="24">
      <c r="A7" s="3511" t="str">
        <f>IF(E2="商业",IF(C8="不临58条商业街","",2),"")</f>
        <v/>
      </c>
      <c r="B7" s="1376" t="s">
        <v>923</v>
      </c>
      <c r="C7" s="1030">
        <f>IF(C8="不临58条商业街",1,ROUND(1+(1.6*E8+1.2*E9+0.8*E10+0.4*E11)*C9,4))</f>
        <v>1</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2501</v>
      </c>
      <c r="U7" s="2643">
        <f t="shared" si="1"/>
        <v>1041.6666666666667</v>
      </c>
      <c r="V7" s="2654">
        <f t="shared" ca="1" si="2"/>
        <v>261</v>
      </c>
      <c r="W7" s="2652" t="s">
        <v>2745</v>
      </c>
      <c r="X7" s="2644" t="str">
        <f>G2</f>
        <v>九级</v>
      </c>
      <c r="Y7" s="2644" t="s">
        <v>2746</v>
      </c>
      <c r="Z7" s="2645">
        <f>G3</f>
        <v>2</v>
      </c>
      <c r="AA7" s="2073"/>
      <c r="AB7" s="2073"/>
      <c r="AC7" s="2074"/>
      <c r="AD7" s="2646"/>
      <c r="AE7" s="2646"/>
      <c r="AF7" s="2646"/>
      <c r="AG7" s="2646"/>
      <c r="AH7" s="2646"/>
      <c r="AI7" s="2646"/>
      <c r="AJ7" s="2647"/>
    </row>
    <row r="8" spans="1:39" ht="25.5">
      <c r="A8" s="3512"/>
      <c r="B8" s="1363" t="s">
        <v>925</v>
      </c>
      <c r="C8" s="1469" t="s">
        <v>3014</v>
      </c>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f>ROUND((-0.214*7^2-21.991*7+4665)*10^-4,4)</f>
        <v>0.4501</v>
      </c>
      <c r="T8" s="2654">
        <f t="shared" ca="1" si="0"/>
        <v>2488</v>
      </c>
      <c r="U8" s="2643">
        <f t="shared" si="1"/>
        <v>1041.6666666666667</v>
      </c>
      <c r="V8" s="2654">
        <f t="shared" ca="1" si="2"/>
        <v>259</v>
      </c>
      <c r="W8" s="3522" t="s">
        <v>2763</v>
      </c>
      <c r="X8" s="3523"/>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12"/>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4010</v>
      </c>
      <c r="N9" s="1801">
        <f>SUMPRODUCT((因素修正幅度!B245:B289=I2)*(因素修正幅度!C3:F3=E2)*(因素修正幅度!C245:F289))</f>
        <v>0.14799999999999999</v>
      </c>
      <c r="O9" s="3235"/>
      <c r="P9" s="2070"/>
      <c r="Q9" s="2070"/>
      <c r="R9" s="2654">
        <v>8</v>
      </c>
      <c r="S9" s="2643">
        <f>ROUND((-0.214*8^2-21.991*8+4665)*10^-4,4)</f>
        <v>0.44750000000000001</v>
      </c>
      <c r="T9" s="2654">
        <f t="shared" ca="1" si="0"/>
        <v>2474</v>
      </c>
      <c r="U9" s="2643">
        <f t="shared" si="1"/>
        <v>1041.6666666666667</v>
      </c>
      <c r="V9" s="2654">
        <f t="shared" ca="1" si="2"/>
        <v>258</v>
      </c>
      <c r="W9" s="3521" t="s">
        <v>2759</v>
      </c>
      <c r="X9" s="2648" t="s">
        <v>2760</v>
      </c>
      <c r="Y9" s="2786"/>
      <c r="Z9" s="2649">
        <f t="shared" ref="Z9:AJ9" si="3">$Y$9</f>
        <v>0</v>
      </c>
      <c r="AA9" s="2649">
        <f t="shared" si="3"/>
        <v>0</v>
      </c>
      <c r="AB9" s="2649">
        <f t="shared" si="3"/>
        <v>0</v>
      </c>
      <c r="AC9" s="2649">
        <f t="shared" si="3"/>
        <v>0</v>
      </c>
      <c r="AD9" s="2649">
        <f t="shared" si="3"/>
        <v>0</v>
      </c>
      <c r="AE9" s="2649">
        <f t="shared" si="3"/>
        <v>0</v>
      </c>
      <c r="AF9" s="2649">
        <f t="shared" si="3"/>
        <v>0</v>
      </c>
      <c r="AG9" s="2649">
        <f t="shared" si="3"/>
        <v>0</v>
      </c>
      <c r="AH9" s="2649">
        <f t="shared" si="3"/>
        <v>0</v>
      </c>
      <c r="AI9" s="2649">
        <f t="shared" si="3"/>
        <v>0</v>
      </c>
      <c r="AJ9" s="2649">
        <f t="shared" si="3"/>
        <v>0</v>
      </c>
    </row>
    <row r="10" spans="1:39" ht="15">
      <c r="A10" s="3512"/>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f>ROUND((-0.214*9^2-21.991*9+4665)*10^-4,4)</f>
        <v>0.44500000000000001</v>
      </c>
      <c r="T10" s="2654">
        <f t="shared" ca="1" si="0"/>
        <v>2460</v>
      </c>
      <c r="U10" s="2643">
        <f t="shared" si="1"/>
        <v>1041.6666666666667</v>
      </c>
      <c r="V10" s="2654">
        <f t="shared" ca="1" si="2"/>
        <v>256</v>
      </c>
      <c r="W10" s="352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12"/>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f>ROUND((-0.214*10^2-21.991*10+4665)*10^-4,4)</f>
        <v>0.44240000000000002</v>
      </c>
      <c r="T11" s="2654">
        <f t="shared" ca="1" si="0"/>
        <v>2445</v>
      </c>
      <c r="U11" s="2643">
        <f t="shared" si="1"/>
        <v>1041.6666666666667</v>
      </c>
      <c r="V11" s="2654">
        <f t="shared" ca="1" si="2"/>
        <v>255</v>
      </c>
      <c r="W11" s="3521" t="s">
        <v>2761</v>
      </c>
      <c r="X11" s="1035" t="s">
        <v>2746</v>
      </c>
      <c r="Y11" s="1582">
        <f>$G$3</f>
        <v>2</v>
      </c>
      <c r="Z11" s="1582">
        <f t="shared" ref="Z11:AJ11" si="4">$G$3</f>
        <v>2</v>
      </c>
      <c r="AA11" s="1582">
        <f t="shared" si="4"/>
        <v>2</v>
      </c>
      <c r="AB11" s="1582">
        <f t="shared" si="4"/>
        <v>2</v>
      </c>
      <c r="AC11" s="1582">
        <f t="shared" si="4"/>
        <v>2</v>
      </c>
      <c r="AD11" s="1582">
        <f t="shared" si="4"/>
        <v>2</v>
      </c>
      <c r="AE11" s="1582">
        <f t="shared" si="4"/>
        <v>2</v>
      </c>
      <c r="AF11" s="1582">
        <f t="shared" si="4"/>
        <v>2</v>
      </c>
      <c r="AG11" s="1582">
        <f t="shared" si="4"/>
        <v>2</v>
      </c>
      <c r="AH11" s="1582">
        <f t="shared" si="4"/>
        <v>2</v>
      </c>
      <c r="AI11" s="1582">
        <f t="shared" si="4"/>
        <v>2</v>
      </c>
      <c r="AJ11" s="1582">
        <f t="shared" si="4"/>
        <v>2</v>
      </c>
    </row>
    <row r="12" spans="1:39" ht="25.5" thickBot="1">
      <c r="A12" s="3511"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f>ROUND((-0.214*11^2-21.991*11+4665)*10^-4,4)</f>
        <v>0.43969999999999998</v>
      </c>
      <c r="T12" s="2654">
        <f t="shared" ca="1" si="0"/>
        <v>2431</v>
      </c>
      <c r="U12" s="2643">
        <f t="shared" si="1"/>
        <v>1041.6666666666667</v>
      </c>
      <c r="V12" s="2654">
        <f t="shared" ca="1" si="2"/>
        <v>253</v>
      </c>
      <c r="W12" s="3521"/>
      <c r="X12" s="2651" t="s">
        <v>2762</v>
      </c>
      <c r="Y12" s="2649">
        <f t="shared" ref="Y12:AJ12" si="5">Y9</f>
        <v>0</v>
      </c>
      <c r="Z12" s="2649">
        <f t="shared" si="5"/>
        <v>0</v>
      </c>
      <c r="AA12" s="2649">
        <f t="shared" si="5"/>
        <v>0</v>
      </c>
      <c r="AB12" s="2649">
        <f t="shared" si="5"/>
        <v>0</v>
      </c>
      <c r="AC12" s="2649">
        <f t="shared" si="5"/>
        <v>0</v>
      </c>
      <c r="AD12" s="2649">
        <f t="shared" si="5"/>
        <v>0</v>
      </c>
      <c r="AE12" s="2649">
        <f t="shared" si="5"/>
        <v>0</v>
      </c>
      <c r="AF12" s="2649">
        <f t="shared" si="5"/>
        <v>0</v>
      </c>
      <c r="AG12" s="2649">
        <f t="shared" si="5"/>
        <v>0</v>
      </c>
      <c r="AH12" s="2649">
        <f t="shared" si="5"/>
        <v>0</v>
      </c>
      <c r="AI12" s="2649">
        <f t="shared" si="5"/>
        <v>0</v>
      </c>
      <c r="AJ12" s="2649">
        <f t="shared" si="5"/>
        <v>0</v>
      </c>
    </row>
    <row r="13" spans="1:39" ht="24">
      <c r="A13" s="3513"/>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f>ROUND((-0.214*12^2-21.991*12+4665)*10^-4,4)</f>
        <v>0.437</v>
      </c>
      <c r="T13" s="2654">
        <f t="shared" ca="1" si="0"/>
        <v>2416</v>
      </c>
      <c r="U13" s="2643">
        <f t="shared" si="1"/>
        <v>1041.6666666666667</v>
      </c>
      <c r="V13" s="2654">
        <f t="shared" ca="1" si="2"/>
        <v>252</v>
      </c>
      <c r="W13" s="3521"/>
      <c r="X13" s="2651"/>
      <c r="Y13" s="2650">
        <f>(-0.163*(Y12^2)-0.59*Y12+7617)*(10^(-4))/Y11</f>
        <v>0.38085000000000002</v>
      </c>
      <c r="Z13" s="2650">
        <f t="shared" ref="Z13:AJ13" si="6">(-0.163*(Z12^2)-0.59*Z12+7617)*(10^(-4))/Z11</f>
        <v>0.38085000000000002</v>
      </c>
      <c r="AA13" s="2650">
        <f t="shared" si="6"/>
        <v>0.38085000000000002</v>
      </c>
      <c r="AB13" s="2650">
        <f t="shared" si="6"/>
        <v>0.38085000000000002</v>
      </c>
      <c r="AC13" s="2650">
        <f t="shared" si="6"/>
        <v>0.38085000000000002</v>
      </c>
      <c r="AD13" s="2650">
        <f t="shared" si="6"/>
        <v>0.38085000000000002</v>
      </c>
      <c r="AE13" s="2650">
        <f t="shared" si="6"/>
        <v>0.38085000000000002</v>
      </c>
      <c r="AF13" s="2650">
        <f t="shared" si="6"/>
        <v>0.38085000000000002</v>
      </c>
      <c r="AG13" s="2650">
        <f t="shared" si="6"/>
        <v>0.38085000000000002</v>
      </c>
      <c r="AH13" s="2650">
        <f t="shared" si="6"/>
        <v>0.38085000000000002</v>
      </c>
      <c r="AI13" s="2650">
        <f t="shared" si="6"/>
        <v>0.38085000000000002</v>
      </c>
      <c r="AJ13" s="2650">
        <f t="shared" si="6"/>
        <v>0.38085000000000002</v>
      </c>
    </row>
    <row r="14" spans="1:39" ht="12.75" customHeight="1">
      <c r="A14" s="3513"/>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2"/>
        <v>0</v>
      </c>
      <c r="W14" s="2070"/>
      <c r="X14" s="2070"/>
      <c r="Y14" s="2070"/>
      <c r="Z14" s="2070"/>
      <c r="AA14" s="2070"/>
      <c r="AB14" s="2070"/>
      <c r="AC14" s="2071"/>
    </row>
    <row r="15" spans="1:39" ht="13.5" customHeight="1" thickBot="1">
      <c r="A15" s="3514"/>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2"/>
        <v>0</v>
      </c>
      <c r="W15" s="2070"/>
      <c r="X15" s="2070"/>
      <c r="Y15" s="2070"/>
      <c r="Z15" s="2070"/>
      <c r="AA15" s="2070"/>
      <c r="AB15" s="2070"/>
      <c r="AC15" s="2071"/>
    </row>
    <row r="16" spans="1:39" ht="24.6" customHeight="1">
      <c r="A16" s="3511" t="s">
        <v>1829</v>
      </c>
      <c r="B16" s="1376" t="s">
        <v>941</v>
      </c>
      <c r="C16" s="1039">
        <f>ROUND(IF(F17="与级别开发程度一致",0,(G17-E17)/C17),0)</f>
        <v>0</v>
      </c>
      <c r="D16" s="3529" t="s">
        <v>945</v>
      </c>
      <c r="E16" s="3530"/>
      <c r="F16" s="3529" t="s">
        <v>942</v>
      </c>
      <c r="G16" s="3530"/>
      <c r="H16" s="1408"/>
      <c r="I16" s="1408"/>
      <c r="J16" s="1408"/>
      <c r="K16" s="1408"/>
      <c r="L16" s="1408"/>
      <c r="M16" s="1408"/>
      <c r="N16" s="1408"/>
      <c r="O16" s="2853"/>
      <c r="P16" s="2070"/>
      <c r="Q16" s="2073"/>
      <c r="R16" s="2654">
        <v>15</v>
      </c>
      <c r="S16" s="2643">
        <f>AVERAGE(S2:S13)</f>
        <v>0.72180833333333327</v>
      </c>
      <c r="T16" s="2654">
        <f t="shared" ca="1" si="0"/>
        <v>3990</v>
      </c>
      <c r="U16" s="2643"/>
      <c r="V16" s="2654">
        <f t="shared" ca="1" si="2"/>
        <v>0</v>
      </c>
      <c r="W16" s="2073"/>
      <c r="X16" s="2073"/>
      <c r="Y16" s="2073"/>
      <c r="Z16" s="2073"/>
      <c r="AA16" s="2073"/>
      <c r="AB16" s="2073"/>
      <c r="AC16" s="2074"/>
    </row>
    <row r="17" spans="1:40" ht="24.75" thickBot="1">
      <c r="A17" s="3515"/>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3017</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3011</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5.3999999999999999E-2</v>
      </c>
      <c r="H20" s="2500" t="s">
        <v>965</v>
      </c>
      <c r="I20" s="2496">
        <f>SUMIF('数据-取费表'!C6:C15,E2,'数据-取费表'!F6:F15)/COUNTIF('数据-取费表'!C6:C15,E2)</f>
        <v>40</v>
      </c>
      <c r="J20" s="2502">
        <f>IF(E2="住宅",70,IF(E2="商业",40,50))</f>
        <v>40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3012</v>
      </c>
      <c r="C21" s="1141">
        <f>IF(B21="容积率修正",IF(G3&lt;=10,D22,J22),C23)</f>
        <v>1</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0.44240000000000002</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2206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138</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5528</v>
      </c>
      <c r="D29" s="3590">
        <f ca="1">C29*S16</f>
        <v>3990.1564666666663</v>
      </c>
      <c r="E29" s="1763">
        <f ca="1">ROUND(C29*D29/10000,0)</f>
        <v>2206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1382</v>
      </c>
      <c r="D30" s="3590">
        <f ca="1">C30*S16</f>
        <v>997.53911666666659</v>
      </c>
      <c r="E30" s="1763">
        <f ca="1">ROUND(C30*D30/10000,0)</f>
        <v>138</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8"/>
      <c r="B33" s="1464" t="s">
        <v>990</v>
      </c>
      <c r="C33" s="1046">
        <f ca="1">ROUND(D5*C19*C20*C24*F33,0)</f>
        <v>3317</v>
      </c>
      <c r="D33" s="1477"/>
      <c r="E33" s="1035">
        <f ca="1">ROUND(C33*D33/10000,0)</f>
        <v>0</v>
      </c>
      <c r="F33" s="1035">
        <f>SUMIF(修正!A45:A56,G2,修正!B45:B56)</f>
        <v>0.6</v>
      </c>
      <c r="G33" s="1035">
        <f t="shared" ref="G33" ca="1" si="7">ROUND(IF(E2="工业",C33*$M$39,C33*$M$38),0)</f>
        <v>829</v>
      </c>
      <c r="H33" s="1035">
        <f>D33</f>
        <v>0</v>
      </c>
      <c r="I33" s="1035">
        <f ca="1">ROUND(G33*H33/10000,0)</f>
        <v>0</v>
      </c>
      <c r="J33" s="3518"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19"/>
      <c r="B34" s="1394" t="s">
        <v>991</v>
      </c>
      <c r="C34" s="1046">
        <f ca="1">ROUND(D5*C19*C20*C24*F34,0)</f>
        <v>1658</v>
      </c>
      <c r="D34" s="1477"/>
      <c r="E34" s="1035">
        <f t="shared" ref="E34:E39" ca="1" si="8">ROUND(C34*D34/10000,0)</f>
        <v>0</v>
      </c>
      <c r="F34" s="1035">
        <f>SUMIF(修正!A45:A56,G2,修正!C45:C56)</f>
        <v>0.3</v>
      </c>
      <c r="G34" s="1035">
        <f ca="1">ROUND(IF(E2="工业",C34*$M$39,C34*$M$38),0)</f>
        <v>415</v>
      </c>
      <c r="H34" s="1035">
        <f t="shared" ref="H34:H39" si="9">D34</f>
        <v>0</v>
      </c>
      <c r="I34" s="1035">
        <f t="shared" ref="I34:I39" ca="1" si="10">ROUND(G34*H34/10000,0)</f>
        <v>0</v>
      </c>
      <c r="J34" s="351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19"/>
      <c r="B35" s="1394" t="s">
        <v>992</v>
      </c>
      <c r="C35" s="1046">
        <f ca="1">ROUND(D5*C19*C20*C24*F35,0)</f>
        <v>1106</v>
      </c>
      <c r="D35" s="1477"/>
      <c r="E35" s="1035">
        <f t="shared" ca="1" si="8"/>
        <v>0</v>
      </c>
      <c r="F35" s="1035">
        <f>SUMIF(修正!A45:A56,G2,修正!D45:D56)</f>
        <v>0.2</v>
      </c>
      <c r="G35" s="1035">
        <f ca="1">ROUND(IF(E2="工业",C35*$M$39,C35*$M$38),0)</f>
        <v>277</v>
      </c>
      <c r="H35" s="1035">
        <f t="shared" si="9"/>
        <v>0</v>
      </c>
      <c r="I35" s="1035">
        <f t="shared" ca="1" si="10"/>
        <v>0</v>
      </c>
      <c r="J35" s="351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0"/>
      <c r="B36" s="1394" t="s">
        <v>993</v>
      </c>
      <c r="C36" s="1046">
        <f ca="1">ROUND(D5*C19*C20*C24*F36,0)</f>
        <v>1106</v>
      </c>
      <c r="D36" s="1477"/>
      <c r="E36" s="1035">
        <f t="shared" ca="1" si="8"/>
        <v>0</v>
      </c>
      <c r="F36" s="1035">
        <f>SUMIF(修正!A45:A56,G2,修正!E45:E56)</f>
        <v>0.2</v>
      </c>
      <c r="G36" s="1035">
        <f ca="1">ROUND(IF(E2="工业",C36*$M$39,C36*$M$38),0)</f>
        <v>277</v>
      </c>
      <c r="H36" s="1035">
        <f t="shared" si="9"/>
        <v>0</v>
      </c>
      <c r="I36" s="1035">
        <f t="shared" ca="1" si="10"/>
        <v>0</v>
      </c>
      <c r="J36" s="352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1106</v>
      </c>
      <c r="D37" s="1477"/>
      <c r="E37" s="1035">
        <f t="shared" ca="1" si="8"/>
        <v>0</v>
      </c>
      <c r="F37" s="1046">
        <f>SUMIF(修正!A45:A56,G2,修正!F45:F56)</f>
        <v>0.2</v>
      </c>
      <c r="G37" s="1035">
        <f ca="1">ROUND(IF(E2="工业",C37*$M$39,C37*$M$38),0)</f>
        <v>277</v>
      </c>
      <c r="H37" s="1035">
        <f t="shared" si="9"/>
        <v>0</v>
      </c>
      <c r="I37" s="1035">
        <f t="shared" ca="1" si="10"/>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8"/>
        <v>0</v>
      </c>
      <c r="F38" s="1046">
        <f>SUMIF(修正!A45:A56,G2,修正!G45:G56)</f>
        <v>0.2</v>
      </c>
      <c r="G38" s="1035">
        <f ca="1">ROUND(IF(E2="工业",C38*$M$39,C38*$M$38),0)</f>
        <v>0</v>
      </c>
      <c r="H38" s="1035">
        <f t="shared" si="9"/>
        <v>0</v>
      </c>
      <c r="I38" s="1035">
        <f t="shared" ca="1" si="10"/>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8"/>
        <v>0</v>
      </c>
      <c r="F39" s="1048">
        <f>SUMIF(修正!A45:A56,G2,修正!H45:H56)</f>
        <v>0.15</v>
      </c>
      <c r="G39" s="1038">
        <f ca="1">ROUND(IF(E2="工业",C39*$M$39,C39*$M$38),0)</f>
        <v>0</v>
      </c>
      <c r="H39" s="1038">
        <f t="shared" si="9"/>
        <v>0</v>
      </c>
      <c r="I39" s="1038">
        <f t="shared" ca="1" si="10"/>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5.3999999999999999E-2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t="s">
        <v>3015</v>
      </c>
      <c r="D47" s="2272">
        <f t="shared" ref="D47:D55" si="11">SUMIF($J$46:$N$46,C47,J47:N47)</f>
        <v>0</v>
      </c>
      <c r="E47" s="2291">
        <f>ROUND(SUM(D47:D55),4)</f>
        <v>0</v>
      </c>
      <c r="F47" s="2292">
        <f>IF(E2="商业",SUMIF(L1:L12,G2,N1:N12),"——")</f>
        <v>0.14799999999999999</v>
      </c>
      <c r="G47" s="2270">
        <v>2.4400000000000002E-2</v>
      </c>
      <c r="H47" s="2315">
        <f t="shared" ref="H47:H55" si="12">IFERROR(ROUNDDOWN(($F$47*I47/2),4),"——")</f>
        <v>2.4400000000000002E-2</v>
      </c>
      <c r="I47" s="2290">
        <v>0.33</v>
      </c>
      <c r="J47" s="2293">
        <f t="shared" ref="J47:J55" si="13">K47+$G47</f>
        <v>4.8800000000000003E-2</v>
      </c>
      <c r="K47" s="2293">
        <f t="shared" ref="K47:K55" si="14">$L47+$G47</f>
        <v>2.4400000000000002E-2</v>
      </c>
      <c r="L47" s="2293">
        <v>0</v>
      </c>
      <c r="M47" s="2293">
        <f t="shared" ref="M47:N55" si="15">L47-$G47</f>
        <v>-2.4400000000000002E-2</v>
      </c>
      <c r="N47" s="2293">
        <f t="shared" si="15"/>
        <v>-4.8800000000000003E-2</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t="s">
        <v>3015</v>
      </c>
      <c r="D48" s="2272">
        <f t="shared" si="11"/>
        <v>0</v>
      </c>
      <c r="E48" s="2294"/>
      <c r="F48" s="2292"/>
      <c r="G48" s="2270">
        <v>1.8499999999999999E-2</v>
      </c>
      <c r="H48" s="2315">
        <f t="shared" si="12"/>
        <v>1.8499999999999999E-2</v>
      </c>
      <c r="I48" s="2290">
        <v>0.25</v>
      </c>
      <c r="J48" s="2293">
        <f t="shared" si="13"/>
        <v>3.6999999999999998E-2</v>
      </c>
      <c r="K48" s="2293">
        <f t="shared" si="14"/>
        <v>1.8499999999999999E-2</v>
      </c>
      <c r="L48" s="2293">
        <v>0</v>
      </c>
      <c r="M48" s="2293">
        <f t="shared" si="15"/>
        <v>-1.8499999999999999E-2</v>
      </c>
      <c r="N48" s="2293">
        <f t="shared" si="15"/>
        <v>-3.6999999999999998E-2</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t="s">
        <v>3015</v>
      </c>
      <c r="D49" s="2272">
        <f t="shared" si="11"/>
        <v>0</v>
      </c>
      <c r="E49" s="2294"/>
      <c r="F49" s="2292"/>
      <c r="G49" s="2270">
        <v>3.7000000000000002E-3</v>
      </c>
      <c r="H49" s="2315">
        <f t="shared" si="12"/>
        <v>3.7000000000000002E-3</v>
      </c>
      <c r="I49" s="2290">
        <v>0.05</v>
      </c>
      <c r="J49" s="2293">
        <f t="shared" si="13"/>
        <v>7.4000000000000003E-3</v>
      </c>
      <c r="K49" s="2293">
        <f t="shared" si="14"/>
        <v>3.7000000000000002E-3</v>
      </c>
      <c r="L49" s="2293">
        <v>0</v>
      </c>
      <c r="M49" s="2293">
        <f t="shared" si="15"/>
        <v>-3.7000000000000002E-3</v>
      </c>
      <c r="N49" s="2293">
        <f t="shared" si="15"/>
        <v>-7.4000000000000003E-3</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t="s">
        <v>3015</v>
      </c>
      <c r="D50" s="2272">
        <f t="shared" si="11"/>
        <v>0</v>
      </c>
      <c r="E50" s="2294"/>
      <c r="F50" s="2292"/>
      <c r="G50" s="2270">
        <v>3.7000000000000002E-3</v>
      </c>
      <c r="H50" s="2315">
        <f t="shared" si="12"/>
        <v>3.7000000000000002E-3</v>
      </c>
      <c r="I50" s="2290">
        <v>0.05</v>
      </c>
      <c r="J50" s="2293">
        <f t="shared" si="13"/>
        <v>7.4000000000000003E-3</v>
      </c>
      <c r="K50" s="2293">
        <f t="shared" si="14"/>
        <v>3.7000000000000002E-3</v>
      </c>
      <c r="L50" s="2293">
        <v>0</v>
      </c>
      <c r="M50" s="2293">
        <f t="shared" si="15"/>
        <v>-3.7000000000000002E-3</v>
      </c>
      <c r="N50" s="2293">
        <f t="shared" si="15"/>
        <v>-7.4000000000000003E-3</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t="s">
        <v>3015</v>
      </c>
      <c r="D51" s="2272">
        <f t="shared" si="11"/>
        <v>0</v>
      </c>
      <c r="E51" s="2294"/>
      <c r="F51" s="2292"/>
      <c r="G51" s="2270">
        <v>5.8999999999999999E-3</v>
      </c>
      <c r="H51" s="2315">
        <f t="shared" si="12"/>
        <v>5.8999999999999999E-3</v>
      </c>
      <c r="I51" s="2290">
        <v>0.08</v>
      </c>
      <c r="J51" s="2293">
        <f t="shared" si="13"/>
        <v>1.18E-2</v>
      </c>
      <c r="K51" s="2293">
        <f t="shared" si="14"/>
        <v>5.8999999999999999E-3</v>
      </c>
      <c r="L51" s="2293">
        <v>0</v>
      </c>
      <c r="M51" s="2293">
        <f t="shared" si="15"/>
        <v>-5.8999999999999999E-3</v>
      </c>
      <c r="N51" s="2293">
        <f t="shared" si="15"/>
        <v>-1.18E-2</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t="s">
        <v>3015</v>
      </c>
      <c r="D52" s="2272">
        <f t="shared" si="11"/>
        <v>0</v>
      </c>
      <c r="E52" s="2294"/>
      <c r="F52" s="2292"/>
      <c r="G52" s="2270">
        <v>2.2000000000000001E-3</v>
      </c>
      <c r="H52" s="2315">
        <f t="shared" si="12"/>
        <v>2.2000000000000001E-3</v>
      </c>
      <c r="I52" s="2290">
        <v>0.03</v>
      </c>
      <c r="J52" s="2293">
        <f t="shared" si="13"/>
        <v>4.4000000000000003E-3</v>
      </c>
      <c r="K52" s="2293">
        <f t="shared" si="14"/>
        <v>2.2000000000000001E-3</v>
      </c>
      <c r="L52" s="2293">
        <v>0</v>
      </c>
      <c r="M52" s="2293">
        <f t="shared" si="15"/>
        <v>-2.2000000000000001E-3</v>
      </c>
      <c r="N52" s="2293">
        <f t="shared" si="15"/>
        <v>-4.4000000000000003E-3</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t="s">
        <v>3015</v>
      </c>
      <c r="D53" s="2272">
        <f t="shared" si="11"/>
        <v>0</v>
      </c>
      <c r="E53" s="2294"/>
      <c r="F53" s="2292"/>
      <c r="G53" s="2270">
        <v>3.7000000000000002E-3</v>
      </c>
      <c r="H53" s="2315">
        <f t="shared" si="12"/>
        <v>3.7000000000000002E-3</v>
      </c>
      <c r="I53" s="2290">
        <v>0.05</v>
      </c>
      <c r="J53" s="2293">
        <f t="shared" si="13"/>
        <v>7.4000000000000003E-3</v>
      </c>
      <c r="K53" s="2293">
        <f t="shared" si="14"/>
        <v>3.7000000000000002E-3</v>
      </c>
      <c r="L53" s="2293">
        <v>0</v>
      </c>
      <c r="M53" s="2293">
        <f t="shared" si="15"/>
        <v>-3.7000000000000002E-3</v>
      </c>
      <c r="N53" s="2293">
        <f t="shared" si="15"/>
        <v>-7.4000000000000003E-3</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t="s">
        <v>3015</v>
      </c>
      <c r="D54" s="2272">
        <f t="shared" si="11"/>
        <v>0</v>
      </c>
      <c r="E54" s="2294"/>
      <c r="F54" s="2292"/>
      <c r="G54" s="2270">
        <v>7.4000000000000003E-3</v>
      </c>
      <c r="H54" s="2315">
        <f t="shared" si="12"/>
        <v>7.4000000000000003E-3</v>
      </c>
      <c r="I54" s="2290">
        <v>0.1</v>
      </c>
      <c r="J54" s="2293">
        <f t="shared" si="13"/>
        <v>1.4800000000000001E-2</v>
      </c>
      <c r="K54" s="2293">
        <f t="shared" si="14"/>
        <v>7.4000000000000003E-3</v>
      </c>
      <c r="L54" s="2293">
        <v>0</v>
      </c>
      <c r="M54" s="2293">
        <f t="shared" si="15"/>
        <v>-7.4000000000000003E-3</v>
      </c>
      <c r="N54" s="2293">
        <f t="shared" si="15"/>
        <v>-1.4800000000000001E-2</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t="s">
        <v>3015</v>
      </c>
      <c r="D55" s="2272">
        <f t="shared" si="11"/>
        <v>0</v>
      </c>
      <c r="E55" s="2298"/>
      <c r="F55" s="2292"/>
      <c r="G55" s="2270">
        <v>4.4000000000000003E-3</v>
      </c>
      <c r="H55" s="2315">
        <f t="shared" si="12"/>
        <v>4.4000000000000003E-3</v>
      </c>
      <c r="I55" s="2297">
        <v>0.06</v>
      </c>
      <c r="J55" s="2293">
        <f t="shared" si="13"/>
        <v>8.8000000000000005E-3</v>
      </c>
      <c r="K55" s="2293">
        <f t="shared" si="14"/>
        <v>4.4000000000000003E-3</v>
      </c>
      <c r="L55" s="2293">
        <v>0</v>
      </c>
      <c r="M55" s="2293">
        <f t="shared" si="15"/>
        <v>-4.4000000000000003E-3</v>
      </c>
      <c r="N55" s="2293">
        <f t="shared" si="15"/>
        <v>-8.8000000000000005E-3</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6">SUMIF($J$57:$N$57,C58,J58:N58)</f>
        <v>0</v>
      </c>
      <c r="E58" s="2291">
        <f>ROUND(SUM(D58:D66),4)</f>
        <v>0</v>
      </c>
      <c r="F58" s="2292" t="str">
        <f>IF(E2="办公",SUMIF(L1:L12,G2,N1:N12),"——")</f>
        <v>——</v>
      </c>
      <c r="G58" s="2270"/>
      <c r="H58" s="2315" t="str">
        <f>IFERROR(ROUNDDOWN($F$58*I58/2,4),"——")</f>
        <v>——</v>
      </c>
      <c r="I58" s="2290">
        <v>0.24</v>
      </c>
      <c r="J58" s="2293">
        <f t="shared" ref="J58:J66" si="17">K58+$G58</f>
        <v>0</v>
      </c>
      <c r="K58" s="2293">
        <f t="shared" ref="K58:K66" si="18">$L58+$G58</f>
        <v>0</v>
      </c>
      <c r="L58" s="2293">
        <v>0</v>
      </c>
      <c r="M58" s="2293">
        <f t="shared" ref="M58:N66" si="19">L58-$G58</f>
        <v>0</v>
      </c>
      <c r="N58" s="2293">
        <f t="shared" si="19"/>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6"/>
        <v>0</v>
      </c>
      <c r="E59" s="2294"/>
      <c r="F59" s="2292"/>
      <c r="G59" s="2270"/>
      <c r="H59" s="2271" t="str">
        <f t="shared" ref="H59:H66" si="20">IFERROR($F$58*I59/2,"——")</f>
        <v>——</v>
      </c>
      <c r="I59" s="2290">
        <v>0.3</v>
      </c>
      <c r="J59" s="2293">
        <f t="shared" si="17"/>
        <v>0</v>
      </c>
      <c r="K59" s="2293">
        <f t="shared" si="18"/>
        <v>0</v>
      </c>
      <c r="L59" s="2293">
        <v>0</v>
      </c>
      <c r="M59" s="2293">
        <f t="shared" si="19"/>
        <v>0</v>
      </c>
      <c r="N59" s="2293">
        <f t="shared" si="19"/>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6"/>
        <v>0</v>
      </c>
      <c r="E60" s="2294"/>
      <c r="F60" s="2292"/>
      <c r="G60" s="2270"/>
      <c r="H60" s="2271" t="str">
        <f t="shared" si="20"/>
        <v>——</v>
      </c>
      <c r="I60" s="2290">
        <v>0.08</v>
      </c>
      <c r="J60" s="2293">
        <f t="shared" si="17"/>
        <v>0</v>
      </c>
      <c r="K60" s="2293">
        <f t="shared" si="18"/>
        <v>0</v>
      </c>
      <c r="L60" s="2293">
        <v>0</v>
      </c>
      <c r="M60" s="2293">
        <f t="shared" si="19"/>
        <v>0</v>
      </c>
      <c r="N60" s="2293">
        <f t="shared" si="19"/>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6"/>
        <v>0</v>
      </c>
      <c r="E61" s="2294"/>
      <c r="F61" s="2292"/>
      <c r="G61" s="2270"/>
      <c r="H61" s="2271" t="str">
        <f t="shared" si="20"/>
        <v>——</v>
      </c>
      <c r="I61" s="2290">
        <v>0.04</v>
      </c>
      <c r="J61" s="2293">
        <f t="shared" si="17"/>
        <v>0</v>
      </c>
      <c r="K61" s="2293">
        <f t="shared" si="18"/>
        <v>0</v>
      </c>
      <c r="L61" s="2293">
        <v>0</v>
      </c>
      <c r="M61" s="2293">
        <f t="shared" si="19"/>
        <v>0</v>
      </c>
      <c r="N61" s="2293">
        <f t="shared" si="19"/>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6"/>
        <v>0</v>
      </c>
      <c r="E62" s="2294"/>
      <c r="F62" s="2292"/>
      <c r="G62" s="2270"/>
      <c r="H62" s="2271" t="str">
        <f t="shared" si="20"/>
        <v>——</v>
      </c>
      <c r="I62" s="2290">
        <v>0.05</v>
      </c>
      <c r="J62" s="2293">
        <f t="shared" si="17"/>
        <v>0</v>
      </c>
      <c r="K62" s="2293">
        <f t="shared" si="18"/>
        <v>0</v>
      </c>
      <c r="L62" s="2293">
        <v>0</v>
      </c>
      <c r="M62" s="2293">
        <f t="shared" si="19"/>
        <v>0</v>
      </c>
      <c r="N62" s="2293">
        <f t="shared" si="19"/>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6"/>
        <v>0</v>
      </c>
      <c r="E63" s="2294"/>
      <c r="F63" s="2292"/>
      <c r="G63" s="2270"/>
      <c r="H63" s="2271" t="str">
        <f t="shared" si="20"/>
        <v>——</v>
      </c>
      <c r="I63" s="2290">
        <v>0.05</v>
      </c>
      <c r="J63" s="2293">
        <f t="shared" si="17"/>
        <v>0</v>
      </c>
      <c r="K63" s="2293">
        <f t="shared" si="18"/>
        <v>0</v>
      </c>
      <c r="L63" s="2293">
        <v>0</v>
      </c>
      <c r="M63" s="2293">
        <f t="shared" si="19"/>
        <v>0</v>
      </c>
      <c r="N63" s="2293">
        <f t="shared" si="19"/>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6"/>
        <v>0</v>
      </c>
      <c r="E64" s="2294"/>
      <c r="F64" s="2292"/>
      <c r="G64" s="2270"/>
      <c r="H64" s="2271" t="str">
        <f t="shared" si="20"/>
        <v>——</v>
      </c>
      <c r="I64" s="2290">
        <v>0.06</v>
      </c>
      <c r="J64" s="2293">
        <f t="shared" si="17"/>
        <v>0</v>
      </c>
      <c r="K64" s="2293">
        <f t="shared" si="18"/>
        <v>0</v>
      </c>
      <c r="L64" s="2293">
        <v>0</v>
      </c>
      <c r="M64" s="2293">
        <f t="shared" si="19"/>
        <v>0</v>
      </c>
      <c r="N64" s="2293">
        <f t="shared" si="19"/>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6"/>
        <v>0</v>
      </c>
      <c r="E65" s="2294"/>
      <c r="F65" s="2292"/>
      <c r="G65" s="2270"/>
      <c r="H65" s="2271" t="str">
        <f t="shared" si="20"/>
        <v>——</v>
      </c>
      <c r="I65" s="2290">
        <v>0.12</v>
      </c>
      <c r="J65" s="2293">
        <f t="shared" si="17"/>
        <v>0</v>
      </c>
      <c r="K65" s="2293">
        <f t="shared" si="18"/>
        <v>0</v>
      </c>
      <c r="L65" s="2293">
        <v>0</v>
      </c>
      <c r="M65" s="2293">
        <f t="shared" si="19"/>
        <v>0</v>
      </c>
      <c r="N65" s="2293">
        <f t="shared" si="19"/>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6"/>
        <v>0</v>
      </c>
      <c r="E66" s="2298"/>
      <c r="F66" s="2292"/>
      <c r="G66" s="2270"/>
      <c r="H66" s="2271" t="str">
        <f t="shared" si="20"/>
        <v>——</v>
      </c>
      <c r="I66" s="2297">
        <v>0.06</v>
      </c>
      <c r="J66" s="2293">
        <f t="shared" si="17"/>
        <v>0</v>
      </c>
      <c r="K66" s="2293">
        <f t="shared" si="18"/>
        <v>0</v>
      </c>
      <c r="L66" s="2293">
        <v>0</v>
      </c>
      <c r="M66" s="2293">
        <f t="shared" si="19"/>
        <v>0</v>
      </c>
      <c r="N66" s="2293">
        <f t="shared" si="19"/>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1">SUMIF($J$68:$N$68,C69,J69:N69)</f>
        <v>0</v>
      </c>
      <c r="E69" s="2291">
        <f>ROUND(SUM(D69:D77),4)</f>
        <v>0</v>
      </c>
      <c r="F69" s="2292" t="str">
        <f>IF(E2="住宅",SUMIF(L1:L12,G2,N1:N12),"——")</f>
        <v>——</v>
      </c>
      <c r="G69" s="2273"/>
      <c r="H69" s="2316" t="str">
        <f t="shared" ref="H69:H77" si="22">IFERROR(ROUNDDOWN($F$69*I69/2,4),"——")</f>
        <v>——</v>
      </c>
      <c r="I69" s="2290">
        <v>0.14000000000000001</v>
      </c>
      <c r="J69" s="2293">
        <f t="shared" ref="J69:J77" si="23">K69+$G69</f>
        <v>0</v>
      </c>
      <c r="K69" s="2293">
        <f t="shared" ref="K69:K77" si="24">$L69+$G69</f>
        <v>0</v>
      </c>
      <c r="L69" s="2293">
        <v>0</v>
      </c>
      <c r="M69" s="2293">
        <f t="shared" ref="M69:N77" si="25">L69-$G69</f>
        <v>0</v>
      </c>
      <c r="N69" s="2293">
        <f t="shared" si="25"/>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1"/>
        <v>0</v>
      </c>
      <c r="E70" s="2300"/>
      <c r="F70" s="2301"/>
      <c r="G70" s="2273"/>
      <c r="H70" s="2316" t="str">
        <f t="shared" si="22"/>
        <v>——</v>
      </c>
      <c r="I70" s="2290">
        <v>0.3</v>
      </c>
      <c r="J70" s="2293">
        <f t="shared" si="23"/>
        <v>0</v>
      </c>
      <c r="K70" s="2293">
        <f t="shared" si="24"/>
        <v>0</v>
      </c>
      <c r="L70" s="2293">
        <v>0</v>
      </c>
      <c r="M70" s="2293">
        <f t="shared" si="25"/>
        <v>0</v>
      </c>
      <c r="N70" s="2293">
        <f t="shared" si="25"/>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1"/>
        <v>0</v>
      </c>
      <c r="E71" s="2300"/>
      <c r="F71" s="2301"/>
      <c r="G71" s="2273"/>
      <c r="H71" s="2316" t="str">
        <f t="shared" si="22"/>
        <v>——</v>
      </c>
      <c r="I71" s="2290">
        <v>0.08</v>
      </c>
      <c r="J71" s="2293">
        <f t="shared" si="23"/>
        <v>0</v>
      </c>
      <c r="K71" s="2293">
        <f t="shared" si="24"/>
        <v>0</v>
      </c>
      <c r="L71" s="2293">
        <v>0</v>
      </c>
      <c r="M71" s="2293">
        <f t="shared" si="25"/>
        <v>0</v>
      </c>
      <c r="N71" s="2293">
        <f t="shared" si="25"/>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1"/>
        <v>0</v>
      </c>
      <c r="E72" s="2300"/>
      <c r="F72" s="2301"/>
      <c r="G72" s="2273"/>
      <c r="H72" s="2316" t="str">
        <f t="shared" si="22"/>
        <v>——</v>
      </c>
      <c r="I72" s="2290">
        <v>0.04</v>
      </c>
      <c r="J72" s="2293">
        <f t="shared" si="23"/>
        <v>0</v>
      </c>
      <c r="K72" s="2293">
        <f t="shared" si="24"/>
        <v>0</v>
      </c>
      <c r="L72" s="2293">
        <v>0</v>
      </c>
      <c r="M72" s="2293">
        <f t="shared" si="25"/>
        <v>0</v>
      </c>
      <c r="N72" s="2293">
        <f t="shared" si="25"/>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1"/>
        <v>0</v>
      </c>
      <c r="E73" s="2300"/>
      <c r="F73" s="2301"/>
      <c r="G73" s="2273"/>
      <c r="H73" s="2316" t="str">
        <f t="shared" si="22"/>
        <v>——</v>
      </c>
      <c r="I73" s="2290">
        <v>0.08</v>
      </c>
      <c r="J73" s="2293">
        <f t="shared" si="23"/>
        <v>0</v>
      </c>
      <c r="K73" s="2293">
        <f t="shared" si="24"/>
        <v>0</v>
      </c>
      <c r="L73" s="2293">
        <v>0</v>
      </c>
      <c r="M73" s="2293">
        <f t="shared" si="25"/>
        <v>0</v>
      </c>
      <c r="N73" s="2293">
        <f t="shared" si="25"/>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1"/>
        <v>0</v>
      </c>
      <c r="E74" s="2300"/>
      <c r="F74" s="2301"/>
      <c r="G74" s="2273"/>
      <c r="H74" s="2316" t="str">
        <f t="shared" si="22"/>
        <v>——</v>
      </c>
      <c r="I74" s="2290">
        <v>0.12</v>
      </c>
      <c r="J74" s="2293">
        <f t="shared" si="23"/>
        <v>0</v>
      </c>
      <c r="K74" s="2293">
        <f t="shared" si="24"/>
        <v>0</v>
      </c>
      <c r="L74" s="2293">
        <v>0</v>
      </c>
      <c r="M74" s="2293">
        <f t="shared" si="25"/>
        <v>0</v>
      </c>
      <c r="N74" s="2293">
        <f t="shared" si="25"/>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1"/>
        <v>0</v>
      </c>
      <c r="E75" s="2300"/>
      <c r="F75" s="2301"/>
      <c r="G75" s="2273"/>
      <c r="H75" s="2316" t="str">
        <f t="shared" si="22"/>
        <v>——</v>
      </c>
      <c r="I75" s="2290">
        <v>0.05</v>
      </c>
      <c r="J75" s="2293">
        <f t="shared" si="23"/>
        <v>0</v>
      </c>
      <c r="K75" s="2293">
        <f t="shared" si="24"/>
        <v>0</v>
      </c>
      <c r="L75" s="2293">
        <v>0</v>
      </c>
      <c r="M75" s="2293">
        <f t="shared" si="25"/>
        <v>0</v>
      </c>
      <c r="N75" s="2293">
        <f t="shared" si="25"/>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1"/>
        <v>0</v>
      </c>
      <c r="E76" s="2300"/>
      <c r="F76" s="2301"/>
      <c r="G76" s="2273"/>
      <c r="H76" s="2316" t="str">
        <f t="shared" si="22"/>
        <v>——</v>
      </c>
      <c r="I76" s="2290">
        <v>0.15</v>
      </c>
      <c r="J76" s="2293">
        <f t="shared" si="23"/>
        <v>0</v>
      </c>
      <c r="K76" s="2293">
        <f t="shared" si="24"/>
        <v>0</v>
      </c>
      <c r="L76" s="2293">
        <v>0</v>
      </c>
      <c r="M76" s="2293">
        <f t="shared" si="25"/>
        <v>0</v>
      </c>
      <c r="N76" s="2293">
        <f t="shared" si="25"/>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1"/>
        <v>0</v>
      </c>
      <c r="E77" s="2302"/>
      <c r="F77" s="2301"/>
      <c r="G77" s="2273"/>
      <c r="H77" s="2316" t="str">
        <f t="shared" si="22"/>
        <v>——</v>
      </c>
      <c r="I77" s="2297">
        <v>0.04</v>
      </c>
      <c r="J77" s="2293">
        <f t="shared" si="23"/>
        <v>0</v>
      </c>
      <c r="K77" s="2293">
        <f t="shared" si="24"/>
        <v>0</v>
      </c>
      <c r="L77" s="2293">
        <v>0</v>
      </c>
      <c r="M77" s="2293">
        <f t="shared" si="25"/>
        <v>0</v>
      </c>
      <c r="N77" s="2293">
        <f t="shared" si="25"/>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6">SUMIF($J$79:$N$79,C80,J80:N80)</f>
        <v>0</v>
      </c>
      <c r="E80" s="2291">
        <f>ROUND(SUM(D80:D87),4)</f>
        <v>0</v>
      </c>
      <c r="F80" s="2292" t="str">
        <f>IF(E2="工业",SUMIF(L1:L12,G2,N1:N12),"——")</f>
        <v>——</v>
      </c>
      <c r="G80" s="2270"/>
      <c r="H80" s="2315" t="str">
        <f t="shared" ref="H80:H87" si="27">IFERROR(ROUNDDOWN($F$80*I80/2,4),"——")</f>
        <v>——</v>
      </c>
      <c r="I80" s="2290">
        <v>0.26</v>
      </c>
      <c r="J80" s="2293">
        <f t="shared" ref="J80:J87" si="28">K80+$G80</f>
        <v>0</v>
      </c>
      <c r="K80" s="2293">
        <f t="shared" ref="K80:K87" si="29">$L80+$G80</f>
        <v>0</v>
      </c>
      <c r="L80" s="2293">
        <v>0</v>
      </c>
      <c r="M80" s="2293">
        <f t="shared" ref="M80:N87" si="30">L80-$G80</f>
        <v>0</v>
      </c>
      <c r="N80" s="2293">
        <f t="shared" si="30"/>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6"/>
        <v>0</v>
      </c>
      <c r="E81" s="2300"/>
      <c r="F81" s="2301"/>
      <c r="G81" s="2270"/>
      <c r="H81" s="2315" t="str">
        <f t="shared" si="27"/>
        <v>——</v>
      </c>
      <c r="I81" s="2290">
        <v>0.33</v>
      </c>
      <c r="J81" s="2293">
        <f t="shared" si="28"/>
        <v>0</v>
      </c>
      <c r="K81" s="2293">
        <f t="shared" si="29"/>
        <v>0</v>
      </c>
      <c r="L81" s="2293">
        <v>0</v>
      </c>
      <c r="M81" s="2293">
        <f t="shared" si="30"/>
        <v>0</v>
      </c>
      <c r="N81" s="2293">
        <f t="shared" si="30"/>
        <v>0</v>
      </c>
      <c r="AC81" s="1354"/>
      <c r="AD81" s="1353"/>
      <c r="AJ81" s="1352"/>
      <c r="AN81" s="1353"/>
    </row>
    <row r="82" spans="1:40" ht="24">
      <c r="A82" s="1050" t="s">
        <v>1013</v>
      </c>
      <c r="B82" s="2263">
        <f>估价对象房地状况!G17</f>
        <v>0</v>
      </c>
      <c r="C82" s="1037"/>
      <c r="D82" s="2272">
        <f t="shared" si="26"/>
        <v>0</v>
      </c>
      <c r="E82" s="2300"/>
      <c r="F82" s="2301"/>
      <c r="G82" s="2270"/>
      <c r="H82" s="2315" t="str">
        <f t="shared" si="27"/>
        <v>——</v>
      </c>
      <c r="I82" s="2290">
        <v>0.05</v>
      </c>
      <c r="J82" s="2293">
        <f t="shared" si="28"/>
        <v>0</v>
      </c>
      <c r="K82" s="2293">
        <f t="shared" si="29"/>
        <v>0</v>
      </c>
      <c r="L82" s="2293">
        <v>0</v>
      </c>
      <c r="M82" s="2293">
        <f t="shared" si="30"/>
        <v>0</v>
      </c>
      <c r="N82" s="2293">
        <f t="shared" si="30"/>
        <v>0</v>
      </c>
      <c r="AC82" s="1354"/>
      <c r="AD82" s="1353"/>
      <c r="AJ82" s="1352"/>
      <c r="AN82" s="1353"/>
    </row>
    <row r="83" spans="1:40" ht="14.25">
      <c r="A83" s="1050" t="s">
        <v>1025</v>
      </c>
      <c r="B83" s="2263">
        <f>估价对象房地状况!G22</f>
        <v>0</v>
      </c>
      <c r="C83" s="1037"/>
      <c r="D83" s="2272">
        <f t="shared" si="26"/>
        <v>0</v>
      </c>
      <c r="E83" s="2300"/>
      <c r="F83" s="2301"/>
      <c r="G83" s="2270"/>
      <c r="H83" s="2315" t="str">
        <f t="shared" si="27"/>
        <v>——</v>
      </c>
      <c r="I83" s="2290">
        <v>0.04</v>
      </c>
      <c r="J83" s="2293">
        <f t="shared" si="28"/>
        <v>0</v>
      </c>
      <c r="K83" s="2293">
        <f t="shared" si="29"/>
        <v>0</v>
      </c>
      <c r="L83" s="2293">
        <v>0</v>
      </c>
      <c r="M83" s="2293">
        <f t="shared" si="30"/>
        <v>0</v>
      </c>
      <c r="N83" s="2293">
        <f t="shared" si="30"/>
        <v>0</v>
      </c>
      <c r="AC83" s="1354"/>
      <c r="AD83" s="1353"/>
      <c r="AJ83" s="1352"/>
      <c r="AN83" s="1353"/>
    </row>
    <row r="84" spans="1:40" ht="24">
      <c r="A84" s="1050" t="s">
        <v>1017</v>
      </c>
      <c r="B84" s="2264" t="str">
        <f>估价对象房地状况!G19</f>
        <v>估价对象所在区域公共配套设施齐备情况</v>
      </c>
      <c r="C84" s="1037"/>
      <c r="D84" s="2272">
        <f t="shared" si="26"/>
        <v>0</v>
      </c>
      <c r="E84" s="2300"/>
      <c r="F84" s="2301"/>
      <c r="G84" s="2270"/>
      <c r="H84" s="2315" t="str">
        <f t="shared" si="27"/>
        <v>——</v>
      </c>
      <c r="I84" s="2290">
        <v>0.06</v>
      </c>
      <c r="J84" s="2293">
        <f t="shared" si="28"/>
        <v>0</v>
      </c>
      <c r="K84" s="2293">
        <f t="shared" si="29"/>
        <v>0</v>
      </c>
      <c r="L84" s="2293">
        <v>0</v>
      </c>
      <c r="M84" s="2293">
        <f t="shared" si="30"/>
        <v>0</v>
      </c>
      <c r="N84" s="2293">
        <f t="shared" si="30"/>
        <v>0</v>
      </c>
      <c r="AC84" s="1354"/>
      <c r="AD84" s="1353"/>
      <c r="AJ84" s="1352"/>
      <c r="AN84" s="1353"/>
    </row>
    <row r="85" spans="1:40" ht="24">
      <c r="A85" s="1050" t="s">
        <v>1018</v>
      </c>
      <c r="B85" s="2264" t="str">
        <f>估价对象房地状况!G20</f>
        <v>估价对象所在区域基础设施水平</v>
      </c>
      <c r="C85" s="1037"/>
      <c r="D85" s="2272">
        <f t="shared" si="26"/>
        <v>0</v>
      </c>
      <c r="E85" s="2300"/>
      <c r="F85" s="2301"/>
      <c r="G85" s="2270"/>
      <c r="H85" s="2315" t="str">
        <f t="shared" si="27"/>
        <v>——</v>
      </c>
      <c r="I85" s="2290">
        <v>0.15</v>
      </c>
      <c r="J85" s="2293">
        <f t="shared" si="28"/>
        <v>0</v>
      </c>
      <c r="K85" s="2293">
        <f t="shared" si="29"/>
        <v>0</v>
      </c>
      <c r="L85" s="2293">
        <v>0</v>
      </c>
      <c r="M85" s="2293">
        <f t="shared" si="30"/>
        <v>0</v>
      </c>
      <c r="N85" s="2293">
        <f t="shared" si="30"/>
        <v>0</v>
      </c>
      <c r="AC85" s="1354"/>
      <c r="AD85" s="1353"/>
      <c r="AJ85" s="1352"/>
      <c r="AN85" s="1353"/>
    </row>
    <row r="86" spans="1:40" ht="24">
      <c r="A86" s="1050" t="s">
        <v>1016</v>
      </c>
      <c r="B86" s="2784" t="s">
        <v>2904</v>
      </c>
      <c r="C86" s="1037"/>
      <c r="D86" s="2272">
        <f t="shared" si="26"/>
        <v>0</v>
      </c>
      <c r="E86" s="2300"/>
      <c r="F86" s="2301"/>
      <c r="G86" s="2270"/>
      <c r="H86" s="2315" t="str">
        <f t="shared" si="27"/>
        <v>——</v>
      </c>
      <c r="I86" s="2290">
        <v>0.05</v>
      </c>
      <c r="J86" s="2293">
        <f t="shared" si="28"/>
        <v>0</v>
      </c>
      <c r="K86" s="2293">
        <f t="shared" si="29"/>
        <v>0</v>
      </c>
      <c r="L86" s="2293">
        <v>0</v>
      </c>
      <c r="M86" s="2293">
        <f t="shared" si="30"/>
        <v>0</v>
      </c>
      <c r="N86" s="2293">
        <f t="shared" si="30"/>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6"/>
        <v>0</v>
      </c>
      <c r="E87" s="2302"/>
      <c r="F87" s="2301"/>
      <c r="G87" s="2270"/>
      <c r="H87" s="2315" t="str">
        <f t="shared" si="27"/>
        <v>——</v>
      </c>
      <c r="I87" s="2297">
        <v>0.06</v>
      </c>
      <c r="J87" s="2293">
        <f t="shared" si="28"/>
        <v>0</v>
      </c>
      <c r="K87" s="2293">
        <f t="shared" si="29"/>
        <v>0</v>
      </c>
      <c r="L87" s="2293">
        <v>0</v>
      </c>
      <c r="M87" s="2293">
        <f t="shared" si="30"/>
        <v>0</v>
      </c>
      <c r="N87" s="2293">
        <f t="shared" si="30"/>
        <v>0</v>
      </c>
      <c r="AC87" s="1354"/>
      <c r="AD87" s="1353"/>
      <c r="AJ87" s="1352"/>
      <c r="AN87" s="1353"/>
    </row>
    <row r="90" spans="1:40">
      <c r="A90" s="3516" t="s">
        <v>1624</v>
      </c>
      <c r="B90" s="3516"/>
      <c r="C90" s="3516"/>
      <c r="D90" s="3516"/>
      <c r="E90" s="3516"/>
      <c r="F90" s="3516"/>
      <c r="G90" s="3516"/>
      <c r="H90" s="3516"/>
      <c r="I90" s="3516"/>
      <c r="J90" s="3516"/>
      <c r="K90" s="2305"/>
      <c r="L90" s="2305"/>
      <c r="M90" s="2305"/>
      <c r="N90" s="2305"/>
    </row>
    <row r="91" spans="1:40">
      <c r="A91" s="3517" t="s">
        <v>1434</v>
      </c>
      <c r="B91" s="3517" t="s">
        <v>1625</v>
      </c>
      <c r="C91" s="1123" t="s">
        <v>1626</v>
      </c>
      <c r="D91" s="1124"/>
      <c r="E91" s="1124"/>
      <c r="F91" s="1124"/>
      <c r="G91" s="1124"/>
      <c r="H91" s="1124"/>
      <c r="I91" s="1124"/>
      <c r="J91" s="1125"/>
      <c r="K91" s="1117"/>
      <c r="L91" s="1117"/>
      <c r="M91" s="1117"/>
      <c r="N91" s="1117"/>
    </row>
    <row r="92" spans="1:40">
      <c r="A92" s="3517"/>
      <c r="B92" s="3517"/>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2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5"/>
      <c r="B99" s="1126" t="s">
        <v>1627</v>
      </c>
      <c r="C99" s="1128">
        <f>$I$3</f>
        <v>10</v>
      </c>
      <c r="D99" s="1128">
        <f t="shared" ref="D99:N99" si="31">$I$3</f>
        <v>10</v>
      </c>
      <c r="E99" s="1128">
        <f t="shared" si="31"/>
        <v>10</v>
      </c>
      <c r="F99" s="1128">
        <f t="shared" si="31"/>
        <v>10</v>
      </c>
      <c r="G99" s="1128">
        <f t="shared" si="31"/>
        <v>10</v>
      </c>
      <c r="H99" s="1128">
        <f t="shared" si="31"/>
        <v>10</v>
      </c>
      <c r="I99" s="1128">
        <f t="shared" si="31"/>
        <v>10</v>
      </c>
      <c r="J99" s="1128">
        <f t="shared" si="31"/>
        <v>10</v>
      </c>
      <c r="K99" s="1128">
        <f t="shared" si="31"/>
        <v>10</v>
      </c>
      <c r="L99" s="1128">
        <f t="shared" si="31"/>
        <v>10</v>
      </c>
      <c r="M99" s="1128">
        <f t="shared" si="31"/>
        <v>10</v>
      </c>
      <c r="N99" s="1128">
        <f t="shared" si="31"/>
        <v>10</v>
      </c>
    </row>
    <row r="100" spans="1:14">
      <c r="A100" s="3526"/>
      <c r="B100" s="1126">
        <v>7</v>
      </c>
      <c r="C100" s="1129">
        <f>(-0.163*(C99^2)-0.59*C99+7617)*(10^(-4))</f>
        <v>0.75948000000000004</v>
      </c>
      <c r="D100" s="1129">
        <f>(-0.163*(D99^2)-0.59*D99+7617)*(10^(-4))</f>
        <v>0.75948000000000004</v>
      </c>
      <c r="E100" s="1129">
        <f>(-0.161*(E99^2)-7.509*E99+6533)*(10^(-4))</f>
        <v>0.64418100000000011</v>
      </c>
      <c r="F100" s="1129">
        <f>(-0.161*(F99^2)-7.509*F99+6533)*(10^(-4))</f>
        <v>0.64418100000000011</v>
      </c>
      <c r="G100" s="1129">
        <f>(-0.161*(G99^2)-7.509*G99+6533)*(10^(-4))</f>
        <v>0.64418100000000011</v>
      </c>
      <c r="H100" s="1129">
        <f>(-0.161*(H99^2)-7.509*H99+6533)*(10^(-4))</f>
        <v>0.64418100000000011</v>
      </c>
      <c r="I100" s="1129">
        <f>(-0.161*(I99^2)-7.509*I99+6533)*(10^(-4))</f>
        <v>0.64418100000000011</v>
      </c>
      <c r="J100" s="1129">
        <f>(-0.214*(J99^2)-21.991*J99+4665)*(10^(-4))</f>
        <v>0.44236899999999996</v>
      </c>
      <c r="K100" s="1129">
        <f>(-0.214*(K99^2)-21.991*K99+4665)*(10^(-4))</f>
        <v>0.44236899999999996</v>
      </c>
      <c r="L100" s="1129">
        <f>(-0.214*(L99^2)-21.991*L99+4665)*(10^(-4))</f>
        <v>0.44236899999999996</v>
      </c>
      <c r="M100" s="1129">
        <f>(-0.214*(M99^2)-21.991*M99+4665)*(10^(-4))</f>
        <v>0.44236899999999996</v>
      </c>
      <c r="N100" s="1129">
        <f>(-0.214*(N99^2)-21.991*N99+4665)*(10^(-4))</f>
        <v>0.44236899999999996</v>
      </c>
    </row>
    <row r="101" spans="1:14">
      <c r="A101" s="3524" t="s">
        <v>1628</v>
      </c>
      <c r="B101" s="1130" t="s">
        <v>897</v>
      </c>
      <c r="C101" s="1131">
        <f>$G$3</f>
        <v>2</v>
      </c>
      <c r="D101" s="1131">
        <f t="shared" ref="D101:N101" si="32">$G$3</f>
        <v>2</v>
      </c>
      <c r="E101" s="1131">
        <f t="shared" si="32"/>
        <v>2</v>
      </c>
      <c r="F101" s="1131">
        <f t="shared" si="32"/>
        <v>2</v>
      </c>
      <c r="G101" s="1131">
        <f t="shared" si="32"/>
        <v>2</v>
      </c>
      <c r="H101" s="1131">
        <f t="shared" si="32"/>
        <v>2</v>
      </c>
      <c r="I101" s="1131">
        <f t="shared" si="32"/>
        <v>2</v>
      </c>
      <c r="J101" s="1131">
        <f t="shared" si="32"/>
        <v>2</v>
      </c>
      <c r="K101" s="1131">
        <f t="shared" si="32"/>
        <v>2</v>
      </c>
      <c r="L101" s="1131">
        <f t="shared" si="32"/>
        <v>2</v>
      </c>
      <c r="M101" s="1131">
        <f t="shared" si="32"/>
        <v>2</v>
      </c>
      <c r="N101" s="1131">
        <f t="shared" si="32"/>
        <v>2</v>
      </c>
    </row>
    <row r="102" spans="1:14">
      <c r="A102" s="3525"/>
      <c r="B102" s="1126">
        <v>1</v>
      </c>
      <c r="C102" s="1127">
        <f>1.9362/C101</f>
        <v>0.96809999999999996</v>
      </c>
      <c r="D102" s="1127">
        <f>1.9362/D101</f>
        <v>0.96809999999999996</v>
      </c>
      <c r="E102" s="1127">
        <f>1.8629/E101</f>
        <v>0.93145</v>
      </c>
      <c r="F102" s="1127">
        <f>1.8629/F101</f>
        <v>0.93145</v>
      </c>
      <c r="G102" s="1127">
        <f>1.8629/G101</f>
        <v>0.93145</v>
      </c>
      <c r="H102" s="1127">
        <f>1.8629/H101</f>
        <v>0.93145</v>
      </c>
      <c r="I102" s="1127">
        <f>1.8629/I101</f>
        <v>0.93145</v>
      </c>
      <c r="J102" s="1127">
        <f>1.942/J101</f>
        <v>0.97099999999999997</v>
      </c>
      <c r="K102" s="1127">
        <f>1.942/K101</f>
        <v>0.97099999999999997</v>
      </c>
      <c r="L102" s="1127">
        <f>1.942/L101</f>
        <v>0.97099999999999997</v>
      </c>
      <c r="M102" s="1127">
        <f>1.942/M101</f>
        <v>0.97099999999999997</v>
      </c>
      <c r="N102" s="1127">
        <f>1.942/N101</f>
        <v>0.97099999999999997</v>
      </c>
    </row>
    <row r="103" spans="1:14">
      <c r="A103" s="3525"/>
      <c r="B103" s="1126">
        <v>2</v>
      </c>
      <c r="C103" s="1127">
        <f>1.4198/C101</f>
        <v>0.70989999999999998</v>
      </c>
      <c r="D103" s="1127">
        <f>1.4198/D101</f>
        <v>0.70989999999999998</v>
      </c>
      <c r="E103" s="1127">
        <f>1.3372/E101</f>
        <v>0.66859999999999997</v>
      </c>
      <c r="F103" s="1127">
        <f>1.3372/F101</f>
        <v>0.66859999999999997</v>
      </c>
      <c r="G103" s="1127">
        <f>1.3372/G101</f>
        <v>0.66859999999999997</v>
      </c>
      <c r="H103" s="1127">
        <f>1.3372/H101</f>
        <v>0.66859999999999997</v>
      </c>
      <c r="I103" s="1127">
        <f>1.3372/I101</f>
        <v>0.66859999999999997</v>
      </c>
      <c r="J103" s="1127">
        <f>1.2799/J101</f>
        <v>0.63995000000000002</v>
      </c>
      <c r="K103" s="1127">
        <f>1.2799/K101</f>
        <v>0.63995000000000002</v>
      </c>
      <c r="L103" s="1127">
        <f>1.2799/L101</f>
        <v>0.63995000000000002</v>
      </c>
      <c r="M103" s="1127">
        <f>1.2799/M101</f>
        <v>0.63995000000000002</v>
      </c>
      <c r="N103" s="1127">
        <f>1.2799/N101</f>
        <v>0.63995000000000002</v>
      </c>
    </row>
    <row r="104" spans="1:14">
      <c r="A104" s="3525"/>
      <c r="B104" s="1126">
        <v>3</v>
      </c>
      <c r="C104" s="1127">
        <f>1.1594/C101</f>
        <v>0.57969999999999999</v>
      </c>
      <c r="D104" s="1127">
        <f>1.1594/D101</f>
        <v>0.57969999999999999</v>
      </c>
      <c r="E104" s="1127">
        <f>1.0788/E101</f>
        <v>0.53939999999999999</v>
      </c>
      <c r="F104" s="1127">
        <f>1.0788/F101</f>
        <v>0.53939999999999999</v>
      </c>
      <c r="G104" s="1127">
        <f>1.0788/G101</f>
        <v>0.53939999999999999</v>
      </c>
      <c r="H104" s="1127">
        <f>1.0788/H101</f>
        <v>0.53939999999999999</v>
      </c>
      <c r="I104" s="1127">
        <f>1.0788/I101</f>
        <v>0.53939999999999999</v>
      </c>
      <c r="J104" s="1127">
        <f>1.0072/J101</f>
        <v>0.50360000000000005</v>
      </c>
      <c r="K104" s="1127">
        <f>1.0072/K101</f>
        <v>0.50360000000000005</v>
      </c>
      <c r="L104" s="1127">
        <f>1.0072/L101</f>
        <v>0.50360000000000005</v>
      </c>
      <c r="M104" s="1127">
        <f>1.0072/M101</f>
        <v>0.50360000000000005</v>
      </c>
      <c r="N104" s="1127">
        <f>1.0072/N101</f>
        <v>0.50360000000000005</v>
      </c>
    </row>
    <row r="105" spans="1:14">
      <c r="A105" s="3525"/>
      <c r="B105" s="1126">
        <v>4</v>
      </c>
      <c r="C105" s="1127">
        <f>0.9622/C101</f>
        <v>0.48110000000000003</v>
      </c>
      <c r="D105" s="1127">
        <f>0.9622/D101</f>
        <v>0.48110000000000003</v>
      </c>
      <c r="E105" s="1127">
        <f>0.8656/E101</f>
        <v>0.43280000000000002</v>
      </c>
      <c r="F105" s="1127">
        <f>0.8656/F101</f>
        <v>0.43280000000000002</v>
      </c>
      <c r="G105" s="1127">
        <f>0.8656/G101</f>
        <v>0.43280000000000002</v>
      </c>
      <c r="H105" s="1127">
        <f>0.8656/H101</f>
        <v>0.43280000000000002</v>
      </c>
      <c r="I105" s="1127">
        <f>0.8656/I101</f>
        <v>0.43280000000000002</v>
      </c>
      <c r="J105" s="1127">
        <f>0.7525/J101</f>
        <v>0.37624999999999997</v>
      </c>
      <c r="K105" s="1127">
        <f>0.7525/K101</f>
        <v>0.37624999999999997</v>
      </c>
      <c r="L105" s="1127">
        <f>0.7525/L101</f>
        <v>0.37624999999999997</v>
      </c>
      <c r="M105" s="1127">
        <f>0.7525/M101</f>
        <v>0.37624999999999997</v>
      </c>
      <c r="N105" s="1127">
        <f>0.7525/N101</f>
        <v>0.37624999999999997</v>
      </c>
    </row>
    <row r="106" spans="1:14">
      <c r="A106" s="3525"/>
      <c r="B106" s="1126">
        <v>5</v>
      </c>
      <c r="C106" s="1127">
        <f>0.8417/C101</f>
        <v>0.42085</v>
      </c>
      <c r="D106" s="1127">
        <f>0.8417/D101</f>
        <v>0.42085</v>
      </c>
      <c r="E106" s="1127">
        <f>0.7371/E101</f>
        <v>0.36854999999999999</v>
      </c>
      <c r="F106" s="1127">
        <f>0.7371/F101</f>
        <v>0.36854999999999999</v>
      </c>
      <c r="G106" s="1127">
        <f>0.7371/G101</f>
        <v>0.36854999999999999</v>
      </c>
      <c r="H106" s="1127">
        <f>0.7371/H101</f>
        <v>0.36854999999999999</v>
      </c>
      <c r="I106" s="1127">
        <f>0.7371/I101</f>
        <v>0.36854999999999999</v>
      </c>
      <c r="J106" s="1127">
        <f>0.5659/J101</f>
        <v>0.28294999999999998</v>
      </c>
      <c r="K106" s="1127">
        <f>0.5659/K101</f>
        <v>0.28294999999999998</v>
      </c>
      <c r="L106" s="1127">
        <f>0.5659/L101</f>
        <v>0.28294999999999998</v>
      </c>
      <c r="M106" s="1127">
        <f>0.5659/M101</f>
        <v>0.28294999999999998</v>
      </c>
      <c r="N106" s="1127">
        <f>0.5659/N101</f>
        <v>0.28294999999999998</v>
      </c>
    </row>
    <row r="107" spans="1:14">
      <c r="A107" s="3525"/>
      <c r="B107" s="1126">
        <v>6</v>
      </c>
      <c r="C107" s="1127">
        <f>0.7608/C101</f>
        <v>0.38040000000000002</v>
      </c>
      <c r="D107" s="1127">
        <f>0.7608/D101</f>
        <v>0.38040000000000002</v>
      </c>
      <c r="E107" s="1127">
        <f>0.6482/E101</f>
        <v>0.3241</v>
      </c>
      <c r="F107" s="1127">
        <f>0.6482/F101</f>
        <v>0.3241</v>
      </c>
      <c r="G107" s="1127">
        <f>0.6482/G101</f>
        <v>0.3241</v>
      </c>
      <c r="H107" s="1127">
        <f>0.6482/H101</f>
        <v>0.3241</v>
      </c>
      <c r="I107" s="1127">
        <f>0.6482/I101</f>
        <v>0.3241</v>
      </c>
      <c r="J107" s="1127">
        <f>0.4525/J101</f>
        <v>0.22625000000000001</v>
      </c>
      <c r="K107" s="1127">
        <f>0.4525/K101</f>
        <v>0.22625000000000001</v>
      </c>
      <c r="L107" s="1127">
        <f>0.4525/L101</f>
        <v>0.22625000000000001</v>
      </c>
      <c r="M107" s="1127">
        <f>0.4525/M101</f>
        <v>0.22625000000000001</v>
      </c>
      <c r="N107" s="1127">
        <f>0.4525/N101</f>
        <v>0.22625000000000001</v>
      </c>
    </row>
    <row r="108" spans="1:14">
      <c r="A108" s="3525"/>
      <c r="B108" s="3527" t="s">
        <v>1629</v>
      </c>
      <c r="C108" s="1128">
        <f>C99</f>
        <v>10</v>
      </c>
      <c r="D108" s="1128">
        <f t="shared" ref="D108:N108" si="33">D99</f>
        <v>10</v>
      </c>
      <c r="E108" s="1128">
        <f t="shared" si="33"/>
        <v>10</v>
      </c>
      <c r="F108" s="1128">
        <f t="shared" si="33"/>
        <v>10</v>
      </c>
      <c r="G108" s="1128">
        <f t="shared" si="33"/>
        <v>10</v>
      </c>
      <c r="H108" s="1128">
        <f t="shared" si="33"/>
        <v>10</v>
      </c>
      <c r="I108" s="1128">
        <f t="shared" si="33"/>
        <v>10</v>
      </c>
      <c r="J108" s="1128">
        <f t="shared" si="33"/>
        <v>10</v>
      </c>
      <c r="K108" s="1128">
        <f t="shared" si="33"/>
        <v>10</v>
      </c>
      <c r="L108" s="1128">
        <f t="shared" si="33"/>
        <v>10</v>
      </c>
      <c r="M108" s="1128">
        <f t="shared" si="33"/>
        <v>10</v>
      </c>
      <c r="N108" s="1128">
        <f t="shared" si="33"/>
        <v>10</v>
      </c>
    </row>
    <row r="109" spans="1:14">
      <c r="A109" s="3526"/>
      <c r="B109" s="3528"/>
      <c r="C109" s="1129">
        <f>(-0.163*(C108^2)-0.59*C108+7617)*(10^(-4))/C101</f>
        <v>0.37974000000000002</v>
      </c>
      <c r="D109" s="1129">
        <f>(-0.163*(D108^2)-0.59*D108+7617)*(10^(-4))/D101</f>
        <v>0.37974000000000002</v>
      </c>
      <c r="E109" s="1129">
        <f>(-0.161*(E108^2)-7.509*E108+6533)*(10^(-4))/E101</f>
        <v>0.32209050000000006</v>
      </c>
      <c r="F109" s="1129">
        <f>(-0.161*(F108^2)-7.509*F108+6533)*(10^(-4))/F101</f>
        <v>0.32209050000000006</v>
      </c>
      <c r="G109" s="1129">
        <f>(-0.161*(G108^2)-7.509*G108+6533)*(10^(-4))/G101</f>
        <v>0.32209050000000006</v>
      </c>
      <c r="H109" s="1129">
        <f>(-0.161*(H108^2)-7.509*H108+6533)*(10^(-4))/H101</f>
        <v>0.32209050000000006</v>
      </c>
      <c r="I109" s="1129">
        <f>(-0.161*(I108^2)-7.509*I108+6533)*(10^(-4))/I101</f>
        <v>0.32209050000000006</v>
      </c>
      <c r="J109" s="1129">
        <f>(-0.214*(J108^2)-21.991*J108+4665)*(10^(-4))/J101</f>
        <v>0.22118449999999998</v>
      </c>
      <c r="K109" s="1129">
        <f>(-0.214*(K108^2)-21.991*K108+4665)*(10^(-4))/K101</f>
        <v>0.22118449999999998</v>
      </c>
      <c r="L109" s="1129">
        <f>(-0.214*(L108^2)-21.991*L108+4665)*(10^(-4))/L101</f>
        <v>0.22118449999999998</v>
      </c>
      <c r="M109" s="1129">
        <f>(-0.214*(M108^2)-21.991*M108+4665)*(10^(-4))/M101</f>
        <v>0.22118449999999998</v>
      </c>
      <c r="N109" s="1129">
        <f>(-0.214*(N108^2)-21.991*N108+4665)*(10^(-4))/N101</f>
        <v>0.22118449999999998</v>
      </c>
    </row>
    <row r="110" spans="1:14">
      <c r="A110" s="3510" t="s">
        <v>1630</v>
      </c>
      <c r="B110" s="3510"/>
      <c r="C110" s="3510"/>
      <c r="D110" s="3510"/>
      <c r="E110" s="3510"/>
      <c r="F110" s="3510"/>
      <c r="G110" s="3510"/>
      <c r="H110" s="3510"/>
      <c r="I110" s="3510"/>
      <c r="J110" s="3510"/>
      <c r="K110" s="2303"/>
      <c r="L110" s="2303"/>
      <c r="M110" s="2303"/>
      <c r="N110" s="2303"/>
    </row>
    <row r="112" spans="1:14" ht="12.75" thickBot="1"/>
    <row r="113" spans="1:13" ht="25.5" thickBot="1">
      <c r="A113" s="1003" t="s">
        <v>887</v>
      </c>
      <c r="B113" s="2306">
        <f>G3</f>
        <v>2</v>
      </c>
      <c r="C113" s="1004" t="s">
        <v>888</v>
      </c>
      <c r="D113" s="1005">
        <f>SUMPRODUCT((A115:A118=F113)*(B114:M114=H113)*B115:M118)</f>
        <v>0.65800000000000003</v>
      </c>
      <c r="E113" s="1006" t="s">
        <v>889</v>
      </c>
      <c r="F113" s="1007" t="str">
        <f>E2</f>
        <v>商业</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0.91469999999999996</v>
      </c>
      <c r="C115" s="1017">
        <f>B115</f>
        <v>0.91469999999999996</v>
      </c>
      <c r="D115" s="1017">
        <f>ROUND(0.8331-0.0109*B113,4)</f>
        <v>0.81130000000000002</v>
      </c>
      <c r="E115" s="1017">
        <f>D115</f>
        <v>0.81130000000000002</v>
      </c>
      <c r="F115" s="1017">
        <f>E115</f>
        <v>0.81130000000000002</v>
      </c>
      <c r="G115" s="1017">
        <f>F115</f>
        <v>0.81130000000000002</v>
      </c>
      <c r="H115" s="1017">
        <f>G115</f>
        <v>0.81130000000000002</v>
      </c>
      <c r="I115" s="1017">
        <f>ROUND(0.689-0.0155*B113,4)</f>
        <v>0.65800000000000003</v>
      </c>
      <c r="J115" s="1017">
        <f t="shared" ref="J115:M118" si="34">I115</f>
        <v>0.65800000000000003</v>
      </c>
      <c r="K115" s="1017">
        <f t="shared" si="34"/>
        <v>0.65800000000000003</v>
      </c>
      <c r="L115" s="1017">
        <f t="shared" si="34"/>
        <v>0.65800000000000003</v>
      </c>
      <c r="M115" s="1018">
        <f t="shared" si="34"/>
        <v>0.65800000000000003</v>
      </c>
    </row>
    <row r="116" spans="1:13" ht="12.75">
      <c r="A116" s="1016" t="s">
        <v>892</v>
      </c>
      <c r="B116" s="1017">
        <f>ROUND(0.949-0.012*B113,4)</f>
        <v>0.92500000000000004</v>
      </c>
      <c r="C116" s="1017">
        <f>B116</f>
        <v>0.92500000000000004</v>
      </c>
      <c r="D116" s="1017">
        <f>ROUND(0.8567-0.013*B113,4)</f>
        <v>0.83069999999999999</v>
      </c>
      <c r="E116" s="1017">
        <f t="shared" ref="E116:H117" si="35">D116</f>
        <v>0.83069999999999999</v>
      </c>
      <c r="F116" s="1017">
        <f t="shared" si="35"/>
        <v>0.83069999999999999</v>
      </c>
      <c r="G116" s="1017">
        <f t="shared" si="35"/>
        <v>0.83069999999999999</v>
      </c>
      <c r="H116" s="1017">
        <f t="shared" si="35"/>
        <v>0.83069999999999999</v>
      </c>
      <c r="I116" s="1017">
        <f>ROUND(0.7694-0.014*B113,4)</f>
        <v>0.74139999999999995</v>
      </c>
      <c r="J116" s="1017">
        <f t="shared" si="34"/>
        <v>0.74139999999999995</v>
      </c>
      <c r="K116" s="1017">
        <f t="shared" si="34"/>
        <v>0.74139999999999995</v>
      </c>
      <c r="L116" s="1017">
        <f t="shared" si="34"/>
        <v>0.74139999999999995</v>
      </c>
      <c r="M116" s="1018">
        <f t="shared" si="34"/>
        <v>0.74139999999999995</v>
      </c>
    </row>
    <row r="117" spans="1:13" ht="12.75">
      <c r="A117" s="1019" t="s">
        <v>893</v>
      </c>
      <c r="B117" s="1017">
        <f>ROUND(0.8808-0.006*B113,4)</f>
        <v>0.86880000000000002</v>
      </c>
      <c r="C117" s="1017">
        <f>B117</f>
        <v>0.86880000000000002</v>
      </c>
      <c r="D117" s="1017">
        <f>ROUND(0.8748-0.008*B113,4)</f>
        <v>0.85880000000000001</v>
      </c>
      <c r="E117" s="1017">
        <f t="shared" si="35"/>
        <v>0.85880000000000001</v>
      </c>
      <c r="F117" s="1017">
        <f t="shared" si="35"/>
        <v>0.85880000000000001</v>
      </c>
      <c r="G117" s="1017">
        <f t="shared" si="35"/>
        <v>0.85880000000000001</v>
      </c>
      <c r="H117" s="1017">
        <f t="shared" si="35"/>
        <v>0.85880000000000001</v>
      </c>
      <c r="I117" s="1017">
        <f>ROUND(0.7412-0.0095*B113,4)</f>
        <v>0.72219999999999995</v>
      </c>
      <c r="J117" s="1017">
        <f t="shared" si="34"/>
        <v>0.72219999999999995</v>
      </c>
      <c r="K117" s="1017">
        <f t="shared" si="34"/>
        <v>0.72219999999999995</v>
      </c>
      <c r="L117" s="1017">
        <f t="shared" si="34"/>
        <v>0.72219999999999995</v>
      </c>
      <c r="M117" s="1018">
        <f t="shared" si="34"/>
        <v>0.72219999999999995</v>
      </c>
    </row>
    <row r="118" spans="1:13" ht="13.5" thickBot="1">
      <c r="A118" s="1020" t="s">
        <v>894</v>
      </c>
      <c r="B118" s="1021">
        <f>ROUND(0.7275-0.01*B113,4)</f>
        <v>0.70750000000000002</v>
      </c>
      <c r="C118" s="1021">
        <f>B118</f>
        <v>0.70750000000000002</v>
      </c>
      <c r="D118" s="1021">
        <f>ROUND(0.7043-0.012*B113,4)</f>
        <v>0.68030000000000002</v>
      </c>
      <c r="E118" s="1021">
        <f>D118</f>
        <v>0.68030000000000002</v>
      </c>
      <c r="F118" s="1021">
        <f>E118</f>
        <v>0.68030000000000002</v>
      </c>
      <c r="G118" s="1021">
        <f>ROUND(0.6299-0.0122*B113,4)</f>
        <v>0.60550000000000004</v>
      </c>
      <c r="H118" s="1021">
        <f>G118</f>
        <v>0.60550000000000004</v>
      </c>
      <c r="I118" s="1021">
        <f>ROUND(0.5667-0.0136*B113,4)</f>
        <v>0.53949999999999998</v>
      </c>
      <c r="J118" s="1021">
        <f t="shared" si="34"/>
        <v>0.53949999999999998</v>
      </c>
      <c r="K118" s="1021">
        <f t="shared" si="34"/>
        <v>0.53949999999999998</v>
      </c>
      <c r="L118" s="1021">
        <f t="shared" si="34"/>
        <v>0.53949999999999998</v>
      </c>
      <c r="M118" s="1022">
        <f t="shared" si="34"/>
        <v>0.53949999999999998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6" priority="5" stopIfTrue="1" operator="notEqual">
      <formula>"——"</formula>
    </cfRule>
  </conditionalFormatting>
  <conditionalFormatting sqref="F58">
    <cfRule type="cellIs" dxfId="135" priority="4" stopIfTrue="1" operator="notEqual">
      <formula>"——"</formula>
    </cfRule>
  </conditionalFormatting>
  <conditionalFormatting sqref="F69">
    <cfRule type="cellIs" dxfId="134" priority="3" stopIfTrue="1" operator="notEqual">
      <formula>"——"</formula>
    </cfRule>
  </conditionalFormatting>
  <conditionalFormatting sqref="F80">
    <cfRule type="cellIs" dxfId="133" priority="2" stopIfTrue="1" operator="notEqual">
      <formula>"——"</formula>
    </cfRule>
  </conditionalFormatting>
  <conditionalFormatting sqref="H58:H66 H47:H55 H69:H77 H80:H87">
    <cfRule type="cellIs" dxfId="13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17" t="s">
        <v>998</v>
      </c>
      <c r="B18" s="1137" t="s">
        <v>1437</v>
      </c>
      <c r="C18" s="1114" t="s">
        <v>1438</v>
      </c>
      <c r="D18" s="1115"/>
      <c r="E18" s="1137">
        <v>1</v>
      </c>
      <c r="F18" s="1116" t="s">
        <v>1439</v>
      </c>
      <c r="G18" s="1117"/>
      <c r="H18" s="1088"/>
      <c r="I18" s="1088"/>
    </row>
    <row r="19" spans="1:9" s="1530" customFormat="1" ht="19.5" customHeight="1">
      <c r="A19" s="3517"/>
      <c r="B19" s="3517" t="s">
        <v>1440</v>
      </c>
      <c r="C19" s="1114" t="s">
        <v>1441</v>
      </c>
      <c r="D19" s="1115"/>
      <c r="E19" s="1137">
        <v>0.9</v>
      </c>
      <c r="F19" s="1116" t="s">
        <v>1442</v>
      </c>
      <c r="G19" s="1117"/>
      <c r="H19" s="1088"/>
      <c r="I19" s="1088"/>
    </row>
    <row r="20" spans="1:9" s="1530" customFormat="1" ht="19.5" customHeight="1">
      <c r="A20" s="3517"/>
      <c r="B20" s="3517"/>
      <c r="C20" s="1114" t="s">
        <v>1443</v>
      </c>
      <c r="D20" s="1115"/>
      <c r="E20" s="1137">
        <v>1.1000000000000001</v>
      </c>
      <c r="F20" s="1116" t="s">
        <v>1444</v>
      </c>
      <c r="G20" s="1117"/>
      <c r="H20" s="1088"/>
      <c r="I20" s="1088"/>
    </row>
    <row r="21" spans="1:9" s="1530" customFormat="1" ht="19.5" customHeight="1">
      <c r="A21" s="3517"/>
      <c r="B21" s="3517"/>
      <c r="C21" s="1114" t="s">
        <v>1445</v>
      </c>
      <c r="D21" s="1115"/>
      <c r="E21" s="1137">
        <v>0.8</v>
      </c>
      <c r="F21" s="1116" t="s">
        <v>1446</v>
      </c>
      <c r="G21" s="1117"/>
      <c r="H21" s="1088"/>
      <c r="I21" s="1088"/>
    </row>
    <row r="22" spans="1:9" s="1530" customFormat="1" ht="19.5" customHeight="1">
      <c r="A22" s="3517"/>
      <c r="B22" s="3517"/>
      <c r="C22" s="1114" t="s">
        <v>1447</v>
      </c>
      <c r="D22" s="1115"/>
      <c r="E22" s="1137">
        <v>0.5</v>
      </c>
      <c r="F22" s="1116"/>
      <c r="G22" s="1117"/>
      <c r="H22" s="1088"/>
      <c r="I22" s="1088"/>
    </row>
    <row r="23" spans="1:9" s="1530" customFormat="1" ht="19.5" customHeight="1">
      <c r="A23" s="3517" t="s">
        <v>1020</v>
      </c>
      <c r="B23" s="1137" t="s">
        <v>1437</v>
      </c>
      <c r="C23" s="1114" t="s">
        <v>1448</v>
      </c>
      <c r="D23" s="1115"/>
      <c r="E23" s="1137">
        <v>1</v>
      </c>
      <c r="F23" s="1116" t="s">
        <v>1449</v>
      </c>
      <c r="G23" s="1117"/>
      <c r="H23" s="1088"/>
      <c r="I23" s="1088"/>
    </row>
    <row r="24" spans="1:9" s="1530" customFormat="1" ht="19.5" customHeight="1">
      <c r="A24" s="3517"/>
      <c r="B24" s="3517" t="s">
        <v>1440</v>
      </c>
      <c r="C24" s="1114" t="s">
        <v>1450</v>
      </c>
      <c r="D24" s="1115"/>
      <c r="E24" s="1137">
        <v>0.5</v>
      </c>
      <c r="F24" s="1116"/>
      <c r="G24" s="1117"/>
      <c r="H24" s="1088"/>
      <c r="I24" s="1088"/>
    </row>
    <row r="25" spans="1:9" s="1530" customFormat="1" ht="19.5" customHeight="1">
      <c r="A25" s="3517"/>
      <c r="B25" s="3517"/>
      <c r="C25" s="1114" t="s">
        <v>1451</v>
      </c>
      <c r="D25" s="1115"/>
      <c r="E25" s="1137">
        <v>1.1000000000000001</v>
      </c>
      <c r="F25" s="1116"/>
      <c r="G25" s="1117"/>
      <c r="H25" s="1088"/>
      <c r="I25" s="1088"/>
    </row>
    <row r="26" spans="1:9" s="1530" customFormat="1" ht="19.5" customHeight="1">
      <c r="A26" s="3517"/>
      <c r="B26" s="3517"/>
      <c r="C26" s="1114" t="s">
        <v>1452</v>
      </c>
      <c r="D26" s="1115"/>
      <c r="E26" s="1137">
        <v>1.1000000000000001</v>
      </c>
      <c r="F26" s="1116"/>
      <c r="G26" s="1117"/>
      <c r="H26" s="1088"/>
      <c r="I26" s="1088"/>
    </row>
    <row r="27" spans="1:9" s="1530" customFormat="1" ht="19.5" customHeight="1">
      <c r="A27" s="3517"/>
      <c r="B27" s="3517"/>
      <c r="C27" s="1114" t="s">
        <v>1453</v>
      </c>
      <c r="D27" s="1115"/>
      <c r="E27" s="1137">
        <v>0.9</v>
      </c>
      <c r="F27" s="1116" t="s">
        <v>1454</v>
      </c>
      <c r="G27" s="1117"/>
      <c r="H27" s="1088"/>
      <c r="I27" s="1088"/>
    </row>
    <row r="28" spans="1:9" s="1530" customFormat="1" ht="19.5" customHeight="1">
      <c r="A28" s="3517"/>
      <c r="B28" s="3517"/>
      <c r="C28" s="1114" t="s">
        <v>1455</v>
      </c>
      <c r="D28" s="1115"/>
      <c r="E28" s="1137">
        <v>0.9</v>
      </c>
      <c r="F28" s="1116" t="s">
        <v>1456</v>
      </c>
      <c r="G28" s="1117"/>
      <c r="H28" s="1088"/>
      <c r="I28" s="1088"/>
    </row>
    <row r="29" spans="1:9" s="1530" customFormat="1" ht="19.5" customHeight="1">
      <c r="A29" s="3517"/>
      <c r="B29" s="3517"/>
      <c r="C29" s="1114" t="s">
        <v>1457</v>
      </c>
      <c r="D29" s="1115"/>
      <c r="E29" s="1137">
        <v>0.9</v>
      </c>
      <c r="F29" s="1116" t="s">
        <v>1458</v>
      </c>
      <c r="G29" s="1117"/>
      <c r="H29" s="1088"/>
      <c r="I29" s="1088"/>
    </row>
    <row r="30" spans="1:9" s="1530" customFormat="1" ht="19.5" customHeight="1">
      <c r="A30" s="3517"/>
      <c r="B30" s="3517"/>
      <c r="C30" s="1114" t="s">
        <v>1459</v>
      </c>
      <c r="D30" s="1115"/>
      <c r="E30" s="1137">
        <v>0.9</v>
      </c>
      <c r="F30" s="1116" t="s">
        <v>1460</v>
      </c>
      <c r="G30" s="1117"/>
      <c r="H30" s="1088"/>
      <c r="I30" s="1088"/>
    </row>
    <row r="31" spans="1:9" s="1530" customFormat="1" ht="19.5" customHeight="1">
      <c r="A31" s="3517"/>
      <c r="B31" s="3517"/>
      <c r="C31" s="1114" t="s">
        <v>1461</v>
      </c>
      <c r="D31" s="1115"/>
      <c r="E31" s="1137">
        <v>0.8</v>
      </c>
      <c r="F31" s="1116" t="s">
        <v>1462</v>
      </c>
      <c r="G31" s="1117"/>
      <c r="H31" s="1088"/>
      <c r="I31" s="1088"/>
    </row>
    <row r="32" spans="1:9" s="1530" customFormat="1" ht="19.5" customHeight="1">
      <c r="A32" s="3517"/>
      <c r="B32" s="3517"/>
      <c r="C32" s="1114" t="s">
        <v>1463</v>
      </c>
      <c r="D32" s="1115"/>
      <c r="E32" s="1137">
        <v>0.8</v>
      </c>
      <c r="F32" s="1116" t="s">
        <v>1464</v>
      </c>
      <c r="G32" s="1117"/>
      <c r="H32" s="1088"/>
      <c r="I32" s="1088"/>
    </row>
    <row r="33" spans="1:9" s="1530" customFormat="1" ht="19.5" customHeight="1">
      <c r="A33" s="3517" t="s">
        <v>1465</v>
      </c>
      <c r="B33" s="1137" t="s">
        <v>1437</v>
      </c>
      <c r="C33" s="1114" t="s">
        <v>1466</v>
      </c>
      <c r="D33" s="1115"/>
      <c r="E33" s="1137">
        <v>1</v>
      </c>
      <c r="F33" s="1116" t="s">
        <v>1467</v>
      </c>
      <c r="G33" s="1117"/>
      <c r="H33" s="1088"/>
      <c r="I33" s="1088"/>
    </row>
    <row r="34" spans="1:9" s="1530" customFormat="1" ht="19.5" customHeight="1">
      <c r="A34" s="3517"/>
      <c r="B34" s="1137" t="s">
        <v>1440</v>
      </c>
      <c r="C34" s="1114" t="s">
        <v>1468</v>
      </c>
      <c r="D34" s="1115"/>
      <c r="E34" s="1137">
        <v>1.5</v>
      </c>
      <c r="F34" s="1116" t="s">
        <v>1469</v>
      </c>
      <c r="G34" s="1117"/>
      <c r="H34" s="1088"/>
      <c r="I34" s="1088"/>
    </row>
    <row r="35" spans="1:9" s="1530" customFormat="1" ht="19.5" customHeight="1">
      <c r="A35" s="3517" t="s">
        <v>1423</v>
      </c>
      <c r="B35" s="1137" t="s">
        <v>1437</v>
      </c>
      <c r="C35" s="1114" t="s">
        <v>1470</v>
      </c>
      <c r="D35" s="1115"/>
      <c r="E35" s="1137">
        <v>1</v>
      </c>
      <c r="F35" s="1116" t="s">
        <v>1471</v>
      </c>
      <c r="G35" s="1117"/>
      <c r="H35" s="1088"/>
      <c r="I35" s="1088"/>
    </row>
    <row r="36" spans="1:9" s="1530" customFormat="1" ht="19.5" customHeight="1">
      <c r="A36" s="3517"/>
      <c r="B36" s="3517" t="s">
        <v>1440</v>
      </c>
      <c r="C36" s="1114" t="s">
        <v>1472</v>
      </c>
      <c r="D36" s="1115"/>
      <c r="E36" s="1137">
        <v>1</v>
      </c>
      <c r="F36" s="1116" t="s">
        <v>1473</v>
      </c>
      <c r="G36" s="1117"/>
      <c r="H36" s="1088"/>
      <c r="I36" s="1088"/>
    </row>
    <row r="37" spans="1:9" s="1530" customFormat="1" ht="19.5" customHeight="1">
      <c r="A37" s="3517"/>
      <c r="B37" s="3517"/>
      <c r="C37" s="1114" t="s">
        <v>1474</v>
      </c>
      <c r="D37" s="1115"/>
      <c r="E37" s="1137">
        <v>1.5</v>
      </c>
      <c r="F37" s="1116" t="s">
        <v>1475</v>
      </c>
      <c r="G37" s="1117"/>
      <c r="H37" s="1088"/>
      <c r="I37" s="1088"/>
    </row>
    <row r="38" spans="1:9" s="1530" customFormat="1" ht="19.5" customHeight="1">
      <c r="A38" s="3517"/>
      <c r="B38" s="3517"/>
      <c r="C38" s="1114" t="s">
        <v>1476</v>
      </c>
      <c r="D38" s="1115"/>
      <c r="E38" s="1137">
        <v>1</v>
      </c>
      <c r="F38" s="1116" t="s">
        <v>1477</v>
      </c>
      <c r="G38" s="1117"/>
      <c r="H38" s="1088"/>
      <c r="I38" s="1088"/>
    </row>
    <row r="39" spans="1:9" s="1530" customFormat="1" ht="19.5" customHeight="1">
      <c r="A39" s="3517"/>
      <c r="B39" s="3517"/>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17" t="s">
        <v>1492</v>
      </c>
      <c r="C61" s="1051" t="s">
        <v>1493</v>
      </c>
      <c r="D61" s="1051" t="s">
        <v>1494</v>
      </c>
      <c r="E61" s="1122">
        <v>0.5</v>
      </c>
      <c r="F61" s="1137">
        <v>80</v>
      </c>
      <c r="H61" s="1088">
        <f>SUMIF(C59:C119,'基准地价-商业'!C8,E59:E119)</f>
        <v>0</v>
      </c>
    </row>
    <row r="62" spans="1:8" s="1088" customFormat="1" ht="24">
      <c r="A62" s="1137">
        <v>2</v>
      </c>
      <c r="B62" s="3517"/>
      <c r="C62" s="1051" t="s">
        <v>1495</v>
      </c>
      <c r="D62" s="1051" t="s">
        <v>1496</v>
      </c>
      <c r="E62" s="1122">
        <v>0.5</v>
      </c>
      <c r="F62" s="1137">
        <v>80</v>
      </c>
    </row>
    <row r="63" spans="1:8" s="1088" customFormat="1" ht="36">
      <c r="A63" s="1137">
        <v>3</v>
      </c>
      <c r="B63" s="3517"/>
      <c r="C63" s="1051" t="s">
        <v>1497</v>
      </c>
      <c r="D63" s="1051" t="s">
        <v>1498</v>
      </c>
      <c r="E63" s="1122">
        <v>0.5</v>
      </c>
      <c r="F63" s="1137">
        <v>80</v>
      </c>
    </row>
    <row r="64" spans="1:8" s="1088" customFormat="1" ht="36">
      <c r="A64" s="1137">
        <v>4</v>
      </c>
      <c r="B64" s="3517"/>
      <c r="C64" s="1051" t="s">
        <v>1499</v>
      </c>
      <c r="D64" s="1051" t="s">
        <v>1500</v>
      </c>
      <c r="E64" s="1122">
        <v>0.4</v>
      </c>
      <c r="F64" s="1137">
        <v>60</v>
      </c>
    </row>
    <row r="65" spans="1:6" s="1088" customFormat="1" ht="36">
      <c r="A65" s="1137">
        <v>5</v>
      </c>
      <c r="B65" s="3517"/>
      <c r="C65" s="1051" t="s">
        <v>1501</v>
      </c>
      <c r="D65" s="1051" t="s">
        <v>1502</v>
      </c>
      <c r="E65" s="1122">
        <v>0.2</v>
      </c>
      <c r="F65" s="1137">
        <v>30</v>
      </c>
    </row>
    <row r="66" spans="1:6" s="1088" customFormat="1" ht="36">
      <c r="A66" s="1137">
        <v>6</v>
      </c>
      <c r="B66" s="3517"/>
      <c r="C66" s="1051" t="s">
        <v>1503</v>
      </c>
      <c r="D66" s="1051" t="s">
        <v>1504</v>
      </c>
      <c r="E66" s="1122">
        <v>0.3</v>
      </c>
      <c r="F66" s="1137">
        <v>50</v>
      </c>
    </row>
    <row r="67" spans="1:6" s="1088" customFormat="1" ht="36">
      <c r="A67" s="1137">
        <v>7</v>
      </c>
      <c r="B67" s="3517"/>
      <c r="C67" s="1051" t="s">
        <v>1505</v>
      </c>
      <c r="D67" s="1051" t="s">
        <v>1506</v>
      </c>
      <c r="E67" s="1122">
        <v>0.2</v>
      </c>
      <c r="F67" s="1137">
        <v>30</v>
      </c>
    </row>
    <row r="68" spans="1:6" s="1088" customFormat="1" ht="36">
      <c r="A68" s="1137">
        <v>8</v>
      </c>
      <c r="B68" s="3517"/>
      <c r="C68" s="1051" t="s">
        <v>1507</v>
      </c>
      <c r="D68" s="1051" t="s">
        <v>1508</v>
      </c>
      <c r="E68" s="1122">
        <v>0.2</v>
      </c>
      <c r="F68" s="1137">
        <v>30</v>
      </c>
    </row>
    <row r="69" spans="1:6" s="1088" customFormat="1" ht="36">
      <c r="A69" s="1137">
        <v>9</v>
      </c>
      <c r="B69" s="3517"/>
      <c r="C69" s="1051" t="s">
        <v>1509</v>
      </c>
      <c r="D69" s="1051" t="s">
        <v>1510</v>
      </c>
      <c r="E69" s="1122">
        <v>0.2</v>
      </c>
      <c r="F69" s="1137">
        <v>30</v>
      </c>
    </row>
    <row r="70" spans="1:6" s="1088" customFormat="1" ht="48">
      <c r="A70" s="1137">
        <v>10</v>
      </c>
      <c r="B70" s="3517"/>
      <c r="C70" s="1051" t="s">
        <v>1511</v>
      </c>
      <c r="D70" s="1051" t="s">
        <v>1512</v>
      </c>
      <c r="E70" s="1122">
        <v>0.2</v>
      </c>
      <c r="F70" s="1137">
        <v>30</v>
      </c>
    </row>
    <row r="71" spans="1:6" s="1088" customFormat="1" ht="48">
      <c r="A71" s="1137">
        <v>11</v>
      </c>
      <c r="B71" s="3517"/>
      <c r="C71" s="1051" t="s">
        <v>1513</v>
      </c>
      <c r="D71" s="1051" t="s">
        <v>1514</v>
      </c>
      <c r="E71" s="1122">
        <v>0.2</v>
      </c>
      <c r="F71" s="1137">
        <v>30</v>
      </c>
    </row>
    <row r="72" spans="1:6" s="1088" customFormat="1" ht="36">
      <c r="A72" s="1137">
        <v>12</v>
      </c>
      <c r="B72" s="3517"/>
      <c r="C72" s="1051" t="s">
        <v>1515</v>
      </c>
      <c r="D72" s="1051" t="s">
        <v>1516</v>
      </c>
      <c r="E72" s="1122">
        <v>0.5</v>
      </c>
      <c r="F72" s="1137">
        <v>80</v>
      </c>
    </row>
    <row r="73" spans="1:6" s="1088" customFormat="1" ht="24">
      <c r="A73" s="1137">
        <v>13</v>
      </c>
      <c r="B73" s="3517"/>
      <c r="C73" s="1051" t="s">
        <v>1517</v>
      </c>
      <c r="D73" s="1051" t="s">
        <v>1518</v>
      </c>
      <c r="E73" s="1122">
        <v>0.4</v>
      </c>
      <c r="F73" s="1137">
        <v>60</v>
      </c>
    </row>
    <row r="74" spans="1:6" s="1088" customFormat="1" ht="24">
      <c r="A74" s="1137">
        <v>14</v>
      </c>
      <c r="B74" s="3517"/>
      <c r="C74" s="1051" t="s">
        <v>1519</v>
      </c>
      <c r="D74" s="1051" t="s">
        <v>1520</v>
      </c>
      <c r="E74" s="1122">
        <v>0.2</v>
      </c>
      <c r="F74" s="1137">
        <v>30</v>
      </c>
    </row>
    <row r="75" spans="1:6" s="1088" customFormat="1" ht="24">
      <c r="A75" s="1137">
        <v>15</v>
      </c>
      <c r="B75" s="3517"/>
      <c r="C75" s="1051" t="s">
        <v>1521</v>
      </c>
      <c r="D75" s="1051" t="s">
        <v>1522</v>
      </c>
      <c r="E75" s="1122">
        <v>0.2</v>
      </c>
      <c r="F75" s="1137">
        <v>30</v>
      </c>
    </row>
    <row r="76" spans="1:6" s="1088" customFormat="1" ht="24">
      <c r="A76" s="1137">
        <v>16</v>
      </c>
      <c r="B76" s="3517" t="s">
        <v>1523</v>
      </c>
      <c r="C76" s="1051" t="s">
        <v>1524</v>
      </c>
      <c r="D76" s="1051" t="s">
        <v>1525</v>
      </c>
      <c r="E76" s="1122">
        <v>0.5</v>
      </c>
      <c r="F76" s="1137">
        <v>80</v>
      </c>
    </row>
    <row r="77" spans="1:6" s="1088" customFormat="1" ht="24">
      <c r="A77" s="1137">
        <v>17</v>
      </c>
      <c r="B77" s="3517"/>
      <c r="C77" s="1051" t="s">
        <v>1526</v>
      </c>
      <c r="D77" s="1051" t="s">
        <v>1527</v>
      </c>
      <c r="E77" s="1122">
        <v>0.5</v>
      </c>
      <c r="F77" s="1137">
        <v>80</v>
      </c>
    </row>
    <row r="78" spans="1:6" s="1088" customFormat="1" ht="24">
      <c r="A78" s="1137">
        <v>18</v>
      </c>
      <c r="B78" s="3517"/>
      <c r="C78" s="1051" t="s">
        <v>1528</v>
      </c>
      <c r="D78" s="1051" t="s">
        <v>1529</v>
      </c>
      <c r="E78" s="1122">
        <v>0.2</v>
      </c>
      <c r="F78" s="1137">
        <v>30</v>
      </c>
    </row>
    <row r="79" spans="1:6" s="1088" customFormat="1" ht="24">
      <c r="A79" s="1137">
        <v>19</v>
      </c>
      <c r="B79" s="3517"/>
      <c r="C79" s="1051" t="s">
        <v>1530</v>
      </c>
      <c r="D79" s="1051" t="s">
        <v>1531</v>
      </c>
      <c r="E79" s="1122">
        <v>0.5</v>
      </c>
      <c r="F79" s="1137">
        <v>80</v>
      </c>
    </row>
    <row r="80" spans="1:6" s="1088" customFormat="1" ht="36">
      <c r="A80" s="1137">
        <v>20</v>
      </c>
      <c r="B80" s="3517"/>
      <c r="C80" s="1051" t="s">
        <v>1532</v>
      </c>
      <c r="D80" s="1051" t="s">
        <v>1533</v>
      </c>
      <c r="E80" s="1122">
        <v>0.2</v>
      </c>
      <c r="F80" s="1137">
        <v>30</v>
      </c>
    </row>
    <row r="81" spans="1:6" s="1088" customFormat="1" ht="36">
      <c r="A81" s="1137">
        <v>21</v>
      </c>
      <c r="B81" s="3517"/>
      <c r="C81" s="1051" t="s">
        <v>1534</v>
      </c>
      <c r="D81" s="1051" t="s">
        <v>1535</v>
      </c>
      <c r="E81" s="1122">
        <v>0.2</v>
      </c>
      <c r="F81" s="1137">
        <v>30</v>
      </c>
    </row>
    <row r="82" spans="1:6" s="1088" customFormat="1" ht="48">
      <c r="A82" s="1137">
        <v>22</v>
      </c>
      <c r="B82" s="3517"/>
      <c r="C82" s="1051" t="s">
        <v>1536</v>
      </c>
      <c r="D82" s="1051" t="s">
        <v>1537</v>
      </c>
      <c r="E82" s="1122">
        <v>0.2</v>
      </c>
      <c r="F82" s="1137">
        <v>30</v>
      </c>
    </row>
    <row r="83" spans="1:6" s="1088" customFormat="1" ht="48">
      <c r="A83" s="1137">
        <v>23</v>
      </c>
      <c r="B83" s="3517"/>
      <c r="C83" s="1051" t="s">
        <v>1538</v>
      </c>
      <c r="D83" s="1051" t="s">
        <v>1539</v>
      </c>
      <c r="E83" s="1122">
        <v>0.2</v>
      </c>
      <c r="F83" s="1137">
        <v>30</v>
      </c>
    </row>
    <row r="84" spans="1:6" s="1088" customFormat="1" ht="36">
      <c r="A84" s="1137">
        <v>24</v>
      </c>
      <c r="B84" s="3517"/>
      <c r="C84" s="1051" t="s">
        <v>1540</v>
      </c>
      <c r="D84" s="1051" t="s">
        <v>1541</v>
      </c>
      <c r="E84" s="1122">
        <v>0.2</v>
      </c>
      <c r="F84" s="1137">
        <v>30</v>
      </c>
    </row>
    <row r="85" spans="1:6" s="1088" customFormat="1" ht="36">
      <c r="A85" s="1137">
        <v>25</v>
      </c>
      <c r="B85" s="3517"/>
      <c r="C85" s="1051" t="s">
        <v>1542</v>
      </c>
      <c r="D85" s="1051" t="s">
        <v>1543</v>
      </c>
      <c r="E85" s="1122">
        <v>0.5</v>
      </c>
      <c r="F85" s="1137">
        <v>80</v>
      </c>
    </row>
    <row r="86" spans="1:6" s="1088" customFormat="1" ht="36">
      <c r="A86" s="1137">
        <v>26</v>
      </c>
      <c r="B86" s="3517"/>
      <c r="C86" s="1051" t="s">
        <v>1544</v>
      </c>
      <c r="D86" s="1051" t="s">
        <v>1545</v>
      </c>
      <c r="E86" s="1122">
        <v>0.2</v>
      </c>
      <c r="F86" s="1137">
        <v>30</v>
      </c>
    </row>
    <row r="87" spans="1:6" s="1088" customFormat="1" ht="36">
      <c r="A87" s="1137">
        <v>27</v>
      </c>
      <c r="B87" s="3517"/>
      <c r="C87" s="1051" t="s">
        <v>1546</v>
      </c>
      <c r="D87" s="1051" t="s">
        <v>1547</v>
      </c>
      <c r="E87" s="1122">
        <v>0.2</v>
      </c>
      <c r="F87" s="1137">
        <v>30</v>
      </c>
    </row>
    <row r="88" spans="1:6" s="1088" customFormat="1" ht="36">
      <c r="A88" s="1137">
        <v>28</v>
      </c>
      <c r="B88" s="3517"/>
      <c r="C88" s="1051" t="s">
        <v>1548</v>
      </c>
      <c r="D88" s="1051" t="s">
        <v>1549</v>
      </c>
      <c r="E88" s="1122">
        <v>0.2</v>
      </c>
      <c r="F88" s="1137">
        <v>30</v>
      </c>
    </row>
    <row r="89" spans="1:6" s="1088" customFormat="1" ht="24">
      <c r="A89" s="1137">
        <v>29</v>
      </c>
      <c r="B89" s="3517"/>
      <c r="C89" s="1051" t="s">
        <v>1550</v>
      </c>
      <c r="D89" s="1051" t="s">
        <v>1551</v>
      </c>
      <c r="E89" s="1122">
        <v>0.2</v>
      </c>
      <c r="F89" s="1137">
        <v>30</v>
      </c>
    </row>
    <row r="90" spans="1:6" s="1088" customFormat="1" ht="24">
      <c r="A90" s="1137">
        <v>30</v>
      </c>
      <c r="B90" s="3517"/>
      <c r="C90" s="1051" t="s">
        <v>1552</v>
      </c>
      <c r="D90" s="1051" t="s">
        <v>1553</v>
      </c>
      <c r="E90" s="1122">
        <v>0.2</v>
      </c>
      <c r="F90" s="1137">
        <v>30</v>
      </c>
    </row>
    <row r="91" spans="1:6" s="1088" customFormat="1" ht="36">
      <c r="A91" s="1137">
        <v>31</v>
      </c>
      <c r="B91" s="3517"/>
      <c r="C91" s="1051" t="s">
        <v>1554</v>
      </c>
      <c r="D91" s="1051" t="s">
        <v>1555</v>
      </c>
      <c r="E91" s="1122">
        <v>0.2</v>
      </c>
      <c r="F91" s="1137">
        <v>30</v>
      </c>
    </row>
    <row r="92" spans="1:6" s="1088" customFormat="1" ht="24">
      <c r="A92" s="1137">
        <v>32</v>
      </c>
      <c r="B92" s="3517" t="s">
        <v>1556</v>
      </c>
      <c r="C92" s="1137" t="s">
        <v>1557</v>
      </c>
      <c r="D92" s="1051" t="s">
        <v>1558</v>
      </c>
      <c r="E92" s="1122">
        <v>0.2</v>
      </c>
      <c r="F92" s="1137">
        <v>30</v>
      </c>
    </row>
    <row r="93" spans="1:6" s="1088" customFormat="1" ht="36">
      <c r="A93" s="1137">
        <v>33</v>
      </c>
      <c r="B93" s="3517"/>
      <c r="C93" s="1137" t="s">
        <v>1559</v>
      </c>
      <c r="D93" s="1051" t="s">
        <v>1560</v>
      </c>
      <c r="E93" s="1122">
        <v>0.2</v>
      </c>
      <c r="F93" s="1137">
        <v>30</v>
      </c>
    </row>
    <row r="94" spans="1:6" s="1088" customFormat="1" ht="48">
      <c r="A94" s="1137">
        <v>34</v>
      </c>
      <c r="B94" s="3517"/>
      <c r="C94" s="1137" t="s">
        <v>1561</v>
      </c>
      <c r="D94" s="1051" t="s">
        <v>1562</v>
      </c>
      <c r="E94" s="1122">
        <v>0.2</v>
      </c>
      <c r="F94" s="1137">
        <v>30</v>
      </c>
    </row>
    <row r="95" spans="1:6" s="1088" customFormat="1" ht="36">
      <c r="A95" s="1137">
        <v>35</v>
      </c>
      <c r="B95" s="3517"/>
      <c r="C95" s="1137" t="s">
        <v>1563</v>
      </c>
      <c r="D95" s="1051" t="s">
        <v>1564</v>
      </c>
      <c r="E95" s="1122">
        <v>0.2</v>
      </c>
      <c r="F95" s="1137">
        <v>30</v>
      </c>
    </row>
    <row r="96" spans="1:6" s="1088" customFormat="1" ht="48">
      <c r="A96" s="1137">
        <v>36</v>
      </c>
      <c r="B96" s="3517"/>
      <c r="C96" s="1051" t="s">
        <v>1565</v>
      </c>
      <c r="D96" s="1051" t="s">
        <v>1566</v>
      </c>
      <c r="E96" s="1122">
        <v>0.2</v>
      </c>
      <c r="F96" s="1137">
        <v>30</v>
      </c>
    </row>
    <row r="97" spans="1:6" s="1088" customFormat="1" ht="36">
      <c r="A97" s="1137">
        <v>37</v>
      </c>
      <c r="B97" s="3517"/>
      <c r="C97" s="1137" t="s">
        <v>1567</v>
      </c>
      <c r="D97" s="1051" t="s">
        <v>1568</v>
      </c>
      <c r="E97" s="1122">
        <v>0.2</v>
      </c>
      <c r="F97" s="1137">
        <v>30</v>
      </c>
    </row>
    <row r="98" spans="1:6" s="1088" customFormat="1" ht="36">
      <c r="A98" s="1137">
        <v>38</v>
      </c>
      <c r="B98" s="3517"/>
      <c r="C98" s="1137" t="s">
        <v>1569</v>
      </c>
      <c r="D98" s="1051" t="s">
        <v>1570</v>
      </c>
      <c r="E98" s="1122">
        <v>0.2</v>
      </c>
      <c r="F98" s="1137">
        <v>30</v>
      </c>
    </row>
    <row r="99" spans="1:6" s="1088" customFormat="1" ht="36">
      <c r="A99" s="1137">
        <v>39</v>
      </c>
      <c r="B99" s="3517" t="s">
        <v>1571</v>
      </c>
      <c r="C99" s="1137" t="s">
        <v>1572</v>
      </c>
      <c r="D99" s="1051" t="s">
        <v>1573</v>
      </c>
      <c r="E99" s="1122">
        <v>0.3</v>
      </c>
      <c r="F99" s="1137">
        <v>50</v>
      </c>
    </row>
    <row r="100" spans="1:6" s="1088" customFormat="1" ht="24">
      <c r="A100" s="1137">
        <v>40</v>
      </c>
      <c r="B100" s="3517"/>
      <c r="C100" s="1137" t="s">
        <v>1574</v>
      </c>
      <c r="D100" s="1051" t="s">
        <v>1575</v>
      </c>
      <c r="E100" s="1122">
        <v>0.2</v>
      </c>
      <c r="F100" s="1137">
        <v>30</v>
      </c>
    </row>
    <row r="101" spans="1:6" s="1088" customFormat="1" ht="36">
      <c r="A101" s="1137">
        <v>41</v>
      </c>
      <c r="B101" s="3517"/>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17" t="s">
        <v>1586</v>
      </c>
      <c r="C105" s="1137" t="s">
        <v>1587</v>
      </c>
      <c r="D105" s="1051" t="s">
        <v>1588</v>
      </c>
      <c r="E105" s="1122">
        <v>0.2</v>
      </c>
      <c r="F105" s="1137">
        <v>30</v>
      </c>
    </row>
    <row r="106" spans="1:6" s="1088" customFormat="1" ht="36">
      <c r="A106" s="1137">
        <v>46</v>
      </c>
      <c r="B106" s="3517"/>
      <c r="C106" s="1137" t="s">
        <v>1589</v>
      </c>
      <c r="D106" s="1051" t="s">
        <v>1590</v>
      </c>
      <c r="E106" s="1122">
        <v>0.2</v>
      </c>
      <c r="F106" s="1137">
        <v>30</v>
      </c>
    </row>
    <row r="107" spans="1:6" s="1088" customFormat="1" ht="36">
      <c r="A107" s="1137">
        <v>47</v>
      </c>
      <c r="B107" s="3517" t="s">
        <v>1591</v>
      </c>
      <c r="C107" s="1137" t="s">
        <v>1592</v>
      </c>
      <c r="D107" s="1051" t="s">
        <v>1593</v>
      </c>
      <c r="E107" s="1122">
        <v>0.3</v>
      </c>
      <c r="F107" s="1137">
        <v>50</v>
      </c>
    </row>
    <row r="108" spans="1:6" s="1088" customFormat="1" ht="36">
      <c r="A108" s="1137">
        <v>48</v>
      </c>
      <c r="B108" s="3517"/>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17" t="s">
        <v>1602</v>
      </c>
      <c r="C111" s="1137" t="s">
        <v>1603</v>
      </c>
      <c r="D111" s="1051" t="s">
        <v>1604</v>
      </c>
      <c r="E111" s="1122">
        <v>0.2</v>
      </c>
      <c r="F111" s="1137">
        <v>30</v>
      </c>
    </row>
    <row r="112" spans="1:6" s="1088" customFormat="1" ht="24">
      <c r="A112" s="1137">
        <v>52</v>
      </c>
      <c r="B112" s="3517"/>
      <c r="C112" s="1137" t="s">
        <v>1605</v>
      </c>
      <c r="D112" s="1051" t="s">
        <v>1606</v>
      </c>
      <c r="E112" s="1122">
        <v>0.2</v>
      </c>
      <c r="F112" s="1137">
        <v>30</v>
      </c>
    </row>
    <row r="113" spans="1:14" s="1088" customFormat="1" ht="24">
      <c r="A113" s="1137">
        <v>53</v>
      </c>
      <c r="B113" s="3517"/>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17" t="s">
        <v>1615</v>
      </c>
      <c r="C116" s="1137" t="s">
        <v>1616</v>
      </c>
      <c r="D116" s="1051" t="s">
        <v>1617</v>
      </c>
      <c r="E116" s="1122">
        <v>0.2</v>
      </c>
      <c r="F116" s="1137">
        <v>30</v>
      </c>
    </row>
    <row r="117" spans="1:14" ht="36">
      <c r="A117" s="1137">
        <v>57</v>
      </c>
      <c r="B117" s="3517"/>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16" t="s">
        <v>1624</v>
      </c>
      <c r="B121" s="3516"/>
      <c r="C121" s="3516"/>
      <c r="D121" s="3516"/>
      <c r="E121" s="3516"/>
      <c r="F121" s="3516"/>
      <c r="G121" s="3516"/>
      <c r="H121" s="3516"/>
      <c r="I121" s="3516"/>
      <c r="J121" s="351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31" t="s">
        <v>1030</v>
      </c>
      <c r="B1" s="3531"/>
      <c r="C1" s="3531"/>
      <c r="D1" s="3531"/>
      <c r="E1" s="3531"/>
      <c r="F1" s="353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32" t="s">
        <v>1043</v>
      </c>
      <c r="B2" s="3532"/>
      <c r="C2" s="3532"/>
      <c r="D2" s="3532"/>
      <c r="E2" s="3532"/>
      <c r="F2" s="353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3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3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SUMPRODUCT((B5:B9='基准地价-商业'!I2)*(C3:F3='基准地价-商业'!E2)*(C5:F9))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SUMPRODUCT((B10:B28='基准地价-商业'!I2)*(C3:F3='基准地价-商业'!E2)*(C10:F28))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SUMPRODUCT((B29:B48='基准地价-商业'!I2)*(C3:F3='基准地价-商业'!E2)*(C29:F48))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SUMPRODUCT((B49:B75='基准地价-商业'!I2)*(C3:F3='基准地价-商业'!E2)*(C49:F75))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SUMPRODUCT((B76:B109='基准地价-商业'!I2)*(C3:F3='基准地价-商业'!E2)*(C76:F109))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SUMPRODUCT((B110:B157='基准地价-商业'!I2)*(C3:F3='基准地价-商业'!E2)*(C110:F157))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SUMPRODUCT((B158:B205='基准地价-商业'!I2)*(C3:F3='基准地价-商业'!E2)*(C158:F205))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SUMPRODUCT((B206:B244='基准地价-商业'!I2)*(C3:F3='基准地价-商业'!E2)*(C206:F244))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SUMPRODUCT((B245:B289='基准地价-商业'!I2)*(C3:F3='基准地价-商业'!E2)*(C245:F289))</f>
        <v>4010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SUMPRODUCT((B290:B316='基准地价-商业'!I2)*(C3:F3='基准地价-商业'!E2)*(C290:F316))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SUMPRODUCT((B317:B337='基准地价-商业'!I2)*(C3:F3='基准地价-商业'!E2)*(C317:F337))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SUMPRODUCT((B338:B344='基准地价-商业'!I2)*(C3:F3='基准地价-商业'!E2)*(C338:F344))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SUMPRODUCT((A105:A204=ROUNDDOWN('基准地价-商业'!G3,1))*(B104:M104='基准地价-商业'!G2)*(B105:M204))</f>
        <v>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35" t="s">
        <v>2068</v>
      </c>
      <c r="B1" s="3535"/>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 zoomScale="85" zoomScaleNormal="60" zoomScaleSheetLayoutView="85" workbookViewId="0">
      <selection activeCell="D31" sqref="D3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982</v>
      </c>
      <c r="D1" s="1461">
        <f ca="1">SUM(D29:D30,D33:D39)</f>
        <v>6113</v>
      </c>
      <c r="E1" s="1355" t="s">
        <v>2412</v>
      </c>
      <c r="F1" s="2307"/>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1626</v>
      </c>
      <c r="T1" s="2653" t="s">
        <v>2764</v>
      </c>
      <c r="U1" s="2653" t="s">
        <v>2765</v>
      </c>
      <c r="V1" s="2653" t="s">
        <v>983</v>
      </c>
      <c r="W1" s="2070"/>
      <c r="X1" s="2070"/>
      <c r="Y1" s="2070"/>
      <c r="Z1" s="2070"/>
      <c r="AA1" s="2070"/>
      <c r="AB1" s="2070"/>
      <c r="AC1" s="2071"/>
    </row>
    <row r="2" spans="1:39" ht="15.75">
      <c r="A2" s="1355" t="s">
        <v>911</v>
      </c>
      <c r="B2" s="1025">
        <f ca="1">C26</f>
        <v>2391</v>
      </c>
      <c r="C2" s="1356" t="s">
        <v>912</v>
      </c>
      <c r="D2" s="1357" t="s">
        <v>889</v>
      </c>
      <c r="E2" s="1358" t="s">
        <v>1668</v>
      </c>
      <c r="F2" s="1357" t="s">
        <v>890</v>
      </c>
      <c r="G2" s="1581" t="str">
        <f>IF(E2="商业",项目基本情况!B43,IF(E2="办公",项目基本情况!C43,IF(E2="住宅",项目基本情况!D43,项目基本情况!E43)))</f>
        <v>九级</v>
      </c>
      <c r="H2" s="1357" t="s">
        <v>917</v>
      </c>
      <c r="I2" s="1582" t="str">
        <f>IF(E2="商业",项目基本情况!B44,IF(E2="办公",项目基本情况!C44,IF(E2="住宅",项目基本情况!D44,项目基本情况!E44)))</f>
        <v>Ⅸ-兴2</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10655</v>
      </c>
      <c r="U2" s="2643"/>
      <c r="V2" s="2654">
        <f ca="1">ROUND(T2*U2/10000,0)</f>
        <v>0</v>
      </c>
      <c r="W2" s="2070"/>
      <c r="X2" s="2070"/>
      <c r="Y2" s="2070"/>
      <c r="Z2" s="2070"/>
      <c r="AA2" s="2070"/>
      <c r="AB2" s="2070"/>
      <c r="AC2" s="2071"/>
    </row>
    <row r="3" spans="1:39" ht="24">
      <c r="A3" s="1360" t="s">
        <v>1678</v>
      </c>
      <c r="B3" s="1025">
        <f ca="1">ROUND(B2*10000/D1,0)</f>
        <v>3911</v>
      </c>
      <c r="C3" s="1356" t="s">
        <v>918</v>
      </c>
      <c r="D3" s="1357" t="s">
        <v>919</v>
      </c>
      <c r="E3" s="1361" t="s">
        <v>3019</v>
      </c>
      <c r="F3" s="1362" t="s">
        <v>3018</v>
      </c>
      <c r="G3" s="1026">
        <f>IF(F3="宗地容积率",'数据-汇总表'!I4,IF(F3="估价对象容积率",'数据-汇总表'!I6,'数据-汇总表'!I7))</f>
        <v>2.8</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7022</v>
      </c>
      <c r="U3" s="2643"/>
      <c r="V3" s="2654">
        <f t="shared" ref="V3:V16" ca="1" si="1">ROUND(T3*U3/10000,0)</f>
        <v>0</v>
      </c>
      <c r="W3" s="2070"/>
      <c r="X3" s="2070"/>
      <c r="Y3" s="2070"/>
      <c r="Z3" s="2070"/>
      <c r="AA3" s="2070"/>
      <c r="AB3" s="2070"/>
      <c r="AC3" s="2071"/>
    </row>
    <row r="4" spans="1:39" ht="28.5">
      <c r="A4" s="1805" t="s">
        <v>2268</v>
      </c>
      <c r="B4" s="2308" t="e">
        <f ca="1">ROUND(B2*10000/F1,0)</f>
        <v>#DIV/0!</v>
      </c>
      <c r="C4" s="1808" t="s">
        <v>2243</v>
      </c>
      <c r="D4" s="1808" t="e">
        <f ca="1">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5526</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3980</v>
      </c>
      <c r="D5" s="2793">
        <f>ROUND(C6+C16,0)</f>
        <v>3980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4129</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SUMIF(L1:L12,'基准地价-办公'!G2,M1:M12)</f>
        <v>3980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3105</v>
      </c>
      <c r="U6" s="2643"/>
      <c r="V6" s="2654">
        <f t="shared" ca="1" si="1"/>
        <v>0</v>
      </c>
      <c r="W6" s="2070"/>
      <c r="X6" s="2070"/>
      <c r="Y6" s="2070"/>
      <c r="Z6" s="2070"/>
      <c r="AA6" s="2070"/>
      <c r="AB6" s="2070"/>
      <c r="AC6" s="2072"/>
      <c r="AD6" s="1368"/>
      <c r="AE6" s="1368"/>
      <c r="AF6" s="1368"/>
      <c r="AG6" s="1368"/>
      <c r="AH6" s="1368"/>
      <c r="AI6" s="1368"/>
      <c r="AJ6" s="1369"/>
    </row>
    <row r="7" spans="1:39" ht="24">
      <c r="A7" s="3511"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2483</v>
      </c>
      <c r="U7" s="2643"/>
      <c r="V7" s="2654">
        <f t="shared" ca="1" si="1"/>
        <v>0</v>
      </c>
      <c r="W7" s="3280" t="s">
        <v>2745</v>
      </c>
      <c r="X7" s="2644" t="str">
        <f>G2</f>
        <v>九级</v>
      </c>
      <c r="Y7" s="2644" t="s">
        <v>2746</v>
      </c>
      <c r="Z7" s="2645">
        <f>G3</f>
        <v>2.8</v>
      </c>
      <c r="AA7" s="2073"/>
      <c r="AB7" s="2073"/>
      <c r="AC7" s="2074"/>
      <c r="AD7" s="2646"/>
      <c r="AE7" s="2646"/>
      <c r="AF7" s="2646"/>
      <c r="AG7" s="2646"/>
      <c r="AH7" s="2646"/>
      <c r="AI7" s="2646"/>
      <c r="AJ7" s="2647"/>
    </row>
    <row r="8" spans="1:39" ht="15">
      <c r="A8" s="3512"/>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22" t="s">
        <v>2763</v>
      </c>
      <c r="X8" s="3523"/>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12"/>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3980</v>
      </c>
      <c r="N9" s="1801">
        <f>SUMPRODUCT((因素修正幅度!B245:B289=I2)*(因素修正幅度!C3:F3=E2)*(因素修正幅度!C245:F289))</f>
        <v>0.14699999999999999</v>
      </c>
      <c r="O9" s="3235"/>
      <c r="P9" s="2070"/>
      <c r="Q9" s="2070"/>
      <c r="R9" s="2654">
        <v>8</v>
      </c>
      <c r="S9" s="2643"/>
      <c r="T9" s="2654">
        <f t="shared" ca="1" si="0"/>
        <v>0</v>
      </c>
      <c r="U9" s="2643"/>
      <c r="V9" s="2654">
        <f t="shared" ca="1" si="1"/>
        <v>0</v>
      </c>
      <c r="W9" s="3521"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12"/>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2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12"/>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21" t="s">
        <v>2761</v>
      </c>
      <c r="X11" s="1035" t="s">
        <v>2746</v>
      </c>
      <c r="Y11" s="1582">
        <f>$G$3</f>
        <v>2.8</v>
      </c>
      <c r="Z11" s="1582">
        <f t="shared" ref="Z11:AJ11" si="3">$G$3</f>
        <v>2.8</v>
      </c>
      <c r="AA11" s="1582">
        <f t="shared" si="3"/>
        <v>2.8</v>
      </c>
      <c r="AB11" s="1582">
        <f t="shared" si="3"/>
        <v>2.8</v>
      </c>
      <c r="AC11" s="1582">
        <f t="shared" si="3"/>
        <v>2.8</v>
      </c>
      <c r="AD11" s="1582">
        <f t="shared" si="3"/>
        <v>2.8</v>
      </c>
      <c r="AE11" s="1582">
        <f t="shared" si="3"/>
        <v>2.8</v>
      </c>
      <c r="AF11" s="1582">
        <f t="shared" si="3"/>
        <v>2.8</v>
      </c>
      <c r="AG11" s="1582">
        <f t="shared" si="3"/>
        <v>2.8</v>
      </c>
      <c r="AH11" s="1582">
        <f t="shared" si="3"/>
        <v>2.8</v>
      </c>
      <c r="AI11" s="1582">
        <f t="shared" si="3"/>
        <v>2.8</v>
      </c>
      <c r="AJ11" s="1582">
        <f t="shared" si="3"/>
        <v>2.8</v>
      </c>
    </row>
    <row r="12" spans="1:39" ht="25.5" thickBot="1">
      <c r="A12" s="3511"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21"/>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13"/>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21"/>
      <c r="X13" s="2651"/>
      <c r="Y13" s="2650">
        <f>(-0.163*(Y12^2)-0.59*Y12+7617)*(10^(-4))/Y11</f>
        <v>0.27203571428571433</v>
      </c>
      <c r="Z13" s="2650">
        <f t="shared" ref="Z13:AJ13" si="5">(-0.163*(Z12^2)-0.59*Z12+7617)*(10^(-4))/Z11</f>
        <v>0.27203571428571433</v>
      </c>
      <c r="AA13" s="2650">
        <f t="shared" si="5"/>
        <v>0.27203571428571433</v>
      </c>
      <c r="AB13" s="2650">
        <f t="shared" si="5"/>
        <v>0.27203571428571433</v>
      </c>
      <c r="AC13" s="2650">
        <f t="shared" si="5"/>
        <v>0.27203571428571433</v>
      </c>
      <c r="AD13" s="2650">
        <f t="shared" si="5"/>
        <v>0.27203571428571433</v>
      </c>
      <c r="AE13" s="2650">
        <f t="shared" si="5"/>
        <v>0.27203571428571433</v>
      </c>
      <c r="AF13" s="2650">
        <f t="shared" si="5"/>
        <v>0.27203571428571433</v>
      </c>
      <c r="AG13" s="2650">
        <f t="shared" si="5"/>
        <v>0.27203571428571433</v>
      </c>
      <c r="AH13" s="2650">
        <f t="shared" si="5"/>
        <v>0.27203571428571433</v>
      </c>
      <c r="AI13" s="2650">
        <f t="shared" si="5"/>
        <v>0.27203571428571433</v>
      </c>
      <c r="AJ13" s="2650">
        <f t="shared" si="5"/>
        <v>0.27203571428571433</v>
      </c>
    </row>
    <row r="14" spans="1:39" ht="12.75" customHeight="1">
      <c r="A14" s="3513"/>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14"/>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11" t="s">
        <v>1829</v>
      </c>
      <c r="B16" s="1376" t="s">
        <v>941</v>
      </c>
      <c r="C16" s="1039">
        <f>ROUND(IF(F17="与级别开发程度一致",0,(G17-E17)/C17),0)</f>
        <v>0</v>
      </c>
      <c r="D16" s="3529" t="s">
        <v>945</v>
      </c>
      <c r="E16" s="3530"/>
      <c r="F16" s="3529" t="s">
        <v>942</v>
      </c>
      <c r="G16" s="3530"/>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15"/>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3017</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1817</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1818</v>
      </c>
      <c r="B19" s="1411" t="s">
        <v>947</v>
      </c>
      <c r="C19" s="1040">
        <f>ROUND(IF(H19="按公示增长率计算",SUMPRODUCT((地价!A3:A33=YEAR(G19)&amp;"-"&amp;ROUNDUP(MONTH(G19)/3,0))*(地价!X2:AB2=E2)*(地价!X3:AB33)),IF(H19="地价指数",M20/M19,(1+I19)^O19)),4)</f>
        <v>1.3785000000000001</v>
      </c>
      <c r="D19" s="1415" t="s">
        <v>948</v>
      </c>
      <c r="E19" s="1041">
        <v>41640</v>
      </c>
      <c r="F19" s="1415" t="s">
        <v>949</v>
      </c>
      <c r="G19" s="1042">
        <f>'数据-取费表'!B2</f>
        <v>44269</v>
      </c>
      <c r="H19" s="1416" t="s">
        <v>3011</v>
      </c>
      <c r="I19" s="2503" t="str">
        <f>IF(H19="季度增幅（自定义）",SUMIF(N21:N24,E2,O21:O24),"")</f>
        <v/>
      </c>
      <c r="J19" s="1412"/>
      <c r="K19" s="3234"/>
      <c r="L19" s="2753" t="s">
        <v>2820</v>
      </c>
      <c r="M19" s="2754">
        <f>ROUND(SUMIF(地价!B2:F2,E2,地价!B33:F33),0)</f>
        <v>258</v>
      </c>
      <c r="N19" s="2505" t="s">
        <v>1667</v>
      </c>
      <c r="O19" s="2504">
        <f>ROUNDDOWN(DATEDIF(E19,G19,"M")/3,0)</f>
        <v>28</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1819</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ROUND(SUMPRODUCT((地价!A4:A33=YEAR(G19)&amp;"-"&amp;ROUNDUP(MONTH(G19)/3,0))*(地价!B2:F2=E2)*(地价!B4:F33)),0)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3012</v>
      </c>
      <c r="C21" s="1141">
        <f>IF(B21="容积率修正",IF(G3&lt;=10,D22,J22),C23)</f>
        <v>0.89119999999999999</v>
      </c>
      <c r="D21" s="1422"/>
      <c r="E21" s="1422"/>
      <c r="F21" s="1422"/>
      <c r="G21" s="1422"/>
      <c r="H21" s="1422"/>
      <c r="I21" s="1422"/>
      <c r="J21" s="1423"/>
      <c r="K21" s="3234"/>
      <c r="L21" s="1422"/>
      <c r="M21" s="1422"/>
      <c r="N21" s="1419" t="s">
        <v>966</v>
      </c>
      <c r="O21" s="1482"/>
      <c r="P21" s="2495">
        <f>SUMPRODUCT((地价!A3:A33=YEAR(G19)&amp;"-"&amp;ROUNDUP(MONTH(G19)/3,0))*(地价!AD2:AH2=N21)*(地价!AD3:AH33))</f>
        <v>1.12E-2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0.89119999999999999</v>
      </c>
      <c r="E22" s="1026">
        <f>ROUNDDOWN(G3,1)</f>
        <v>2.8</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1026">
        <f>ROUNDUP(G3,1)</f>
        <v>2.8</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0.89119999999999999</v>
      </c>
      <c r="I22" s="1043" t="s">
        <v>968</v>
      </c>
      <c r="J22" s="1043" t="str">
        <f>IF(G3&gt;10,D113,"——")</f>
        <v>——</v>
      </c>
      <c r="K22" s="3240"/>
      <c r="L22" s="1422"/>
      <c r="M22" s="1422"/>
      <c r="N22" s="1419" t="s">
        <v>969</v>
      </c>
      <c r="O22" s="1482"/>
      <c r="P22" s="2495">
        <f>SUMPRODUCT((地价!A3:A33=YEAR(G19)&amp;"-"&amp;ROUNDUP(MONTH(G19)/3,0))*(地价!AD2:AH2=N22)*(地价!AD3:AH33))</f>
        <v>1.12E-2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SUMPRODUCT((地价!A3:A33=YEAR(G19)&amp;"-"&amp;ROUNDUP(MONTH(G19)/3,0))*(地价!AD2:AH2=N23)*(地价!AD3:AH33))</f>
        <v>1.9300000000000001E-2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SUMPRODUCT((地价!A3:A33=YEAR(G19)&amp;"-"&amp;ROUNDUP(MONTH(G19)/3,0))*(地价!AD2:AH2=N24)*(地价!AD3:AH33))</f>
        <v>1.2800000000000001E-2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SUMPRODUCT((地价!A3:A33=YEAR(G19)&amp;"-"&amp;ROUNDUP(MONTH(G19)/3,0))*(地价!AD2:AH2=N25)*(地价!AD3:AH33))</f>
        <v>1.7500000000000002E-2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2391</v>
      </c>
      <c r="D26" s="1430"/>
      <c r="E26" s="1405"/>
      <c r="F26" s="1431"/>
      <c r="G26" s="1405"/>
      <c r="H26" s="1405"/>
      <c r="I26" s="1405"/>
      <c r="J26" s="1432"/>
      <c r="K26" s="3235"/>
      <c r="L26" s="1529" t="s">
        <v>889</v>
      </c>
      <c r="M26" s="1377" t="s">
        <v>966</v>
      </c>
      <c r="N26" s="1377" t="s">
        <v>969</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150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4890</v>
      </c>
      <c r="D29" s="1444">
        <f ca="1">C29</f>
        <v>4890</v>
      </c>
      <c r="E29" s="1763">
        <f ca="1">ROUND(C29*D29/10000,0)</f>
        <v>2391</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1223</v>
      </c>
      <c r="D30" s="1450">
        <f ca="1">C30</f>
        <v>1223</v>
      </c>
      <c r="E30" s="1763">
        <f ca="1">ROUND(C30*D30/10000,0)</f>
        <v>150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18"/>
      <c r="B33" s="1464" t="s">
        <v>990</v>
      </c>
      <c r="C33" s="1046">
        <f ca="1">ROUND(D5*C19*C20*C24*F33,0)</f>
        <v>3292</v>
      </c>
      <c r="D33" s="1477"/>
      <c r="E33" s="1035">
        <f ca="1">ROUND(C33*D33/10000,0)</f>
        <v>0</v>
      </c>
      <c r="F33" s="1035">
        <f>SUMIF(修正!A45:A56,G2,修正!B45:B56)</f>
        <v>0.6</v>
      </c>
      <c r="G33" s="1035">
        <f t="shared" ref="G33" ca="1" si="6">ROUND(IF(E2="工业",C33*$M$39,C33*$M$38),0)</f>
        <v>823</v>
      </c>
      <c r="H33" s="1035">
        <f>D33</f>
        <v>0</v>
      </c>
      <c r="I33" s="1035">
        <f ca="1">ROUND(G33*H33/10000,0)</f>
        <v>0</v>
      </c>
      <c r="J33" s="3518" t="s">
        <v>2991</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19"/>
      <c r="B34" s="1394" t="s">
        <v>991</v>
      </c>
      <c r="C34" s="1046">
        <f ca="1">ROUND(D5*C19*C20*C24*F34,0)</f>
        <v>1646</v>
      </c>
      <c r="D34" s="1477"/>
      <c r="E34" s="1035">
        <f t="shared" ref="E34:E39" ca="1" si="7">ROUND(C34*D34/10000,0)</f>
        <v>0</v>
      </c>
      <c r="F34" s="1035">
        <f>SUMIF(修正!A45:A56,G2,修正!C45:C56)</f>
        <v>0.3</v>
      </c>
      <c r="G34" s="1035">
        <f ca="1">ROUND(IF(E2="工业",C34*$M$39,C34*$M$38),0)</f>
        <v>412</v>
      </c>
      <c r="H34" s="1035">
        <f t="shared" ref="H34:H39" si="8">D34</f>
        <v>0</v>
      </c>
      <c r="I34" s="1035">
        <f t="shared" ref="I34:I39" ca="1" si="9">ROUND(G34*H34/10000,0)</f>
        <v>0</v>
      </c>
      <c r="J34" s="351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19"/>
      <c r="B35" s="1394" t="s">
        <v>992</v>
      </c>
      <c r="C35" s="1046">
        <f ca="1">ROUND(D5*C19*C20*C24*F35,0)</f>
        <v>1097</v>
      </c>
      <c r="D35" s="1477"/>
      <c r="E35" s="1035">
        <f t="shared" ca="1" si="7"/>
        <v>0</v>
      </c>
      <c r="F35" s="1035">
        <f>SUMIF(修正!A45:A56,G2,修正!D45:D56)</f>
        <v>0.2</v>
      </c>
      <c r="G35" s="1035">
        <f ca="1">ROUND(IF(E2="工业",C35*$M$39,C35*$M$38),0)</f>
        <v>274</v>
      </c>
      <c r="H35" s="1035">
        <f t="shared" si="8"/>
        <v>0</v>
      </c>
      <c r="I35" s="1035">
        <f t="shared" ca="1" si="9"/>
        <v>0</v>
      </c>
      <c r="J35" s="351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20"/>
      <c r="B36" s="1394" t="s">
        <v>993</v>
      </c>
      <c r="C36" s="1046">
        <f ca="1">ROUND(D5*C19*C20*C24*F36,0)</f>
        <v>1097</v>
      </c>
      <c r="D36" s="1477"/>
      <c r="E36" s="1035">
        <f t="shared" ca="1" si="7"/>
        <v>0</v>
      </c>
      <c r="F36" s="1035">
        <f>SUMIF(修正!A45:A56,G2,修正!E45:E56)</f>
        <v>0.2</v>
      </c>
      <c r="G36" s="1035">
        <f ca="1">ROUND(IF(E2="工业",C36*$M$39,C36*$M$38),0)</f>
        <v>274</v>
      </c>
      <c r="H36" s="1035">
        <f t="shared" si="8"/>
        <v>0</v>
      </c>
      <c r="I36" s="1035">
        <f t="shared" ca="1" si="9"/>
        <v>0</v>
      </c>
      <c r="J36" s="352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1097</v>
      </c>
      <c r="D37" s="1477"/>
      <c r="E37" s="1035">
        <f t="shared" ca="1" si="7"/>
        <v>0</v>
      </c>
      <c r="F37" s="1046">
        <f>SUMIF(修正!A45:A56,G2,修正!F45:F56)</f>
        <v>0.2</v>
      </c>
      <c r="G37" s="1035">
        <f ca="1">ROUND(IF(E2="工业",C37*$M$39,C37*$M$38),0)</f>
        <v>274</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966</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969</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2239</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0.14699999999999999</v>
      </c>
      <c r="G58" s="2270"/>
      <c r="H58" s="2315">
        <f>IFERROR(ROUNDDOWN($F$58*I58/2,4),"——")</f>
        <v>1.7600000000000001E-2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2.2049999999999997E-2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5.8799999999999998E-3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2905</v>
      </c>
      <c r="C61" s="1037"/>
      <c r="D61" s="2272">
        <f t="shared" si="15"/>
        <v>0</v>
      </c>
      <c r="E61" s="2294"/>
      <c r="F61" s="2292"/>
      <c r="G61" s="2270"/>
      <c r="H61" s="2271">
        <f t="shared" si="19"/>
        <v>2.9399999999999999E-3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3.6749999999999999E-3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f t="shared" si="19"/>
        <v>3.6749999999999999E-3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4.4099999999999999E-3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8.8199999999999997E-3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4.4099999999999999E-3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893</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2239</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1012</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976</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2239</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1012</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16" t="s">
        <v>1624</v>
      </c>
      <c r="B90" s="3516"/>
      <c r="C90" s="3516"/>
      <c r="D90" s="3516"/>
      <c r="E90" s="3516"/>
      <c r="F90" s="3516"/>
      <c r="G90" s="3516"/>
      <c r="H90" s="3516"/>
      <c r="I90" s="3516"/>
      <c r="J90" s="3516"/>
      <c r="K90" s="3282"/>
      <c r="L90" s="3282"/>
      <c r="M90" s="3282"/>
      <c r="N90" s="3282"/>
    </row>
    <row r="91" spans="1:40">
      <c r="A91" s="3517" t="s">
        <v>889</v>
      </c>
      <c r="B91" s="3517" t="s">
        <v>1625</v>
      </c>
      <c r="C91" s="1123" t="s">
        <v>1626</v>
      </c>
      <c r="D91" s="1124"/>
      <c r="E91" s="1124"/>
      <c r="F91" s="1124"/>
      <c r="G91" s="1124"/>
      <c r="H91" s="1124"/>
      <c r="I91" s="1124"/>
      <c r="J91" s="1125"/>
      <c r="K91" s="1117"/>
      <c r="L91" s="1117"/>
      <c r="M91" s="1117"/>
      <c r="N91" s="1117"/>
    </row>
    <row r="92" spans="1:40">
      <c r="A92" s="3517"/>
      <c r="B92" s="3517"/>
      <c r="C92" s="3283" t="s">
        <v>875</v>
      </c>
      <c r="D92" s="3283" t="s">
        <v>876</v>
      </c>
      <c r="E92" s="3283" t="s">
        <v>877</v>
      </c>
      <c r="F92" s="3283" t="s">
        <v>878</v>
      </c>
      <c r="G92" s="3283" t="s">
        <v>879</v>
      </c>
      <c r="H92" s="3283" t="s">
        <v>880</v>
      </c>
      <c r="I92" s="3283" t="s">
        <v>881</v>
      </c>
      <c r="J92" s="3283" t="s">
        <v>882</v>
      </c>
      <c r="K92" s="3283" t="s">
        <v>883</v>
      </c>
      <c r="L92" s="3283" t="s">
        <v>884</v>
      </c>
      <c r="M92" s="3283" t="s">
        <v>885</v>
      </c>
      <c r="N92" s="3283" t="s">
        <v>886</v>
      </c>
    </row>
    <row r="93" spans="1:40">
      <c r="A93" s="3524"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5"/>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26"/>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24" t="s">
        <v>1628</v>
      </c>
      <c r="B101" s="1130" t="s">
        <v>874</v>
      </c>
      <c r="C101" s="1131">
        <f>$G$3</f>
        <v>2.8</v>
      </c>
      <c r="D101" s="1131">
        <f t="shared" ref="D101:N101" si="31">$G$3</f>
        <v>2.8</v>
      </c>
      <c r="E101" s="1131">
        <f t="shared" si="31"/>
        <v>2.8</v>
      </c>
      <c r="F101" s="1131">
        <f t="shared" si="31"/>
        <v>2.8</v>
      </c>
      <c r="G101" s="1131">
        <f t="shared" si="31"/>
        <v>2.8</v>
      </c>
      <c r="H101" s="1131">
        <f t="shared" si="31"/>
        <v>2.8</v>
      </c>
      <c r="I101" s="1131">
        <f t="shared" si="31"/>
        <v>2.8</v>
      </c>
      <c r="J101" s="1131">
        <f t="shared" si="31"/>
        <v>2.8</v>
      </c>
      <c r="K101" s="1131">
        <f t="shared" si="31"/>
        <v>2.8</v>
      </c>
      <c r="L101" s="1131">
        <f t="shared" si="31"/>
        <v>2.8</v>
      </c>
      <c r="M101" s="1131">
        <f t="shared" si="31"/>
        <v>2.8</v>
      </c>
      <c r="N101" s="1131">
        <f t="shared" si="31"/>
        <v>2.8</v>
      </c>
    </row>
    <row r="102" spans="1:14">
      <c r="A102" s="3525"/>
      <c r="B102" s="1126">
        <v>1</v>
      </c>
      <c r="C102" s="1127">
        <f>1.9362/C101</f>
        <v>0.6915</v>
      </c>
      <c r="D102" s="1127">
        <f>1.9362/D101</f>
        <v>0.6915</v>
      </c>
      <c r="E102" s="1127">
        <f>1.8629/E101</f>
        <v>0.66532142857142862</v>
      </c>
      <c r="F102" s="1127">
        <f>1.8629/F101</f>
        <v>0.66532142857142862</v>
      </c>
      <c r="G102" s="1127">
        <f>1.8629/G101</f>
        <v>0.66532142857142862</v>
      </c>
      <c r="H102" s="1127">
        <f>1.8629/H101</f>
        <v>0.66532142857142862</v>
      </c>
      <c r="I102" s="1127">
        <f>1.8629/I101</f>
        <v>0.66532142857142862</v>
      </c>
      <c r="J102" s="1127">
        <f>1.942/J101</f>
        <v>0.69357142857142862</v>
      </c>
      <c r="K102" s="1127">
        <f>1.942/K101</f>
        <v>0.69357142857142862</v>
      </c>
      <c r="L102" s="1127">
        <f>1.942/L101</f>
        <v>0.69357142857142862</v>
      </c>
      <c r="M102" s="1127">
        <f>1.942/M101</f>
        <v>0.69357142857142862</v>
      </c>
      <c r="N102" s="1127">
        <f>1.942/N101</f>
        <v>0.69357142857142862</v>
      </c>
    </row>
    <row r="103" spans="1:14">
      <c r="A103" s="3525"/>
      <c r="B103" s="1126">
        <v>2</v>
      </c>
      <c r="C103" s="1127">
        <f>1.4198/C101</f>
        <v>0.50707142857142862</v>
      </c>
      <c r="D103" s="1127">
        <f>1.4198/D101</f>
        <v>0.50707142857142862</v>
      </c>
      <c r="E103" s="1127">
        <f>1.3372/E101</f>
        <v>0.47757142857142859</v>
      </c>
      <c r="F103" s="1127">
        <f>1.3372/F101</f>
        <v>0.47757142857142859</v>
      </c>
      <c r="G103" s="1127">
        <f>1.3372/G101</f>
        <v>0.47757142857142859</v>
      </c>
      <c r="H103" s="1127">
        <f>1.3372/H101</f>
        <v>0.47757142857142859</v>
      </c>
      <c r="I103" s="1127">
        <f>1.3372/I101</f>
        <v>0.47757142857142859</v>
      </c>
      <c r="J103" s="1127">
        <f>1.2799/J101</f>
        <v>0.45710714285714288</v>
      </c>
      <c r="K103" s="1127">
        <f>1.2799/K101</f>
        <v>0.45710714285714288</v>
      </c>
      <c r="L103" s="1127">
        <f>1.2799/L101</f>
        <v>0.45710714285714288</v>
      </c>
      <c r="M103" s="1127">
        <f>1.2799/M101</f>
        <v>0.45710714285714288</v>
      </c>
      <c r="N103" s="1127">
        <f>1.2799/N101</f>
        <v>0.45710714285714288</v>
      </c>
    </row>
    <row r="104" spans="1:14">
      <c r="A104" s="3525"/>
      <c r="B104" s="1126">
        <v>3</v>
      </c>
      <c r="C104" s="1127">
        <f>1.1594/C101</f>
        <v>0.41407142857142859</v>
      </c>
      <c r="D104" s="1127">
        <f>1.1594/D101</f>
        <v>0.41407142857142859</v>
      </c>
      <c r="E104" s="1127">
        <f>1.0788/E101</f>
        <v>0.38528571428571429</v>
      </c>
      <c r="F104" s="1127">
        <f>1.0788/F101</f>
        <v>0.38528571428571429</v>
      </c>
      <c r="G104" s="1127">
        <f>1.0788/G101</f>
        <v>0.38528571428571429</v>
      </c>
      <c r="H104" s="1127">
        <f>1.0788/H101</f>
        <v>0.38528571428571429</v>
      </c>
      <c r="I104" s="1127">
        <f>1.0788/I101</f>
        <v>0.38528571428571429</v>
      </c>
      <c r="J104" s="1127">
        <f>1.0072/J101</f>
        <v>0.35971428571428576</v>
      </c>
      <c r="K104" s="1127">
        <f>1.0072/K101</f>
        <v>0.35971428571428576</v>
      </c>
      <c r="L104" s="1127">
        <f>1.0072/L101</f>
        <v>0.35971428571428576</v>
      </c>
      <c r="M104" s="1127">
        <f>1.0072/M101</f>
        <v>0.35971428571428576</v>
      </c>
      <c r="N104" s="1127">
        <f>1.0072/N101</f>
        <v>0.35971428571428576</v>
      </c>
    </row>
    <row r="105" spans="1:14">
      <c r="A105" s="3525"/>
      <c r="B105" s="1126">
        <v>4</v>
      </c>
      <c r="C105" s="1127">
        <f>0.9622/C101</f>
        <v>0.34364285714285719</v>
      </c>
      <c r="D105" s="1127">
        <f>0.9622/D101</f>
        <v>0.34364285714285719</v>
      </c>
      <c r="E105" s="1127">
        <f>0.8656/E101</f>
        <v>0.30914285714285716</v>
      </c>
      <c r="F105" s="1127">
        <f>0.8656/F101</f>
        <v>0.30914285714285716</v>
      </c>
      <c r="G105" s="1127">
        <f>0.8656/G101</f>
        <v>0.30914285714285716</v>
      </c>
      <c r="H105" s="1127">
        <f>0.8656/H101</f>
        <v>0.30914285714285716</v>
      </c>
      <c r="I105" s="1127">
        <f>0.8656/I101</f>
        <v>0.30914285714285716</v>
      </c>
      <c r="J105" s="1127">
        <f>0.7525/J101</f>
        <v>0.26874999999999999</v>
      </c>
      <c r="K105" s="1127">
        <f>0.7525/K101</f>
        <v>0.26874999999999999</v>
      </c>
      <c r="L105" s="1127">
        <f>0.7525/L101</f>
        <v>0.26874999999999999</v>
      </c>
      <c r="M105" s="1127">
        <f>0.7525/M101</f>
        <v>0.26874999999999999</v>
      </c>
      <c r="N105" s="1127">
        <f>0.7525/N101</f>
        <v>0.26874999999999999</v>
      </c>
    </row>
    <row r="106" spans="1:14">
      <c r="A106" s="3525"/>
      <c r="B106" s="1126">
        <v>5</v>
      </c>
      <c r="C106" s="1127">
        <f>0.8417/C101</f>
        <v>0.30060714285714285</v>
      </c>
      <c r="D106" s="1127">
        <f>0.8417/D101</f>
        <v>0.30060714285714285</v>
      </c>
      <c r="E106" s="1127">
        <f>0.7371/E101</f>
        <v>0.26324999999999998</v>
      </c>
      <c r="F106" s="1127">
        <f>0.7371/F101</f>
        <v>0.26324999999999998</v>
      </c>
      <c r="G106" s="1127">
        <f>0.7371/G101</f>
        <v>0.26324999999999998</v>
      </c>
      <c r="H106" s="1127">
        <f>0.7371/H101</f>
        <v>0.26324999999999998</v>
      </c>
      <c r="I106" s="1127">
        <f>0.7371/I101</f>
        <v>0.26324999999999998</v>
      </c>
      <c r="J106" s="1127">
        <f>0.5659/J101</f>
        <v>0.20210714285714285</v>
      </c>
      <c r="K106" s="1127">
        <f>0.5659/K101</f>
        <v>0.20210714285714285</v>
      </c>
      <c r="L106" s="1127">
        <f>0.5659/L101</f>
        <v>0.20210714285714285</v>
      </c>
      <c r="M106" s="1127">
        <f>0.5659/M101</f>
        <v>0.20210714285714285</v>
      </c>
      <c r="N106" s="1127">
        <f>0.5659/N101</f>
        <v>0.20210714285714285</v>
      </c>
    </row>
    <row r="107" spans="1:14">
      <c r="A107" s="3525"/>
      <c r="B107" s="1126">
        <v>6</v>
      </c>
      <c r="C107" s="1127">
        <f>0.7608/C101</f>
        <v>0.27171428571428574</v>
      </c>
      <c r="D107" s="1127">
        <f>0.7608/D101</f>
        <v>0.27171428571428574</v>
      </c>
      <c r="E107" s="1127">
        <f>0.6482/E101</f>
        <v>0.23150000000000001</v>
      </c>
      <c r="F107" s="1127">
        <f>0.6482/F101</f>
        <v>0.23150000000000001</v>
      </c>
      <c r="G107" s="1127">
        <f>0.6482/G101</f>
        <v>0.23150000000000001</v>
      </c>
      <c r="H107" s="1127">
        <f>0.6482/H101</f>
        <v>0.23150000000000001</v>
      </c>
      <c r="I107" s="1127">
        <f>0.6482/I101</f>
        <v>0.23150000000000001</v>
      </c>
      <c r="J107" s="1127">
        <f>0.4525/J101</f>
        <v>0.16160714285714287</v>
      </c>
      <c r="K107" s="1127">
        <f>0.4525/K101</f>
        <v>0.16160714285714287</v>
      </c>
      <c r="L107" s="1127">
        <f>0.4525/L101</f>
        <v>0.16160714285714287</v>
      </c>
      <c r="M107" s="1127">
        <f>0.4525/M101</f>
        <v>0.16160714285714287</v>
      </c>
      <c r="N107" s="1127">
        <f>0.4525/N101</f>
        <v>0.16160714285714287</v>
      </c>
    </row>
    <row r="108" spans="1:14">
      <c r="A108" s="3525"/>
      <c r="B108" s="3527"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26"/>
      <c r="B109" s="3528"/>
      <c r="C109" s="1129">
        <f>(-0.163*(C108^2)-0.59*C108+7617)*(10^(-4))/C101</f>
        <v>0.27203571428571433</v>
      </c>
      <c r="D109" s="1129">
        <f>(-0.163*(D108^2)-0.59*D108+7617)*(10^(-4))/D101</f>
        <v>0.27203571428571433</v>
      </c>
      <c r="E109" s="1129">
        <f>(-0.161*(E108^2)-7.509*E108+6533)*(10^(-4))/E101</f>
        <v>0.2333214285714286</v>
      </c>
      <c r="F109" s="1129">
        <f>(-0.161*(F108^2)-7.509*F108+6533)*(10^(-4))/F101</f>
        <v>0.2333214285714286</v>
      </c>
      <c r="G109" s="1129">
        <f>(-0.161*(G108^2)-7.509*G108+6533)*(10^(-4))/G101</f>
        <v>0.2333214285714286</v>
      </c>
      <c r="H109" s="1129">
        <f>(-0.161*(H108^2)-7.509*H108+6533)*(10^(-4))/H101</f>
        <v>0.2333214285714286</v>
      </c>
      <c r="I109" s="1129">
        <f>(-0.161*(I108^2)-7.509*I108+6533)*(10^(-4))/I101</f>
        <v>0.2333214285714286</v>
      </c>
      <c r="J109" s="1129">
        <f>(-0.214*(J108^2)-21.991*J108+4665)*(10^(-4))/J101</f>
        <v>0.16660714285714287</v>
      </c>
      <c r="K109" s="1129">
        <f>(-0.214*(K108^2)-21.991*K108+4665)*(10^(-4))/K101</f>
        <v>0.16660714285714287</v>
      </c>
      <c r="L109" s="1129">
        <f>(-0.214*(L108^2)-21.991*L108+4665)*(10^(-4))/L101</f>
        <v>0.16660714285714287</v>
      </c>
      <c r="M109" s="1129">
        <f>(-0.214*(M108^2)-21.991*M108+4665)*(10^(-4))/M101</f>
        <v>0.16660714285714287</v>
      </c>
      <c r="N109" s="1129">
        <f>(-0.214*(N108^2)-21.991*N108+4665)*(10^(-4))/N101</f>
        <v>0.16660714285714287</v>
      </c>
    </row>
    <row r="110" spans="1:14">
      <c r="A110" s="3510" t="s">
        <v>1630</v>
      </c>
      <c r="B110" s="3510"/>
      <c r="C110" s="3510"/>
      <c r="D110" s="3510"/>
      <c r="E110" s="3510"/>
      <c r="F110" s="3510"/>
      <c r="G110" s="3510"/>
      <c r="H110" s="3510"/>
      <c r="I110" s="3510"/>
      <c r="J110" s="3510"/>
      <c r="K110" s="3281"/>
      <c r="L110" s="3281"/>
      <c r="M110" s="3281"/>
      <c r="N110" s="3281"/>
    </row>
    <row r="112" spans="1:14" ht="12.75" thickBot="1"/>
    <row r="113" spans="1:13" ht="25.5" thickBot="1">
      <c r="A113" s="1003" t="s">
        <v>887</v>
      </c>
      <c r="B113" s="2306">
        <f>G3</f>
        <v>2.8</v>
      </c>
      <c r="C113" s="1004" t="s">
        <v>888</v>
      </c>
      <c r="D113" s="1005">
        <f>SUMPRODUCT((A115:A118=F113)*(B114:M114=H113)*B115:M118)</f>
        <v>0.73019999999999996</v>
      </c>
      <c r="E113" s="1006" t="s">
        <v>889</v>
      </c>
      <c r="F113" s="1007" t="str">
        <f>E2</f>
        <v>办公</v>
      </c>
      <c r="G113" s="1006" t="s">
        <v>890</v>
      </c>
      <c r="H113" s="1007" t="str">
        <f>G2</f>
        <v>九级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0.90720000000000001</v>
      </c>
      <c r="C115" s="1017">
        <f>B115</f>
        <v>0.90720000000000001</v>
      </c>
      <c r="D115" s="1017">
        <f>ROUND(0.8331-0.0109*B113,4)</f>
        <v>0.80259999999999998</v>
      </c>
      <c r="E115" s="1017">
        <f>D115</f>
        <v>0.80259999999999998</v>
      </c>
      <c r="F115" s="1017">
        <f>E115</f>
        <v>0.80259999999999998</v>
      </c>
      <c r="G115" s="1017">
        <f>F115</f>
        <v>0.80259999999999998</v>
      </c>
      <c r="H115" s="1017">
        <f>G115</f>
        <v>0.80259999999999998</v>
      </c>
      <c r="I115" s="1017">
        <f>ROUND(0.689-0.0155*B113,4)</f>
        <v>0.64559999999999995</v>
      </c>
      <c r="J115" s="1017">
        <f t="shared" ref="J115:M118" si="33">I115</f>
        <v>0.64559999999999995</v>
      </c>
      <c r="K115" s="1017">
        <f t="shared" si="33"/>
        <v>0.64559999999999995</v>
      </c>
      <c r="L115" s="1017">
        <f t="shared" si="33"/>
        <v>0.64559999999999995</v>
      </c>
      <c r="M115" s="1018">
        <f t="shared" si="33"/>
        <v>0.64559999999999995</v>
      </c>
    </row>
    <row r="116" spans="1:13" ht="12.75">
      <c r="A116" s="1016" t="s">
        <v>892</v>
      </c>
      <c r="B116" s="1017">
        <f>ROUND(0.949-0.012*B113,4)</f>
        <v>0.91539999999999999</v>
      </c>
      <c r="C116" s="1017">
        <f>B116</f>
        <v>0.91539999999999999</v>
      </c>
      <c r="D116" s="1017">
        <f>ROUND(0.8567-0.013*B113,4)</f>
        <v>0.82030000000000003</v>
      </c>
      <c r="E116" s="1017">
        <f t="shared" ref="E116:H117" si="34">D116</f>
        <v>0.82030000000000003</v>
      </c>
      <c r="F116" s="1017">
        <f t="shared" si="34"/>
        <v>0.82030000000000003</v>
      </c>
      <c r="G116" s="1017">
        <f t="shared" si="34"/>
        <v>0.82030000000000003</v>
      </c>
      <c r="H116" s="1017">
        <f t="shared" si="34"/>
        <v>0.82030000000000003</v>
      </c>
      <c r="I116" s="1017">
        <f>ROUND(0.7694-0.014*B113,4)</f>
        <v>0.73019999999999996</v>
      </c>
      <c r="J116" s="1017">
        <f t="shared" si="33"/>
        <v>0.73019999999999996</v>
      </c>
      <c r="K116" s="1017">
        <f t="shared" si="33"/>
        <v>0.73019999999999996</v>
      </c>
      <c r="L116" s="1017">
        <f t="shared" si="33"/>
        <v>0.73019999999999996</v>
      </c>
      <c r="M116" s="1018">
        <f t="shared" si="33"/>
        <v>0.73019999999999996</v>
      </c>
    </row>
    <row r="117" spans="1:13" ht="12.75">
      <c r="A117" s="1019" t="s">
        <v>893</v>
      </c>
      <c r="B117" s="1017">
        <f>ROUND(0.8808-0.006*B113,4)</f>
        <v>0.86399999999999999</v>
      </c>
      <c r="C117" s="1017">
        <f>B117</f>
        <v>0.86399999999999999</v>
      </c>
      <c r="D117" s="1017">
        <f>ROUND(0.8748-0.008*B113,4)</f>
        <v>0.85240000000000005</v>
      </c>
      <c r="E117" s="1017">
        <f t="shared" si="34"/>
        <v>0.85240000000000005</v>
      </c>
      <c r="F117" s="1017">
        <f t="shared" si="34"/>
        <v>0.85240000000000005</v>
      </c>
      <c r="G117" s="1017">
        <f t="shared" si="34"/>
        <v>0.85240000000000005</v>
      </c>
      <c r="H117" s="1017">
        <f t="shared" si="34"/>
        <v>0.85240000000000005</v>
      </c>
      <c r="I117" s="1017">
        <f>ROUND(0.7412-0.0095*B113,4)</f>
        <v>0.71460000000000001</v>
      </c>
      <c r="J117" s="1017">
        <f t="shared" si="33"/>
        <v>0.71460000000000001</v>
      </c>
      <c r="K117" s="1017">
        <f t="shared" si="33"/>
        <v>0.71460000000000001</v>
      </c>
      <c r="L117" s="1017">
        <f t="shared" si="33"/>
        <v>0.71460000000000001</v>
      </c>
      <c r="M117" s="1018">
        <f t="shared" si="33"/>
        <v>0.71460000000000001</v>
      </c>
    </row>
    <row r="118" spans="1:13" ht="13.5" thickBot="1">
      <c r="A118" s="1020" t="s">
        <v>894</v>
      </c>
      <c r="B118" s="1021">
        <f>ROUND(0.7275-0.01*B113,4)</f>
        <v>0.69950000000000001</v>
      </c>
      <c r="C118" s="1021">
        <f>B118</f>
        <v>0.69950000000000001</v>
      </c>
      <c r="D118" s="1021">
        <f>ROUND(0.7043-0.012*B113,4)</f>
        <v>0.67069999999999996</v>
      </c>
      <c r="E118" s="1021">
        <f>D118</f>
        <v>0.67069999999999996</v>
      </c>
      <c r="F118" s="1021">
        <f>E118</f>
        <v>0.67069999999999996</v>
      </c>
      <c r="G118" s="1021">
        <f>ROUND(0.6299-0.0122*B113,4)</f>
        <v>0.59570000000000001</v>
      </c>
      <c r="H118" s="1021">
        <f>G118</f>
        <v>0.59570000000000001</v>
      </c>
      <c r="I118" s="1021">
        <f>ROUND(0.5667-0.0136*B113,4)</f>
        <v>0.52859999999999996</v>
      </c>
      <c r="J118" s="1021">
        <f t="shared" si="33"/>
        <v>0.52859999999999996</v>
      </c>
      <c r="K118" s="1021">
        <f t="shared" si="33"/>
        <v>0.52859999999999996</v>
      </c>
      <c r="L118" s="1021">
        <f t="shared" si="33"/>
        <v>0.52859999999999996</v>
      </c>
      <c r="M118" s="1022">
        <f t="shared" si="33"/>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7:A11"/>
    <mergeCell ref="W8:X8"/>
    <mergeCell ref="W9:W10"/>
    <mergeCell ref="W11:W13"/>
    <mergeCell ref="A12:A15"/>
    <mergeCell ref="A16:A17"/>
    <mergeCell ref="D16:E16"/>
    <mergeCell ref="F16:G16"/>
  </mergeCells>
  <phoneticPr fontId="228" type="noConversion"/>
  <conditionalFormatting sqref="F47">
    <cfRule type="cellIs" dxfId="4" priority="5" stopIfTrue="1" operator="notEqual">
      <formula>"——"</formula>
    </cfRule>
  </conditionalFormatting>
  <conditionalFormatting sqref="F58">
    <cfRule type="cellIs" dxfId="3" priority="4" stopIfTrue="1" operator="notEqual">
      <formula>"——"</formula>
    </cfRule>
  </conditionalFormatting>
  <conditionalFormatting sqref="F69">
    <cfRule type="cellIs" dxfId="2" priority="3" stopIfTrue="1" operator="notEqual">
      <formula>"——"</formula>
    </cfRule>
  </conditionalFormatting>
  <conditionalFormatting sqref="F80">
    <cfRule type="cellIs" dxfId="1" priority="2" stopIfTrue="1" operator="notEqual">
      <formula>"——"</formula>
    </cfRule>
  </conditionalFormatting>
  <conditionalFormatting sqref="H58:H66 H47:H55 H69:H77 H80:H87">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38" t="s">
        <v>2557</v>
      </c>
      <c r="C1" s="3538"/>
      <c r="D1" s="3538"/>
      <c r="E1" s="3538"/>
      <c r="F1" s="3538"/>
      <c r="G1" s="3537" t="s">
        <v>2558</v>
      </c>
      <c r="H1" s="3537"/>
      <c r="I1" s="3537"/>
      <c r="J1" s="3537"/>
      <c r="K1" s="3537"/>
      <c r="L1" s="3537"/>
      <c r="N1" s="3537" t="s">
        <v>2559</v>
      </c>
      <c r="O1" s="3537"/>
      <c r="P1" s="3537"/>
      <c r="Q1" s="3537"/>
      <c r="S1" s="3537" t="s">
        <v>2560</v>
      </c>
      <c r="T1" s="3537"/>
      <c r="U1" s="3537"/>
      <c r="V1" s="3537"/>
      <c r="X1" s="3536" t="s">
        <v>2620</v>
      </c>
      <c r="Y1" s="3537"/>
      <c r="Z1" s="3537"/>
      <c r="AA1" s="3537"/>
      <c r="AB1" s="3537"/>
      <c r="AD1" s="3536" t="s">
        <v>2624</v>
      </c>
      <c r="AE1" s="3537"/>
      <c r="AF1" s="3537"/>
      <c r="AG1" s="3537"/>
      <c r="AH1" s="3537"/>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ROUND(AVERAGE($I4:$I33),2)</f>
        <v>1.75</v>
      </c>
      <c r="J3" s="2874">
        <f>ROUND(AVERAGE($J4:$J33),2)</f>
        <v>1.1200000000000001</v>
      </c>
      <c r="K3" s="2874">
        <f>ROUND(AVERAGE($K4:$K33),2)</f>
        <v>1.93</v>
      </c>
      <c r="L3" s="2874">
        <f>ROUND(AVERAGE($L4:$L33),2)</f>
        <v>1.28</v>
      </c>
      <c r="N3" s="2872"/>
      <c r="S3" s="2872"/>
      <c r="W3" s="2876"/>
      <c r="X3" s="2877">
        <f>ROUND(SUMPRODUCT(PRODUCT(1+N3:N$32)),4)</f>
        <v>1.6034999999999999</v>
      </c>
      <c r="Y3" s="2877">
        <f>ROUND(SUMPRODUCT(PRODUCT(1+O3:O$32)),4)</f>
        <v>1.3469</v>
      </c>
      <c r="Z3" s="2877">
        <f t="shared" ref="Z3" si="0">Y3</f>
        <v>1.3469</v>
      </c>
      <c r="AA3" s="2877">
        <f>ROUND(SUMPRODUCT(PRODUCT(1+P3:P$32)),4)</f>
        <v>1.6801999999999999</v>
      </c>
      <c r="AB3" s="2877">
        <f>ROUND(SUMPRODUCT(PRODUCT(1+Q3:Q$32)),4)</f>
        <v>1.4263999999999999</v>
      </c>
      <c r="AD3" s="2878">
        <f>ROUND(AVERAGE(I3:I$33)/100,4)</f>
        <v>1.7500000000000002E-2</v>
      </c>
      <c r="AE3" s="2878">
        <f>ROUND(AVERAGE(J3:J$33)/100,4)</f>
        <v>1.12E-2</v>
      </c>
      <c r="AF3" s="2878">
        <f t="shared" ref="AF3:AF31" si="1">AE3</f>
        <v>1.12E-2</v>
      </c>
      <c r="AG3" s="2878">
        <f>ROUND(AVERAGE(K3:K$33)/100,4)</f>
        <v>1.9300000000000001E-2</v>
      </c>
      <c r="AH3" s="2878">
        <f>ROUND(AVERAGE(L3:L$33)/100,4)</f>
        <v>1.2800000000000001E-2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2998</v>
      </c>
      <c r="B5" s="2889">
        <f t="shared" ref="B5" si="2">B6*(1+N5)</f>
        <v>493.14449689037161</v>
      </c>
      <c r="C5" s="2889">
        <f t="shared" ref="C5" si="3">C6*(1+O5)</f>
        <v>347.21619073020611</v>
      </c>
      <c r="D5" s="2889">
        <f t="shared" ref="D5" si="4">C5</f>
        <v>347.21619073020611</v>
      </c>
      <c r="E5" s="2889">
        <f t="shared" ref="E5" si="5">E6*(1+P5)</f>
        <v>710.55974278763904</v>
      </c>
      <c r="F5" s="2889">
        <f t="shared" ref="F5" si="6">F6*(1+Q5)</f>
        <v>327.94540235306141</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ROUND(SUMPRODUCT(PRODUCT(1+N5:N$33)),4)</f>
        <v>1.6511</v>
      </c>
      <c r="Y5" s="2896">
        <f>ROUND(SUMPRODUCT(PRODUCT(1+O5:O$33)),4)</f>
        <v>1.3785000000000001</v>
      </c>
      <c r="Z5" s="2896">
        <f t="shared" ref="Z5" si="11">Y5</f>
        <v>1.3785000000000001</v>
      </c>
      <c r="AA5" s="2896">
        <f>ROUND(SUMPRODUCT(PRODUCT(1+P5:P$33)),4)</f>
        <v>1.7353000000000001</v>
      </c>
      <c r="AB5" s="2896">
        <f>ROUND(SUMPRODUCT(PRODUCT(1+Q5:Q$33)),4)</f>
        <v>1.4458</v>
      </c>
      <c r="AD5" s="2897">
        <f>ROUND(AVERAGE(I5:I$33)/100,4)</f>
        <v>1.7500000000000002E-2</v>
      </c>
      <c r="AE5" s="2897">
        <f>ROUND(AVERAGE(J5:J$33)/100,4)</f>
        <v>1.12E-2</v>
      </c>
      <c r="AF5" s="2897">
        <f t="shared" ref="AF5" si="12">AE5</f>
        <v>1.12E-2</v>
      </c>
      <c r="AG5" s="2897">
        <f>ROUND(AVERAGE(K5:K$33)/100,4)</f>
        <v>1.9300000000000001E-2</v>
      </c>
      <c r="AH5" s="2897">
        <f>ROUND(AVERAGE(L5:L$33)/100,4)</f>
        <v>1.2800000000000001E-2</v>
      </c>
    </row>
    <row r="6" spans="1:34" s="2905" customFormat="1">
      <c r="A6" s="2898" t="s">
        <v>2999</v>
      </c>
      <c r="B6" s="2899">
        <f t="shared" ref="B6" si="13">B7*(1+N6)</f>
        <v>493.14449689037161</v>
      </c>
      <c r="C6" s="2899">
        <f t="shared" ref="C6" si="14">C7*(1+O6)</f>
        <v>347.21619073020611</v>
      </c>
      <c r="D6" s="2899">
        <f t="shared" ref="D6" si="15">C6</f>
        <v>347.21619073020611</v>
      </c>
      <c r="E6" s="2899">
        <f t="shared" ref="E6" si="16">E7*(1+P6)</f>
        <v>710.55974278763904</v>
      </c>
      <c r="F6" s="2899">
        <f t="shared" ref="F6" si="17">F7*(1+Q6)</f>
        <v>327.94540235306141</v>
      </c>
      <c r="G6" s="2882">
        <v>2020</v>
      </c>
      <c r="H6" s="2900">
        <v>4</v>
      </c>
      <c r="I6" s="2862">
        <v>2.0699999999999998</v>
      </c>
      <c r="J6" s="2862">
        <v>0.37</v>
      </c>
      <c r="K6" s="2862">
        <v>2.35</v>
      </c>
      <c r="L6" s="2863">
        <v>2.69</v>
      </c>
      <c r="M6" s="2886"/>
      <c r="N6" s="2901">
        <f t="shared" ref="N6" si="18">I6/100</f>
        <v>2.07E-2</v>
      </c>
      <c r="O6" s="2887">
        <f t="shared" ref="O6" si="19">J6/100</f>
        <v>3.7000000000000002E-3</v>
      </c>
      <c r="P6" s="2887">
        <f t="shared" ref="P6" si="20">K6/100</f>
        <v>2.35E-2</v>
      </c>
      <c r="Q6" s="2887">
        <f t="shared" ref="Q6" si="21">L6/100</f>
        <v>2.69E-2</v>
      </c>
      <c r="R6" s="2902"/>
      <c r="S6" s="2903"/>
      <c r="T6" s="2904"/>
      <c r="U6" s="2904"/>
      <c r="V6" s="2904"/>
      <c r="W6" s="2886"/>
      <c r="X6" s="2886">
        <f>ROUND(SUMPRODUCT(PRODUCT(1+N6:N$33)),4)</f>
        <v>1.6511</v>
      </c>
      <c r="Y6" s="2886">
        <f>ROUND(SUMPRODUCT(PRODUCT(1+O6:O$33)),4)</f>
        <v>1.3785000000000001</v>
      </c>
      <c r="Z6" s="2886">
        <f t="shared" ref="Z6" si="22">Y6</f>
        <v>1.3785000000000001</v>
      </c>
      <c r="AA6" s="2886">
        <f>ROUND(SUMPRODUCT(PRODUCT(1+P6:P$33)),4)</f>
        <v>1.7353000000000001</v>
      </c>
      <c r="AB6" s="2886">
        <f>ROUND(SUMPRODUCT(PRODUCT(1+Q6:Q$33)),4)</f>
        <v>1.4458</v>
      </c>
      <c r="AC6" s="2886"/>
      <c r="AD6" s="2887">
        <f>ROUND(AVERAGE(I6:I$33)/100,4)</f>
        <v>1.8200000000000001E-2</v>
      </c>
      <c r="AE6" s="2887">
        <f>ROUND(AVERAGE(J6:J$33)/100,4)</f>
        <v>1.1599999999999999E-2</v>
      </c>
      <c r="AF6" s="2887">
        <f t="shared" ref="AF6" si="23">AE6</f>
        <v>1.1599999999999999E-2</v>
      </c>
      <c r="AG6" s="2887">
        <f>ROUND(AVERAGE(K6:K$33)/100,4)</f>
        <v>0.02</v>
      </c>
      <c r="AH6" s="2887">
        <f>ROUND(AVERAGE(L6:L$33)/100,4)</f>
        <v>1.3299999999999999E-2</v>
      </c>
    </row>
    <row r="7" spans="1:34" s="2905" customFormat="1">
      <c r="A7" s="2898" t="s">
        <v>2997</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ROUND(SUMPRODUCT(PRODUCT(1+N7:N$33)),4)</f>
        <v>1.6175999999999999</v>
      </c>
      <c r="Y7" s="2886">
        <f>ROUND(SUMPRODUCT(PRODUCT(1+O7:O$33)),4)</f>
        <v>1.3734</v>
      </c>
      <c r="Z7" s="2886">
        <f t="shared" ref="Z7" si="33">Y7</f>
        <v>1.3734</v>
      </c>
      <c r="AA7" s="2886">
        <f>ROUND(SUMPRODUCT(PRODUCT(1+P7:P$33)),4)</f>
        <v>1.6955</v>
      </c>
      <c r="AB7" s="2886">
        <f>ROUND(SUMPRODUCT(PRODUCT(1+Q7:Q$33)),4)</f>
        <v>1.4078999999999999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2960</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ROUND(SUMPRODUCT(PRODUCT(1+N8:N$33)),4)</f>
        <v>1.6117999999999999</v>
      </c>
      <c r="Y8" s="2886">
        <f>ROUND(SUMPRODUCT(PRODUCT(1+O8:O$33)),4)</f>
        <v>1.3788</v>
      </c>
      <c r="Z8" s="2886">
        <f t="shared" ref="Z8" si="44">Y8</f>
        <v>1.3788</v>
      </c>
      <c r="AA8" s="2886">
        <f>ROUND(SUMPRODUCT(PRODUCT(1+P8:P$33)),4)</f>
        <v>1.6872</v>
      </c>
      <c r="AB8" s="2886">
        <f>ROUND(SUMPRODUCT(PRODUCT(1+Q8:Q$33)),4)</f>
        <v>1.4069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2958</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ROUND(SUMPRODUCT(PRODUCT(1+N9:N$33)),4)</f>
        <v>1.6068</v>
      </c>
      <c r="Y9" s="2886">
        <f>ROUND(SUMPRODUCT(PRODUCT(1+O9:O$33)),4)</f>
        <v>1.3895999999999999</v>
      </c>
      <c r="Z9" s="2886">
        <f t="shared" ref="Z9:Z32" si="55">Y9</f>
        <v>1.3895999999999999</v>
      </c>
      <c r="AA9" s="2886">
        <f>ROUND(SUMPRODUCT(PRODUCT(1+P9:P$33)),4)</f>
        <v>1.6788000000000001</v>
      </c>
      <c r="AB9" s="2886">
        <f>ROUND(SUMPRODUCT(PRODUCT(1+Q9:Q$33)),4)</f>
        <v>1.4004000000000001</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2955</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ROUND(SUMPRODUCT(PRODUCT(1+N10:N$33)),4)</f>
        <v>1.6049</v>
      </c>
      <c r="Y10" s="2886">
        <f>ROUND(SUMPRODUCT(PRODUCT(1+O10:O$33)),4)</f>
        <v>1.3952</v>
      </c>
      <c r="Z10" s="2886">
        <f t="shared" si="55"/>
        <v>1.3952</v>
      </c>
      <c r="AA10" s="2886">
        <f>ROUND(SUMPRODUCT(PRODUCT(1+P10:P$33)),4)</f>
        <v>1.6753</v>
      </c>
      <c r="AB10" s="2886">
        <f>ROUND(SUMPRODUCT(PRODUCT(1+Q10:Q$33)),4)</f>
        <v>1.3966000000000001</v>
      </c>
      <c r="AC10" s="2886"/>
      <c r="AD10" s="2887">
        <f>ROUND(AVERAGE(I10:I$33)/100,4)</f>
        <v>0.02</v>
      </c>
      <c r="AE10" s="2887">
        <f>ROUND(AVERAGE(J10:J$33)/100,4)</f>
        <v>1.4E-2</v>
      </c>
      <c r="AF10" s="2887">
        <f t="shared" ref="AF10" si="66">AE10</f>
        <v>1.4E-2</v>
      </c>
      <c r="AG10" s="2887">
        <f>ROUND(AVERAGE(K10:K$33)/100,4)</f>
        <v>2.1899999999999999E-2</v>
      </c>
      <c r="AH10" s="2887">
        <f>ROUND(AVERAGE(L10:L$33)/100,4)</f>
        <v>1.4E-2</v>
      </c>
    </row>
    <row r="11" spans="1:34" s="2905" customFormat="1" ht="13.5" thickBot="1">
      <c r="A11" s="2898" t="s">
        <v>2954</v>
      </c>
      <c r="B11" s="2899">
        <f t="shared" ref="B11" si="67">B12*(1+N11)</f>
        <v>477.19997390765138</v>
      </c>
      <c r="C11" s="2899">
        <f t="shared" ref="C11" si="68">C12*(1+O11)</f>
        <v>351.84874729536665</v>
      </c>
      <c r="D11" s="2899">
        <f t="shared" ref="D11" si="69">C11</f>
        <v>351.84874729536665</v>
      </c>
      <c r="E11" s="2899">
        <f t="shared" ref="E11" si="70">E12*(1+P11)</f>
        <v>682.29768951465201</v>
      </c>
      <c r="F11" s="2899">
        <f t="shared" ref="F11" si="71">F12*(1+Q11)</f>
        <v>315.26985675409043</v>
      </c>
      <c r="G11" s="2882">
        <v>2019</v>
      </c>
      <c r="H11" s="2900">
        <v>3</v>
      </c>
      <c r="I11" s="2900">
        <v>0.61</v>
      </c>
      <c r="J11" s="2900">
        <v>0.67</v>
      </c>
      <c r="K11" s="2900">
        <v>0.6</v>
      </c>
      <c r="L11" s="2906">
        <v>1.03</v>
      </c>
      <c r="M11" s="2886"/>
      <c r="N11" s="2901">
        <f t="shared" ref="N11" si="72">I11/100</f>
        <v>6.0999999999999995E-3</v>
      </c>
      <c r="O11" s="2887">
        <f t="shared" ref="O11" si="73">J11/100</f>
        <v>6.7000000000000002E-3</v>
      </c>
      <c r="P11" s="2887">
        <f t="shared" ref="P11" si="74">K11/100</f>
        <v>6.0000000000000001E-3</v>
      </c>
      <c r="Q11" s="2887">
        <f t="shared" ref="Q11" si="75">L11/100</f>
        <v>1.03E-2</v>
      </c>
      <c r="R11" s="2902"/>
      <c r="S11" s="2903"/>
      <c r="T11" s="2904"/>
      <c r="U11" s="2904"/>
      <c r="V11" s="2904"/>
      <c r="W11" s="2886"/>
      <c r="X11" s="2886">
        <f>ROUND(SUMPRODUCT(PRODUCT(1+N11:N$33)),4)</f>
        <v>1.5976999999999999</v>
      </c>
      <c r="Y11" s="2886">
        <f>ROUND(SUMPRODUCT(PRODUCT(1+O11:O$33)),4)</f>
        <v>1.3969</v>
      </c>
      <c r="Z11" s="2886">
        <f t="shared" si="55"/>
        <v>1.3969</v>
      </c>
      <c r="AA11" s="2886">
        <f>ROUND(SUMPRODUCT(PRODUCT(1+P11:P$33)),4)</f>
        <v>1.6662999999999999</v>
      </c>
      <c r="AB11" s="2886">
        <f>ROUND(SUMPRODUCT(PRODUCT(1+Q11:Q$33)),4)</f>
        <v>1.3898999999999999</v>
      </c>
      <c r="AC11" s="2886"/>
      <c r="AD11" s="2887">
        <f>ROUND(AVERAGE(I11:I$33)/100,4)</f>
        <v>2.07E-2</v>
      </c>
      <c r="AE11" s="2887">
        <f>ROUND(AVERAGE(J11:J$33)/100,4)</f>
        <v>1.47E-2</v>
      </c>
      <c r="AF11" s="2887">
        <f t="shared" ref="AF11" si="76">AE11</f>
        <v>1.47E-2</v>
      </c>
      <c r="AG11" s="2887">
        <f>ROUND(AVERAGE(K11:K$33)/100,4)</f>
        <v>2.2599999999999999E-2</v>
      </c>
      <c r="AH11" s="2887">
        <f>ROUND(AVERAGE(L11:L$33)/100,4)</f>
        <v>1.44E-2</v>
      </c>
    </row>
    <row r="12" spans="1:34" s="2905" customFormat="1">
      <c r="A12" s="2898" t="s">
        <v>2953</v>
      </c>
      <c r="B12" s="2899">
        <f t="shared" ref="B12:B17" si="77">B13*(1+N12)</f>
        <v>474.30670301923408</v>
      </c>
      <c r="C12" s="2899">
        <f t="shared" ref="C12" si="78">C13*(1+O12)</f>
        <v>349.50705005996491</v>
      </c>
      <c r="D12" s="2899">
        <f t="shared" ref="D12" si="79">C12</f>
        <v>349.50705005996491</v>
      </c>
      <c r="E12" s="2899">
        <f t="shared" ref="E12" si="80">E13*(1+P12)</f>
        <v>678.22831959706957</v>
      </c>
      <c r="F12" s="2899">
        <f t="shared" ref="F12" si="81">F13*(1+Q12)</f>
        <v>312.0556832169558</v>
      </c>
      <c r="G12" s="2882">
        <v>2019</v>
      </c>
      <c r="H12" s="2907">
        <v>2</v>
      </c>
      <c r="I12" s="2907">
        <v>1.53</v>
      </c>
      <c r="J12" s="2907">
        <v>1.01</v>
      </c>
      <c r="K12" s="2907">
        <v>1.62</v>
      </c>
      <c r="L12" s="2908">
        <v>1.25</v>
      </c>
      <c r="M12" s="2886"/>
      <c r="N12" s="2901">
        <f t="shared" ref="N12" si="82">I12/100</f>
        <v>1.5300000000000001E-2</v>
      </c>
      <c r="O12" s="2887">
        <f t="shared" ref="O12" si="83">J12/100</f>
        <v>1.01E-2</v>
      </c>
      <c r="P12" s="2887">
        <f t="shared" ref="P12" si="84">K12/100</f>
        <v>1.6200000000000003E-2</v>
      </c>
      <c r="Q12" s="2887">
        <f t="shared" ref="Q12" si="85">L12/100</f>
        <v>1.2500000000000001E-2</v>
      </c>
      <c r="R12" s="2902"/>
      <c r="S12" s="2903"/>
      <c r="T12" s="2904"/>
      <c r="U12" s="2904"/>
      <c r="V12" s="2904"/>
      <c r="W12" s="2886"/>
      <c r="X12" s="2886">
        <f>ROUND(SUMPRODUCT(PRODUCT(1+N12:N$33)),4)</f>
        <v>1.5880000000000001</v>
      </c>
      <c r="Y12" s="2886">
        <f>ROUND(SUMPRODUCT(PRODUCT(1+O12:O$33)),4)</f>
        <v>1.3875999999999999</v>
      </c>
      <c r="Z12" s="2886">
        <f t="shared" si="55"/>
        <v>1.3875999999999999</v>
      </c>
      <c r="AA12" s="2886">
        <f>ROUND(SUMPRODUCT(PRODUCT(1+P12:P$33)),4)</f>
        <v>1.6563000000000001</v>
      </c>
      <c r="AB12" s="2886">
        <f>ROUND(SUMPRODUCT(PRODUCT(1+Q12:Q$33)),4)</f>
        <v>1.3756999999999999</v>
      </c>
      <c r="AC12" s="2886"/>
      <c r="AD12" s="2887">
        <f>ROUND(AVERAGE(I12:I$33)/100,4)</f>
        <v>2.1299999999999999E-2</v>
      </c>
      <c r="AE12" s="2887">
        <f>ROUND(AVERAGE(J12:J$33)/100,4)</f>
        <v>1.4999999999999999E-2</v>
      </c>
      <c r="AF12" s="2887">
        <f t="shared" ref="AF12" si="86">AE12</f>
        <v>1.4999999999999999E-2</v>
      </c>
      <c r="AG12" s="2887">
        <f>ROUND(AVERAGE(K12:K$33)/100,4)</f>
        <v>2.3300000000000001E-2</v>
      </c>
      <c r="AH12" s="2887">
        <f>ROUND(AVERAGE(L12:L$33)/100,4)</f>
        <v>1.46E-2</v>
      </c>
    </row>
    <row r="13" spans="1:34" s="2905" customFormat="1" ht="13.5" thickBot="1">
      <c r="A13" s="2898" t="s">
        <v>2952</v>
      </c>
      <c r="B13" s="2899">
        <f t="shared" si="77"/>
        <v>467.15916775261894</v>
      </c>
      <c r="C13" s="2899">
        <f t="shared" ref="C13" si="87">C14*(1+O13)</f>
        <v>346.01232557169084</v>
      </c>
      <c r="D13" s="2899">
        <f t="shared" ref="D13" si="88">C13</f>
        <v>346.01232557169084</v>
      </c>
      <c r="E13" s="2899">
        <f t="shared" ref="E13" si="89">E14*(1+P13)</f>
        <v>667.41617752122568</v>
      </c>
      <c r="F13" s="2899">
        <f t="shared" ref="F13" si="90">F14*(1+Q13)</f>
        <v>308.20314391798104</v>
      </c>
      <c r="G13" s="2882">
        <v>2019</v>
      </c>
      <c r="H13" s="2900">
        <v>1</v>
      </c>
      <c r="I13" s="2900">
        <v>0.6</v>
      </c>
      <c r="J13" s="2900">
        <v>0.37</v>
      </c>
      <c r="K13" s="2900">
        <v>0.63</v>
      </c>
      <c r="L13" s="2906">
        <v>1.1299999999999999</v>
      </c>
      <c r="M13" s="2886"/>
      <c r="N13" s="2901">
        <f t="shared" ref="N13" si="91">I13/100</f>
        <v>6.0000000000000001E-3</v>
      </c>
      <c r="O13" s="2887">
        <f t="shared" ref="O13" si="92">J13/100</f>
        <v>3.7000000000000002E-3</v>
      </c>
      <c r="P13" s="2887">
        <f t="shared" ref="P13" si="93">K13/100</f>
        <v>6.3E-3</v>
      </c>
      <c r="Q13" s="2887">
        <f t="shared" ref="Q13" si="94">L13/100</f>
        <v>1.1299999999999999E-2</v>
      </c>
      <c r="R13" s="2902"/>
      <c r="S13" s="2903">
        <f>B13/B14-1</f>
        <v>6.0000000000000053E-3</v>
      </c>
      <c r="T13" s="2904">
        <f>C13/C14-1</f>
        <v>3.7000000000000366E-3</v>
      </c>
      <c r="U13" s="2904">
        <f>E13/E14-1</f>
        <v>6.2999999999999723E-3</v>
      </c>
      <c r="V13" s="2904">
        <f>F13/F14-1</f>
        <v>1.1300000000000088E-2</v>
      </c>
      <c r="W13" s="2886"/>
      <c r="X13" s="2886">
        <f>ROUND(SUMPRODUCT(PRODUCT(1+N13:N$33)),4)</f>
        <v>1.5641</v>
      </c>
      <c r="Y13" s="2886">
        <f>ROUND(SUMPRODUCT(PRODUCT(1+O13:O$33)),4)</f>
        <v>1.3736999999999999</v>
      </c>
      <c r="Z13" s="2886">
        <f t="shared" si="55"/>
        <v>1.3736999999999999</v>
      </c>
      <c r="AA13" s="2886">
        <f>ROUND(SUMPRODUCT(PRODUCT(1+P13:P$33)),4)</f>
        <v>1.6298999999999999</v>
      </c>
      <c r="AB13" s="2886">
        <f>ROUND(SUMPRODUCT(PRODUCT(1+Q13:Q$33)),4)</f>
        <v>1.3588</v>
      </c>
      <c r="AC13" s="2886"/>
      <c r="AD13" s="2887">
        <f>ROUND(AVERAGE(I13:I$33)/100,4)</f>
        <v>2.1600000000000001E-2</v>
      </c>
      <c r="AE13" s="2887">
        <f>ROUND(AVERAGE(J13:J$33)/100,4)</f>
        <v>1.5299999999999999E-2</v>
      </c>
      <c r="AF13" s="2887">
        <f t="shared" ref="AF13" si="95">AE13</f>
        <v>1.5299999999999999E-2</v>
      </c>
      <c r="AG13" s="2887">
        <f>ROUND(AVERAGE(K13:K$33)/100,4)</f>
        <v>2.3699999999999999E-2</v>
      </c>
      <c r="AH13" s="2887">
        <f>ROUND(AVERAGE(L13:L$33)/100,4)</f>
        <v>1.47E-2</v>
      </c>
    </row>
    <row r="14" spans="1:34" s="2905" customFormat="1">
      <c r="A14" s="2898" t="s">
        <v>2950</v>
      </c>
      <c r="B14" s="2909">
        <f t="shared" si="77"/>
        <v>464.37293017158942</v>
      </c>
      <c r="C14" s="2909">
        <f t="shared" ref="C14" si="96">C15*(1+O14)</f>
        <v>344.73679941385956</v>
      </c>
      <c r="D14" s="2909">
        <f t="shared" ref="D14" si="97">C14</f>
        <v>344.73679941385956</v>
      </c>
      <c r="E14" s="2909">
        <f t="shared" ref="E14" si="98">E15*(1+P14)</f>
        <v>663.2377795103107</v>
      </c>
      <c r="F14" s="2910">
        <f t="shared" ref="F14" si="99">F15*(1+Q14)</f>
        <v>304.75936311478398</v>
      </c>
      <c r="G14" s="3540">
        <v>2018</v>
      </c>
      <c r="H14" s="2907">
        <v>4</v>
      </c>
      <c r="I14" s="2907">
        <v>0.96</v>
      </c>
      <c r="J14" s="2907">
        <v>1.03</v>
      </c>
      <c r="K14" s="2907">
        <v>0.92</v>
      </c>
      <c r="L14" s="2908">
        <v>1.29</v>
      </c>
      <c r="M14" s="2886"/>
      <c r="N14" s="2901">
        <f t="shared" ref="N14" si="100">I14/100</f>
        <v>9.5999999999999992E-3</v>
      </c>
      <c r="O14" s="2887">
        <f t="shared" ref="O14" si="101">J14/100</f>
        <v>1.03E-2</v>
      </c>
      <c r="P14" s="2887">
        <f t="shared" ref="P14" si="102">K14/100</f>
        <v>9.1999999999999998E-3</v>
      </c>
      <c r="Q14" s="2887">
        <f t="shared" ref="Q14" si="103">L14/100</f>
        <v>1.29E-2</v>
      </c>
      <c r="R14" s="2902"/>
      <c r="S14" s="2911"/>
      <c r="T14" s="2912"/>
      <c r="U14" s="2912"/>
      <c r="V14" s="2912"/>
      <c r="W14" s="2886"/>
      <c r="X14" s="2886">
        <f>ROUND(SUMPRODUCT(PRODUCT(1+N14:N$33)),4)</f>
        <v>1.5548</v>
      </c>
      <c r="Y14" s="2886">
        <f>ROUND(SUMPRODUCT(PRODUCT(1+O14:O$33)),4)</f>
        <v>1.3686</v>
      </c>
      <c r="Z14" s="2886">
        <f t="shared" si="55"/>
        <v>1.3686</v>
      </c>
      <c r="AA14" s="2886">
        <f>ROUND(SUMPRODUCT(PRODUCT(1+P14:P$33)),4)</f>
        <v>1.6196999999999999</v>
      </c>
      <c r="AB14" s="2886">
        <f>ROUND(SUMPRODUCT(PRODUCT(1+Q14:Q$33)),4)</f>
        <v>1.3435999999999999</v>
      </c>
      <c r="AC14" s="2886"/>
      <c r="AD14" s="2887">
        <f>ROUND(AVERAGE(I14:I$33)/100,4)</f>
        <v>2.24E-2</v>
      </c>
      <c r="AE14" s="2887">
        <f>ROUND(AVERAGE(J14:J$33)/100,4)</f>
        <v>1.5800000000000002E-2</v>
      </c>
      <c r="AF14" s="2887">
        <f t="shared" ref="AF14" si="104">AE14</f>
        <v>1.5800000000000002E-2</v>
      </c>
      <c r="AG14" s="2887">
        <f>ROUND(AVERAGE(K14:K$33)/100,4)</f>
        <v>2.4500000000000001E-2</v>
      </c>
      <c r="AH14" s="2887">
        <f>ROUND(AVERAGE(L14:L$33)/100,4)</f>
        <v>1.49E-2</v>
      </c>
    </row>
    <row r="15" spans="1:34" s="2905" customFormat="1" ht="14.45" customHeight="1">
      <c r="A15" s="2898" t="s">
        <v>2943</v>
      </c>
      <c r="B15" s="2899">
        <f t="shared" si="77"/>
        <v>459.95733971036987</v>
      </c>
      <c r="C15" s="2899">
        <f t="shared" ref="C15" si="105">C16*(1+O15)</f>
        <v>341.22221064422405</v>
      </c>
      <c r="D15" s="2899">
        <f t="shared" ref="D15" si="106">C15</f>
        <v>341.22221064422405</v>
      </c>
      <c r="E15" s="2899">
        <f t="shared" ref="E15" si="107">E16*(1+P15)</f>
        <v>657.19161663724799</v>
      </c>
      <c r="F15" s="2899">
        <f t="shared" ref="F15" si="108">F16*(1+Q15)</f>
        <v>300.87803644464805</v>
      </c>
      <c r="G15" s="3540"/>
      <c r="H15" s="2900">
        <v>3</v>
      </c>
      <c r="I15" s="2900">
        <v>1.51</v>
      </c>
      <c r="J15" s="2900">
        <v>1.41</v>
      </c>
      <c r="K15" s="2900">
        <v>1.52</v>
      </c>
      <c r="L15" s="2906">
        <v>1.74</v>
      </c>
      <c r="M15" s="2886"/>
      <c r="N15" s="2901">
        <f t="shared" ref="N15" si="109">I15/100</f>
        <v>1.5100000000000001E-2</v>
      </c>
      <c r="O15" s="2887">
        <f t="shared" ref="O15" si="110">J15/100</f>
        <v>1.41E-2</v>
      </c>
      <c r="P15" s="2887">
        <f t="shared" ref="P15" si="111">K15/100</f>
        <v>1.52E-2</v>
      </c>
      <c r="Q15" s="2887">
        <f t="shared" ref="Q15" si="112">L15/100</f>
        <v>1.7399999999999999E-2</v>
      </c>
      <c r="R15" s="2902"/>
      <c r="S15" s="2901"/>
      <c r="T15" s="2887"/>
      <c r="U15" s="2887"/>
      <c r="V15" s="2887"/>
      <c r="W15" s="2886"/>
      <c r="X15" s="2886">
        <f>ROUND(SUMPRODUCT(PRODUCT(1+N15:N$33)),4)</f>
        <v>1.54</v>
      </c>
      <c r="Y15" s="2886">
        <f>ROUND(SUMPRODUCT(PRODUCT(1+O15:O$33)),4)</f>
        <v>1.3547</v>
      </c>
      <c r="Z15" s="2886">
        <f t="shared" si="55"/>
        <v>1.3547</v>
      </c>
      <c r="AA15" s="2886">
        <f>ROUND(SUMPRODUCT(PRODUCT(1+P15:P$33)),4)</f>
        <v>1.605</v>
      </c>
      <c r="AB15" s="2886">
        <f>ROUND(SUMPRODUCT(PRODUCT(1+Q15:Q$33)),4)</f>
        <v>1.3265</v>
      </c>
      <c r="AC15" s="2886"/>
      <c r="AD15" s="2887">
        <f>ROUND(AVERAGE(I15:I$33)/100,4)</f>
        <v>2.3099999999999999E-2</v>
      </c>
      <c r="AE15" s="2887">
        <f>ROUND(AVERAGE(J15:J$33)/100,4)</f>
        <v>1.61E-2</v>
      </c>
      <c r="AF15" s="2887">
        <f t="shared" ref="AF15" si="113">AE15</f>
        <v>1.61E-2</v>
      </c>
      <c r="AG15" s="2887">
        <f>ROUND(AVERAGE(K15:K$33)/100,4)</f>
        <v>2.53E-2</v>
      </c>
      <c r="AH15" s="2887">
        <f>ROUND(AVERAGE(L15:L$33)/100,4)</f>
        <v>1.4999999999999999E-2</v>
      </c>
    </row>
    <row r="16" spans="1:34" s="2905" customFormat="1" ht="14.45" customHeight="1">
      <c r="A16" s="2898" t="s">
        <v>2944</v>
      </c>
      <c r="B16" s="2899">
        <f t="shared" si="77"/>
        <v>453.11529869999993</v>
      </c>
      <c r="C16" s="2899">
        <f t="shared" ref="C16" si="114">C17*(1+O16)</f>
        <v>336.47787264000004</v>
      </c>
      <c r="D16" s="2899">
        <f t="shared" ref="D16" si="115">C16</f>
        <v>336.47787264000004</v>
      </c>
      <c r="E16" s="2899">
        <f t="shared" ref="E16" si="116">E17*(1+P16)</f>
        <v>647.35186823999993</v>
      </c>
      <c r="F16" s="2899">
        <f t="shared" ref="F16" si="117">F17*(1+Q16)</f>
        <v>295.73229452000004</v>
      </c>
      <c r="G16" s="3540"/>
      <c r="H16" s="2913">
        <v>2</v>
      </c>
      <c r="I16" s="2913">
        <v>1.49</v>
      </c>
      <c r="J16" s="2913">
        <v>0.96</v>
      </c>
      <c r="K16" s="2913">
        <v>1.58</v>
      </c>
      <c r="L16" s="2914">
        <v>2.44</v>
      </c>
      <c r="M16" s="2886"/>
      <c r="N16" s="2901">
        <f t="shared" ref="N16" si="118">I16/100</f>
        <v>1.49E-2</v>
      </c>
      <c r="O16" s="2887">
        <f t="shared" ref="O16" si="119">J16/100</f>
        <v>9.5999999999999992E-3</v>
      </c>
      <c r="P16" s="2887">
        <f t="shared" ref="P16" si="120">K16/100</f>
        <v>1.5800000000000002E-2</v>
      </c>
      <c r="Q16" s="2887">
        <f t="shared" ref="Q16" si="121">L16/100</f>
        <v>2.4399999999999998E-2</v>
      </c>
      <c r="R16" s="2902"/>
      <c r="S16" s="2901"/>
      <c r="T16" s="2887"/>
      <c r="U16" s="2887"/>
      <c r="V16" s="2887"/>
      <c r="W16" s="2886"/>
      <c r="X16" s="2886">
        <f>ROUND(SUMPRODUCT(PRODUCT(1+N16:N$33)),4)</f>
        <v>1.5170999999999999</v>
      </c>
      <c r="Y16" s="2886">
        <f>ROUND(SUMPRODUCT(PRODUCT(1+O16:O$33)),4)</f>
        <v>1.3358000000000001</v>
      </c>
      <c r="Z16" s="2886">
        <f t="shared" si="55"/>
        <v>1.3358000000000001</v>
      </c>
      <c r="AA16" s="2886">
        <f>ROUND(SUMPRODUCT(PRODUCT(1+P16:P$33)),4)</f>
        <v>1.5809</v>
      </c>
      <c r="AB16" s="2886">
        <f>ROUND(SUMPRODUCT(PRODUCT(1+Q16:Q$33)),4)</f>
        <v>1.3038000000000001</v>
      </c>
      <c r="AC16" s="2886"/>
      <c r="AD16" s="2887">
        <f>ROUND(AVERAGE(I16:I$33)/100,4)</f>
        <v>2.35E-2</v>
      </c>
      <c r="AE16" s="2887">
        <f>ROUND(AVERAGE(J16:J$33)/100,4)</f>
        <v>1.6199999999999999E-2</v>
      </c>
      <c r="AF16" s="2887">
        <f t="shared" ref="AF16" si="122">AE16</f>
        <v>1.6199999999999999E-2</v>
      </c>
      <c r="AG16" s="2887">
        <f>ROUND(AVERAGE(K16:K$33)/100,4)</f>
        <v>2.5899999999999999E-2</v>
      </c>
      <c r="AH16" s="2887">
        <f>ROUND(AVERAGE(L16:L$33)/100,4)</f>
        <v>1.49E-2</v>
      </c>
    </row>
    <row r="17" spans="1:34" s="2905" customFormat="1" ht="15" customHeight="1" thickBot="1">
      <c r="A17" s="2898" t="s">
        <v>2940</v>
      </c>
      <c r="B17" s="2899">
        <f t="shared" si="77"/>
        <v>446.46299999999997</v>
      </c>
      <c r="C17" s="2899">
        <f t="shared" ref="C17" si="123">C18*(1+O17)</f>
        <v>333.27840000000003</v>
      </c>
      <c r="D17" s="2899">
        <f t="shared" ref="D17:D22" si="124">C17</f>
        <v>333.27840000000003</v>
      </c>
      <c r="E17" s="2899">
        <f t="shared" ref="E17" si="125">E18*(1+P17)</f>
        <v>637.28279999999995</v>
      </c>
      <c r="F17" s="2899">
        <f t="shared" ref="F17" si="126">F18*(1+Q17)</f>
        <v>288.68830000000003</v>
      </c>
      <c r="G17" s="3546"/>
      <c r="H17" s="2900">
        <v>1</v>
      </c>
      <c r="I17" s="2900">
        <v>1.7</v>
      </c>
      <c r="J17" s="2900">
        <v>1.92</v>
      </c>
      <c r="K17" s="2900">
        <v>1.64</v>
      </c>
      <c r="L17" s="2906">
        <v>2.0099999999999998</v>
      </c>
      <c r="M17" s="2886"/>
      <c r="N17" s="2901">
        <f t="shared" ref="N17:N22" si="127">I17/100</f>
        <v>1.7000000000000001E-2</v>
      </c>
      <c r="O17" s="2887">
        <f t="shared" ref="O17" si="128">J17/100</f>
        <v>1.9199999999999998E-2</v>
      </c>
      <c r="P17" s="2887">
        <f t="shared" ref="P17" si="129">K17/100</f>
        <v>1.6399999999999998E-2</v>
      </c>
      <c r="Q17" s="2887">
        <f t="shared" ref="Q17" si="130">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ROUND(SUMPRODUCT(PRODUCT(1+N17:N$33)),4)</f>
        <v>1.4947999999999999</v>
      </c>
      <c r="Y17" s="2886">
        <f>ROUND(SUMPRODUCT(PRODUCT(1+O17:O$33)),4)</f>
        <v>1.3230999999999999</v>
      </c>
      <c r="Z17" s="2886">
        <f t="shared" si="55"/>
        <v>1.3230999999999999</v>
      </c>
      <c r="AA17" s="2886">
        <f>ROUND(SUMPRODUCT(PRODUCT(1+P17:P$33)),4)</f>
        <v>1.5564</v>
      </c>
      <c r="AB17" s="2886">
        <f>ROUND(SUMPRODUCT(PRODUCT(1+Q17:Q$33)),4)</f>
        <v>1.2726999999999999</v>
      </c>
      <c r="AC17" s="2886"/>
      <c r="AD17" s="2887">
        <f>ROUND(AVERAGE(I17:I$33)/100,4)</f>
        <v>2.4E-2</v>
      </c>
      <c r="AE17" s="2887">
        <f>ROUND(AVERAGE(J17:J$33)/100,4)</f>
        <v>1.66E-2</v>
      </c>
      <c r="AF17" s="2887">
        <f t="shared" ref="AF17" si="131">AE17</f>
        <v>1.66E-2</v>
      </c>
      <c r="AG17" s="2887">
        <f>ROUND(AVERAGE(K17:K$33)/100,4)</f>
        <v>2.6499999999999999E-2</v>
      </c>
      <c r="AH17" s="2887">
        <f>ROUND(AVERAGE(L17:L$33)/100,4)</f>
        <v>1.43E-2</v>
      </c>
    </row>
    <row r="18" spans="1:34">
      <c r="A18" s="2898" t="s">
        <v>2932</v>
      </c>
      <c r="B18" s="2915">
        <v>439</v>
      </c>
      <c r="C18" s="2915">
        <v>327</v>
      </c>
      <c r="D18" s="2915">
        <f t="shared" si="124"/>
        <v>327</v>
      </c>
      <c r="E18" s="2915">
        <v>627</v>
      </c>
      <c r="F18" s="2916">
        <v>283</v>
      </c>
      <c r="G18" s="3545">
        <v>2017</v>
      </c>
      <c r="H18" s="2907">
        <v>4</v>
      </c>
      <c r="I18" s="2907">
        <v>1.71</v>
      </c>
      <c r="J18" s="2907">
        <v>1.78</v>
      </c>
      <c r="K18" s="2907">
        <v>1.71</v>
      </c>
      <c r="L18" s="2908">
        <v>1.43</v>
      </c>
      <c r="N18" s="2917">
        <f t="shared" si="127"/>
        <v>1.7100000000000001E-2</v>
      </c>
      <c r="O18" s="2918">
        <f t="shared" ref="O18" si="132">J18/100</f>
        <v>1.78E-2</v>
      </c>
      <c r="P18" s="2918">
        <f t="shared" ref="P18" si="133">K18/100</f>
        <v>1.7100000000000001E-2</v>
      </c>
      <c r="Q18" s="2918">
        <f t="shared" ref="Q18" si="134">L18/100</f>
        <v>1.43E-2</v>
      </c>
      <c r="R18" s="2902"/>
      <c r="S18" s="2911"/>
      <c r="T18" s="2912"/>
      <c r="U18" s="2912"/>
      <c r="V18" s="2912"/>
      <c r="X18" s="2886">
        <f>ROUND(SUMPRODUCT(PRODUCT(1+N18:N$33)),4)</f>
        <v>1.4698</v>
      </c>
      <c r="Y18" s="2886">
        <f>ROUND(SUMPRODUCT(PRODUCT(1+O18:O$33)),4)</f>
        <v>1.2982</v>
      </c>
      <c r="Z18" s="2886">
        <f t="shared" si="55"/>
        <v>1.2982</v>
      </c>
      <c r="AA18" s="2886">
        <f>ROUND(SUMPRODUCT(PRODUCT(1+P18:P$33)),4)</f>
        <v>1.5311999999999999</v>
      </c>
      <c r="AB18" s="2886">
        <f>ROUND(SUMPRODUCT(PRODUCT(1+Q18:Q$33)),4)</f>
        <v>1.2476</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2935</v>
      </c>
      <c r="B19" s="2899">
        <f t="shared" ref="B19:C21" si="135">B20*(1+N19)</f>
        <v>431.80730811680002</v>
      </c>
      <c r="C19" s="2899">
        <f t="shared" si="135"/>
        <v>320.57880516480003</v>
      </c>
      <c r="D19" s="2899">
        <f t="shared" si="124"/>
        <v>320.57880516480003</v>
      </c>
      <c r="E19" s="2899">
        <f t="shared" ref="E19:F21" si="136">E20*(1+P19)</f>
        <v>615.96110553196797</v>
      </c>
      <c r="F19" s="2899">
        <f t="shared" si="136"/>
        <v>279.46777300108801</v>
      </c>
      <c r="G19" s="3540"/>
      <c r="H19" s="2900">
        <v>3</v>
      </c>
      <c r="I19" s="2900">
        <v>2.98</v>
      </c>
      <c r="J19" s="2900">
        <v>2.11</v>
      </c>
      <c r="K19" s="2900">
        <v>3.24</v>
      </c>
      <c r="L19" s="2906">
        <v>1.72</v>
      </c>
      <c r="M19" s="2886"/>
      <c r="N19" s="2901">
        <f t="shared" si="127"/>
        <v>2.98E-2</v>
      </c>
      <c r="O19" s="2919">
        <f t="shared" ref="O19:O20" si="137">J19/100</f>
        <v>2.1099999999999997E-2</v>
      </c>
      <c r="P19" s="2919">
        <f t="shared" ref="P19:P20" si="138">K19/100</f>
        <v>3.2400000000000005E-2</v>
      </c>
      <c r="Q19" s="2919">
        <f t="shared" ref="Q19:Q20" si="139">L19/100</f>
        <v>1.72E-2</v>
      </c>
      <c r="R19" s="2902"/>
      <c r="S19" s="2901"/>
      <c r="T19" s="2887"/>
      <c r="U19" s="2887"/>
      <c r="V19" s="2887"/>
      <c r="W19" s="2886"/>
      <c r="X19" s="2886">
        <f>ROUND(SUMPRODUCT(PRODUCT(1+N19:N$33)),4)</f>
        <v>1.4451000000000001</v>
      </c>
      <c r="Y19" s="2886">
        <f>ROUND(SUMPRODUCT(PRODUCT(1+O19:O$33)),4)</f>
        <v>1.2755000000000001</v>
      </c>
      <c r="Z19" s="2886">
        <f t="shared" si="55"/>
        <v>1.2755000000000001</v>
      </c>
      <c r="AA19" s="2886">
        <f>ROUND(SUMPRODUCT(PRODUCT(1+P19:P$33)),4)</f>
        <v>1.5055000000000001</v>
      </c>
      <c r="AB19" s="2886">
        <f>ROUND(SUMPRODUCT(PRODUCT(1+Q19:Q$33)),4)</f>
        <v>1.2301</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2562</v>
      </c>
      <c r="B20" s="2899">
        <f t="shared" si="135"/>
        <v>419.31181600000002</v>
      </c>
      <c r="C20" s="2899">
        <f t="shared" si="135"/>
        <v>313.95436800000004</v>
      </c>
      <c r="D20" s="2899">
        <f t="shared" si="124"/>
        <v>313.95436800000004</v>
      </c>
      <c r="E20" s="2899">
        <f t="shared" si="136"/>
        <v>596.63028431999999</v>
      </c>
      <c r="F20" s="2899">
        <f t="shared" si="136"/>
        <v>274.74220703999998</v>
      </c>
      <c r="G20" s="3540"/>
      <c r="H20" s="2913">
        <v>2</v>
      </c>
      <c r="I20" s="2913">
        <v>3.4</v>
      </c>
      <c r="J20" s="2913">
        <v>2</v>
      </c>
      <c r="K20" s="2913">
        <v>3.82</v>
      </c>
      <c r="L20" s="2914">
        <v>1.68</v>
      </c>
      <c r="N20" s="2901">
        <f t="shared" si="127"/>
        <v>3.4000000000000002E-2</v>
      </c>
      <c r="O20" s="2919">
        <f t="shared" si="137"/>
        <v>0.02</v>
      </c>
      <c r="P20" s="2919">
        <f t="shared" si="138"/>
        <v>3.8199999999999998E-2</v>
      </c>
      <c r="Q20" s="2919">
        <f t="shared" si="139"/>
        <v>1.6799999999999999E-2</v>
      </c>
      <c r="S20" s="2901"/>
      <c r="T20" s="2887"/>
      <c r="U20" s="2887"/>
      <c r="V20" s="2887"/>
      <c r="X20" s="2886">
        <f>ROUND(SUMPRODUCT(PRODUCT(1+N20:N$33)),4)</f>
        <v>1.4033</v>
      </c>
      <c r="Y20" s="2886">
        <f>ROUND(SUMPRODUCT(PRODUCT(1+O20:O$33)),4)</f>
        <v>1.2491000000000001</v>
      </c>
      <c r="Z20" s="2886">
        <f t="shared" si="55"/>
        <v>1.2491000000000001</v>
      </c>
      <c r="AA20" s="2886">
        <f>ROUND(SUMPRODUCT(PRODUCT(1+P20:P$33)),4)</f>
        <v>1.4581999999999999</v>
      </c>
      <c r="AB20" s="2886">
        <f>ROUND(SUMPRODUCT(PRODUCT(1+Q20:Q$33)),4)</f>
        <v>1.2093</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2563</v>
      </c>
      <c r="B21" s="2899">
        <f t="shared" si="135"/>
        <v>405.524</v>
      </c>
      <c r="C21" s="2899">
        <f t="shared" si="135"/>
        <v>307.79840000000002</v>
      </c>
      <c r="D21" s="2899">
        <f t="shared" si="124"/>
        <v>307.79840000000002</v>
      </c>
      <c r="E21" s="2899">
        <f t="shared" si="136"/>
        <v>574.67759999999998</v>
      </c>
      <c r="F21" s="2899">
        <f t="shared" si="136"/>
        <v>270.20280000000002</v>
      </c>
      <c r="G21" s="3546"/>
      <c r="H21" s="2900">
        <v>1</v>
      </c>
      <c r="I21" s="2900">
        <v>3.45</v>
      </c>
      <c r="J21" s="2900">
        <v>1.92</v>
      </c>
      <c r="K21" s="2900">
        <v>3.92</v>
      </c>
      <c r="L21" s="2906">
        <v>1.58</v>
      </c>
      <c r="M21" s="2886"/>
      <c r="N21" s="2903">
        <f t="shared" si="127"/>
        <v>3.4500000000000003E-2</v>
      </c>
      <c r="O21" s="2904">
        <f t="shared" ref="O21" si="140">J21/100</f>
        <v>1.9199999999999998E-2</v>
      </c>
      <c r="P21" s="2904">
        <f t="shared" ref="P21" si="141">K21/100</f>
        <v>3.9199999999999999E-2</v>
      </c>
      <c r="Q21" s="2904">
        <f t="shared" ref="Q21" si="142">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ROUND(SUMPRODUCT(PRODUCT(1+N21:N$33)),4)</f>
        <v>1.3571</v>
      </c>
      <c r="Y21" s="2886">
        <f>ROUND(SUMPRODUCT(PRODUCT(1+O21:O$33)),4)</f>
        <v>1.2245999999999999</v>
      </c>
      <c r="Z21" s="2886">
        <f t="shared" si="55"/>
        <v>1.2245999999999999</v>
      </c>
      <c r="AA21" s="2886">
        <f>ROUND(SUMPRODUCT(PRODUCT(1+P21:P$33)),4)</f>
        <v>1.4046000000000001</v>
      </c>
      <c r="AB21" s="2886">
        <f>ROUND(SUMPRODUCT(PRODUCT(1+Q21:Q$33)),4)</f>
        <v>1.1893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24"/>
        <v>302</v>
      </c>
      <c r="E22" s="2920">
        <v>553</v>
      </c>
      <c r="F22" s="2921">
        <v>266</v>
      </c>
      <c r="G22" s="3545">
        <v>2016</v>
      </c>
      <c r="H22" s="2907">
        <v>4</v>
      </c>
      <c r="I22" s="2907">
        <v>4.5599999999999996</v>
      </c>
      <c r="J22" s="2907">
        <v>2.15</v>
      </c>
      <c r="K22" s="2907">
        <v>5.32</v>
      </c>
      <c r="L22" s="2908">
        <v>1.57</v>
      </c>
      <c r="N22" s="2901">
        <f t="shared" si="127"/>
        <v>4.5599999999999995E-2</v>
      </c>
      <c r="O22" s="2887">
        <f t="shared" ref="O22:Q37" si="143">J22/100</f>
        <v>2.1499999999999998E-2</v>
      </c>
      <c r="P22" s="2887">
        <f t="shared" si="143"/>
        <v>5.3200000000000004E-2</v>
      </c>
      <c r="Q22" s="2887">
        <f t="shared" si="143"/>
        <v>1.5700000000000002E-2</v>
      </c>
      <c r="R22" s="2902"/>
      <c r="S22" s="2911"/>
      <c r="T22" s="2912"/>
      <c r="U22" s="2912"/>
      <c r="V22" s="2912"/>
      <c r="X22" s="2886">
        <f>ROUND(SUMPRODUCT(PRODUCT(1+N22:N$33)),4)</f>
        <v>1.3119000000000001</v>
      </c>
      <c r="Y22" s="2886">
        <f>ROUND(SUMPRODUCT(PRODUCT(1+O22:O$33)),4)</f>
        <v>1.2016</v>
      </c>
      <c r="Z22" s="2886">
        <f t="shared" si="55"/>
        <v>1.2016</v>
      </c>
      <c r="AA22" s="2886">
        <f>ROUND(SUMPRODUCT(PRODUCT(1+P22:P$33)),4)</f>
        <v>1.3515999999999999</v>
      </c>
      <c r="AB22" s="2886">
        <f>ROUND(SUMPRODUCT(PRODUCT(1+Q22:Q$33)),4)</f>
        <v>1.1708000000000001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44">B22/(1+N22)</f>
        <v>374.90436113236416</v>
      </c>
      <c r="C23" s="2899">
        <f t="shared" si="144"/>
        <v>295.64366128242779</v>
      </c>
      <c r="D23" s="2899">
        <f t="shared" ref="D23:D82" si="145">C23</f>
        <v>295.64366128242779</v>
      </c>
      <c r="E23" s="2899">
        <f t="shared" ref="E23:F25" si="146">E22/(1+P22)</f>
        <v>525.06646410938095</v>
      </c>
      <c r="F23" s="2899">
        <f t="shared" si="146"/>
        <v>261.88835286009646</v>
      </c>
      <c r="G23" s="3540"/>
      <c r="H23" s="2900">
        <v>3</v>
      </c>
      <c r="I23" s="2900">
        <v>4.12</v>
      </c>
      <c r="J23" s="2900">
        <v>2</v>
      </c>
      <c r="K23" s="2900">
        <v>4.79</v>
      </c>
      <c r="L23" s="2906">
        <v>1.97</v>
      </c>
      <c r="N23" s="2901">
        <f t="shared" ref="N23:Q57" si="147">I23/100</f>
        <v>4.1200000000000001E-2</v>
      </c>
      <c r="O23" s="2887">
        <f t="shared" si="143"/>
        <v>0.02</v>
      </c>
      <c r="P23" s="2887">
        <f t="shared" si="143"/>
        <v>4.7899999999999998E-2</v>
      </c>
      <c r="Q23" s="2887">
        <f t="shared" si="143"/>
        <v>1.9699999999999999E-2</v>
      </c>
      <c r="R23" s="2902"/>
      <c r="S23" s="2901"/>
      <c r="T23" s="2887"/>
      <c r="U23" s="2887"/>
      <c r="V23" s="2887"/>
      <c r="X23" s="2886">
        <f>ROUND(SUMPRODUCT(PRODUCT(1+N23:N$33)),4)</f>
        <v>1.2546999999999999</v>
      </c>
      <c r="Y23" s="2886">
        <f>ROUND(SUMPRODUCT(PRODUCT(1+O23:O$33)),4)</f>
        <v>1.1762999999999999</v>
      </c>
      <c r="Z23" s="2886">
        <f t="shared" si="55"/>
        <v>1.1762999999999999</v>
      </c>
      <c r="AA23" s="2886">
        <f>ROUND(SUMPRODUCT(PRODUCT(1+P23:P$33)),4)</f>
        <v>1.2833000000000001</v>
      </c>
      <c r="AB23" s="2886">
        <f>ROUND(SUMPRODUCT(PRODUCT(1+Q23:Q$33)),4)</f>
        <v>1.1527000000000001</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44"/>
        <v>360.06949782209392</v>
      </c>
      <c r="C24" s="2899">
        <f t="shared" si="144"/>
        <v>289.84672674747821</v>
      </c>
      <c r="D24" s="2899">
        <f t="shared" si="145"/>
        <v>289.84672674747821</v>
      </c>
      <c r="E24" s="2899">
        <f t="shared" si="146"/>
        <v>501.06543001181495</v>
      </c>
      <c r="F24" s="2899">
        <f t="shared" si="146"/>
        <v>256.82882500744967</v>
      </c>
      <c r="G24" s="3540"/>
      <c r="H24" s="2913">
        <v>2</v>
      </c>
      <c r="I24" s="2913">
        <v>3.85</v>
      </c>
      <c r="J24" s="2913">
        <v>1.95</v>
      </c>
      <c r="K24" s="2913">
        <v>4.4800000000000004</v>
      </c>
      <c r="L24" s="2914">
        <v>1.41</v>
      </c>
      <c r="N24" s="2901">
        <f t="shared" si="147"/>
        <v>3.85E-2</v>
      </c>
      <c r="O24" s="2887">
        <f t="shared" si="143"/>
        <v>1.95E-2</v>
      </c>
      <c r="P24" s="2887">
        <f t="shared" si="143"/>
        <v>4.4800000000000006E-2</v>
      </c>
      <c r="Q24" s="2887">
        <f t="shared" si="143"/>
        <v>1.41E-2</v>
      </c>
      <c r="R24" s="2902"/>
      <c r="S24" s="2901"/>
      <c r="T24" s="2887"/>
      <c r="U24" s="2887"/>
      <c r="V24" s="2887"/>
      <c r="X24" s="2886">
        <f>ROUND(SUMPRODUCT(PRODUCT(1+N24:N$33)),4)</f>
        <v>1.2050000000000001</v>
      </c>
      <c r="Y24" s="2886">
        <f>ROUND(SUMPRODUCT(PRODUCT(1+O24:O$33)),4)</f>
        <v>1.1532</v>
      </c>
      <c r="Z24" s="2886">
        <f t="shared" si="55"/>
        <v>1.1532</v>
      </c>
      <c r="AA24" s="2886">
        <f>ROUND(SUMPRODUCT(PRODUCT(1+P24:P$33)),4)</f>
        <v>1.2246999999999999</v>
      </c>
      <c r="AB24" s="2886">
        <f>ROUND(SUMPRODUCT(PRODUCT(1+Q24:Q$33)),4)</f>
        <v>1.1304000000000001</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44"/>
        <v>346.720748986128</v>
      </c>
      <c r="C25" s="2899">
        <f t="shared" si="144"/>
        <v>284.30282172386285</v>
      </c>
      <c r="D25" s="2899">
        <f t="shared" si="145"/>
        <v>284.30282172386285</v>
      </c>
      <c r="E25" s="2899">
        <f t="shared" si="146"/>
        <v>479.58023546306947</v>
      </c>
      <c r="F25" s="2899">
        <f t="shared" si="146"/>
        <v>253.25788877571213</v>
      </c>
      <c r="G25" s="3541"/>
      <c r="H25" s="2900">
        <v>1</v>
      </c>
      <c r="I25" s="2900">
        <v>4.09</v>
      </c>
      <c r="J25" s="2900">
        <v>2.93</v>
      </c>
      <c r="K25" s="2900">
        <v>4.54</v>
      </c>
      <c r="L25" s="2906">
        <v>1.48</v>
      </c>
      <c r="N25" s="2901">
        <f t="shared" si="147"/>
        <v>4.0899999999999999E-2</v>
      </c>
      <c r="O25" s="2887">
        <f t="shared" si="143"/>
        <v>2.9300000000000003E-2</v>
      </c>
      <c r="P25" s="2887">
        <f t="shared" si="143"/>
        <v>4.5400000000000003E-2</v>
      </c>
      <c r="Q25" s="2887">
        <f t="shared" si="143"/>
        <v>1.4800000000000001E-2</v>
      </c>
      <c r="R25" s="2902"/>
      <c r="S25" s="2903">
        <f>B25/B26-1</f>
        <v>4.1203450408792808E-2</v>
      </c>
      <c r="T25" s="2904">
        <f>C25/C26-1</f>
        <v>2.6363977342465095E-2</v>
      </c>
      <c r="U25" s="2904">
        <f>E25/E26-1</f>
        <v>4.4837114298626357E-2</v>
      </c>
      <c r="V25" s="2904">
        <f>F25/F26-1</f>
        <v>1.7099954922538574E-2</v>
      </c>
      <c r="X25" s="2886">
        <f>ROUND(SUMPRODUCT(PRODUCT(1+N25:N$33)),4)</f>
        <v>1.1604000000000001</v>
      </c>
      <c r="Y25" s="2886">
        <f>ROUND(SUMPRODUCT(PRODUCT(1+O25:O$33)),4)</f>
        <v>1.1312</v>
      </c>
      <c r="Z25" s="2886">
        <f t="shared" si="55"/>
        <v>1.1312</v>
      </c>
      <c r="AA25" s="2886">
        <f>ROUND(SUMPRODUCT(PRODUCT(1+P25:P$33)),4)</f>
        <v>1.1721999999999999</v>
      </c>
      <c r="AB25" s="2886">
        <f>ROUND(SUMPRODUCT(PRODUCT(1+Q25:Q$33)),4)</f>
        <v>1.1147</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45"/>
        <v>277</v>
      </c>
      <c r="E26" s="2920">
        <v>459</v>
      </c>
      <c r="F26" s="2921">
        <v>249</v>
      </c>
      <c r="G26" s="3539">
        <v>2015</v>
      </c>
      <c r="H26" s="2922">
        <v>4</v>
      </c>
      <c r="I26" s="2922">
        <v>1.63</v>
      </c>
      <c r="J26" s="2922">
        <v>1.1100000000000001</v>
      </c>
      <c r="K26" s="2922">
        <v>1.77</v>
      </c>
      <c r="L26" s="2923">
        <v>1.89</v>
      </c>
      <c r="N26" s="2917">
        <f t="shared" si="147"/>
        <v>1.6299999999999999E-2</v>
      </c>
      <c r="O26" s="2918">
        <f t="shared" si="143"/>
        <v>1.11E-2</v>
      </c>
      <c r="P26" s="2918">
        <f t="shared" si="143"/>
        <v>1.77E-2</v>
      </c>
      <c r="Q26" s="2918">
        <f t="shared" si="143"/>
        <v>1.89E-2</v>
      </c>
      <c r="R26" s="2902"/>
      <c r="X26" s="2886">
        <f>ROUND(SUMPRODUCT(PRODUCT(1+N26:N$33)),4)</f>
        <v>1.1148</v>
      </c>
      <c r="Y26" s="2886">
        <f>ROUND(SUMPRODUCT(PRODUCT(1+O26:O$33)),4)</f>
        <v>1.099</v>
      </c>
      <c r="Z26" s="2886">
        <f t="shared" si="55"/>
        <v>1.099</v>
      </c>
      <c r="AA26" s="2886">
        <f>ROUND(SUMPRODUCT(PRODUCT(1+P26:P$33)),4)</f>
        <v>1.1213</v>
      </c>
      <c r="AB26" s="2886">
        <f>ROUND(SUMPRODUCT(PRODUCT(1+Q26:Q$33)),4)</f>
        <v>1.0984</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48">B26/(1+N26)</f>
        <v>327.65915576109415</v>
      </c>
      <c r="C27" s="2899">
        <f t="shared" si="148"/>
        <v>273.95905449510434</v>
      </c>
      <c r="D27" s="2899">
        <f t="shared" si="145"/>
        <v>273.95905449510434</v>
      </c>
      <c r="E27" s="2899">
        <f t="shared" ref="E27:F29" si="149">E26/(1+P26)</f>
        <v>451.01699911565294</v>
      </c>
      <c r="F27" s="2899">
        <f t="shared" si="149"/>
        <v>244.38119540681129</v>
      </c>
      <c r="G27" s="3540"/>
      <c r="H27" s="2925">
        <v>3</v>
      </c>
      <c r="I27" s="2925">
        <v>1.65</v>
      </c>
      <c r="J27" s="2925">
        <v>0.92</v>
      </c>
      <c r="K27" s="2925">
        <v>1.88</v>
      </c>
      <c r="L27" s="2926">
        <v>1.26</v>
      </c>
      <c r="N27" s="2901">
        <f t="shared" si="147"/>
        <v>1.6500000000000001E-2</v>
      </c>
      <c r="O27" s="2919">
        <f t="shared" si="143"/>
        <v>9.1999999999999998E-3</v>
      </c>
      <c r="P27" s="2919">
        <f t="shared" si="143"/>
        <v>1.8799999999999997E-2</v>
      </c>
      <c r="Q27" s="2919">
        <f t="shared" si="143"/>
        <v>1.26E-2</v>
      </c>
      <c r="R27" s="2902"/>
      <c r="S27" s="2901"/>
      <c r="T27" s="2887"/>
      <c r="U27" s="2887"/>
      <c r="V27" s="2887"/>
      <c r="X27" s="2886">
        <f>ROUND(SUMPRODUCT(PRODUCT(1+N27:N$33)),4)</f>
        <v>1.0969</v>
      </c>
      <c r="Y27" s="2886">
        <f>ROUND(SUMPRODUCT(PRODUCT(1+O27:O$33)),4)</f>
        <v>1.0869</v>
      </c>
      <c r="Z27" s="2886">
        <f t="shared" si="55"/>
        <v>1.0869</v>
      </c>
      <c r="AA27" s="2886">
        <f>ROUND(SUMPRODUCT(PRODUCT(1+P27:P$33)),4)</f>
        <v>1.1017999999999999</v>
      </c>
      <c r="AB27" s="2886">
        <f>ROUND(SUMPRODUCT(PRODUCT(1+Q27:Q$33)),4)</f>
        <v>1.0781000000000001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48"/>
        <v>322.34053690220776</v>
      </c>
      <c r="C28" s="2899">
        <f t="shared" si="148"/>
        <v>271.46160770422546</v>
      </c>
      <c r="D28" s="2899">
        <f t="shared" si="145"/>
        <v>271.46160770422546</v>
      </c>
      <c r="E28" s="2899">
        <f t="shared" si="149"/>
        <v>442.69434542172456</v>
      </c>
      <c r="F28" s="2899">
        <f t="shared" si="149"/>
        <v>241.34030753190925</v>
      </c>
      <c r="G28" s="3540"/>
      <c r="H28" s="2913">
        <v>2</v>
      </c>
      <c r="I28" s="2913">
        <v>0.77</v>
      </c>
      <c r="J28" s="2913">
        <v>0.69</v>
      </c>
      <c r="K28" s="2913">
        <v>0.8</v>
      </c>
      <c r="L28" s="2914">
        <v>0.88</v>
      </c>
      <c r="N28" s="2901">
        <f t="shared" si="147"/>
        <v>7.7000000000000002E-3</v>
      </c>
      <c r="O28" s="2919">
        <f t="shared" si="143"/>
        <v>6.8999999999999999E-3</v>
      </c>
      <c r="P28" s="2919">
        <f t="shared" si="143"/>
        <v>8.0000000000000002E-3</v>
      </c>
      <c r="Q28" s="2919">
        <f t="shared" si="143"/>
        <v>8.8000000000000005E-3</v>
      </c>
      <c r="R28" s="2902"/>
      <c r="S28" s="2901"/>
      <c r="T28" s="2887"/>
      <c r="U28" s="2887"/>
      <c r="V28" s="2887"/>
      <c r="X28" s="2886">
        <f>ROUND(SUMPRODUCT(PRODUCT(1+N28:N$33)),4)</f>
        <v>1.0790999999999999</v>
      </c>
      <c r="Y28" s="2886">
        <f>ROUND(SUMPRODUCT(PRODUCT(1+O28:O$33)),4)</f>
        <v>1.077</v>
      </c>
      <c r="Z28" s="2886">
        <f t="shared" si="55"/>
        <v>1.077</v>
      </c>
      <c r="AA28" s="2886">
        <f>ROUND(SUMPRODUCT(PRODUCT(1+P28:P$33)),4)</f>
        <v>1.0813999999999999</v>
      </c>
      <c r="AB28" s="2886">
        <f>ROUND(SUMPRODUCT(PRODUCT(1+Q28:Q$33)),4)</f>
        <v>1.0647</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48"/>
        <v>319.87748030386797</v>
      </c>
      <c r="C29" s="2899">
        <f t="shared" si="148"/>
        <v>269.60135833173649</v>
      </c>
      <c r="D29" s="2899">
        <f t="shared" si="145"/>
        <v>269.60135833173649</v>
      </c>
      <c r="E29" s="2899">
        <f t="shared" si="149"/>
        <v>439.18089823583784</v>
      </c>
      <c r="F29" s="2899">
        <f t="shared" si="149"/>
        <v>239.23503918706311</v>
      </c>
      <c r="G29" s="3541"/>
      <c r="H29" s="2900">
        <v>1</v>
      </c>
      <c r="I29" s="2900">
        <v>0.51</v>
      </c>
      <c r="J29" s="2900">
        <v>0.54</v>
      </c>
      <c r="K29" s="2900">
        <v>0.48</v>
      </c>
      <c r="L29" s="2906">
        <v>0.93</v>
      </c>
      <c r="N29" s="2903">
        <f t="shared" si="147"/>
        <v>5.1000000000000004E-3</v>
      </c>
      <c r="O29" s="2904">
        <f t="shared" si="143"/>
        <v>5.4000000000000003E-3</v>
      </c>
      <c r="P29" s="2904">
        <f t="shared" si="143"/>
        <v>4.7999999999999996E-3</v>
      </c>
      <c r="Q29" s="2904">
        <f t="shared" si="143"/>
        <v>9.300000000000001E-3</v>
      </c>
      <c r="R29" s="2902"/>
      <c r="S29" s="2903">
        <f>B29/B30-1</f>
        <v>5.9040261127922822E-3</v>
      </c>
      <c r="T29" s="2904">
        <f>C29/C30-1</f>
        <v>5.9752176557332781E-3</v>
      </c>
      <c r="U29" s="2904">
        <f>E29/E30-1</f>
        <v>4.9906138119859556E-3</v>
      </c>
      <c r="V29" s="2904">
        <f>F29/F30-1</f>
        <v>9.4305450930933787E-3</v>
      </c>
      <c r="X29" s="2886">
        <f>ROUND(SUMPRODUCT(PRODUCT(1+N29:N$33)),4)</f>
        <v>1.0708</v>
      </c>
      <c r="Y29" s="2886">
        <f>ROUND(SUMPRODUCT(PRODUCT(1+O29:O$33)),4)</f>
        <v>1.0696000000000001</v>
      </c>
      <c r="Z29" s="2886">
        <f t="shared" si="55"/>
        <v>1.0696000000000001</v>
      </c>
      <c r="AA29" s="2886">
        <f>ROUND(SUMPRODUCT(PRODUCT(1+P29:P$33)),4)</f>
        <v>1.0728</v>
      </c>
      <c r="AB29" s="2886">
        <f>ROUND(SUMPRODUCT(PRODUCT(1+Q29:Q$33)),4)</f>
        <v>1.0553999999999999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45"/>
        <v>268</v>
      </c>
      <c r="E30" s="2927">
        <v>437</v>
      </c>
      <c r="F30" s="2928">
        <v>237</v>
      </c>
      <c r="G30" s="3539">
        <v>2014</v>
      </c>
      <c r="H30" s="2922">
        <v>4</v>
      </c>
      <c r="I30" s="2922">
        <v>0.21</v>
      </c>
      <c r="J30" s="2922">
        <v>0.41</v>
      </c>
      <c r="K30" s="2922">
        <v>0.12</v>
      </c>
      <c r="L30" s="2923">
        <v>0.89</v>
      </c>
      <c r="N30" s="2901">
        <f t="shared" si="147"/>
        <v>2.0999999999999999E-3</v>
      </c>
      <c r="O30" s="2887">
        <f t="shared" si="143"/>
        <v>4.0999999999999995E-3</v>
      </c>
      <c r="P30" s="2887">
        <f t="shared" si="143"/>
        <v>1.1999999999999999E-3</v>
      </c>
      <c r="Q30" s="2887">
        <f t="shared" si="143"/>
        <v>8.8999999999999999E-3</v>
      </c>
      <c r="R30" s="2902"/>
      <c r="S30" s="2911"/>
      <c r="T30" s="2912"/>
      <c r="U30" s="2912"/>
      <c r="V30" s="2912"/>
      <c r="X30" s="2886">
        <f>ROUND(SUMPRODUCT(PRODUCT(1+N30:N$33)),4)</f>
        <v>1.0653999999999999</v>
      </c>
      <c r="Y30" s="2886">
        <f>ROUND(SUMPRODUCT(PRODUCT(1+O30:O$33)),4)</f>
        <v>1.0639000000000001</v>
      </c>
      <c r="Z30" s="2886">
        <f t="shared" si="55"/>
        <v>1.0639000000000001</v>
      </c>
      <c r="AA30" s="2886">
        <f>ROUND(SUMPRODUCT(PRODUCT(1+P30:P$33)),4)</f>
        <v>1.0677000000000001</v>
      </c>
      <c r="AB30" s="2886">
        <f>ROUND(SUMPRODUCT(PRODUCT(1+Q30:Q$33)),4)</f>
        <v>1.0456000000000001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0">B30/(1+N30)</f>
        <v>317.33359944117353</v>
      </c>
      <c r="C31" s="2899">
        <f t="shared" si="150"/>
        <v>266.90568668459315</v>
      </c>
      <c r="D31" s="2899">
        <f t="shared" si="145"/>
        <v>266.90568668459315</v>
      </c>
      <c r="E31" s="2899">
        <f t="shared" ref="E31:F33" si="151">E30/(1+P30)</f>
        <v>436.47622852576905</v>
      </c>
      <c r="F31" s="2899">
        <f t="shared" si="151"/>
        <v>234.90930716622066</v>
      </c>
      <c r="G31" s="3540"/>
      <c r="H31" s="2929">
        <v>3</v>
      </c>
      <c r="I31" s="2929">
        <v>0.83</v>
      </c>
      <c r="J31" s="2929">
        <v>1.47</v>
      </c>
      <c r="K31" s="2929">
        <v>0.65</v>
      </c>
      <c r="L31" s="2930">
        <v>0.72</v>
      </c>
      <c r="N31" s="2901">
        <f t="shared" si="147"/>
        <v>8.3000000000000001E-3</v>
      </c>
      <c r="O31" s="2887">
        <f t="shared" si="143"/>
        <v>1.47E-2</v>
      </c>
      <c r="P31" s="2887">
        <f t="shared" si="143"/>
        <v>6.5000000000000006E-3</v>
      </c>
      <c r="Q31" s="2887">
        <f t="shared" si="143"/>
        <v>7.1999999999999998E-3</v>
      </c>
      <c r="R31" s="2902"/>
      <c r="S31" s="2901"/>
      <c r="T31" s="2887"/>
      <c r="U31" s="2887"/>
      <c r="V31" s="2887"/>
      <c r="X31" s="2886">
        <f>ROUND(SUMPRODUCT(PRODUCT(1+N31:N$33)),4)</f>
        <v>1.0631999999999999</v>
      </c>
      <c r="Y31" s="2886">
        <f>ROUND(SUMPRODUCT(PRODUCT(1+O31:O$33)),4)</f>
        <v>1.0595000000000001</v>
      </c>
      <c r="Z31" s="2886">
        <f t="shared" si="55"/>
        <v>1.0595000000000001</v>
      </c>
      <c r="AA31" s="2886">
        <f>ROUND(SUMPRODUCT(PRODUCT(1+P31:P$33)),4)</f>
        <v>1.0664</v>
      </c>
      <c r="AB31" s="2886">
        <f>ROUND(SUMPRODUCT(PRODUCT(1+Q31:Q$33)),4)</f>
        <v>1.0364</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0"/>
        <v>314.72141172386546</v>
      </c>
      <c r="C32" s="2899">
        <f t="shared" si="150"/>
        <v>263.03901319069001</v>
      </c>
      <c r="D32" s="2899">
        <f t="shared" si="145"/>
        <v>263.03901319069001</v>
      </c>
      <c r="E32" s="2899">
        <f t="shared" si="151"/>
        <v>433.65745506782821</v>
      </c>
      <c r="F32" s="2899">
        <f t="shared" si="151"/>
        <v>233.23005080045735</v>
      </c>
      <c r="G32" s="3540"/>
      <c r="H32" s="2922">
        <v>2</v>
      </c>
      <c r="I32" s="2922">
        <v>2.4</v>
      </c>
      <c r="J32" s="2922">
        <v>2.0299999999999998</v>
      </c>
      <c r="K32" s="2922">
        <v>2.59</v>
      </c>
      <c r="L32" s="2923">
        <v>1.52</v>
      </c>
      <c r="N32" s="2901">
        <f t="shared" si="147"/>
        <v>2.4E-2</v>
      </c>
      <c r="O32" s="2887">
        <f t="shared" si="143"/>
        <v>2.0299999999999999E-2</v>
      </c>
      <c r="P32" s="2887">
        <f t="shared" si="143"/>
        <v>2.5899999999999999E-2</v>
      </c>
      <c r="Q32" s="2887">
        <f t="shared" si="143"/>
        <v>1.52E-2</v>
      </c>
      <c r="R32" s="2902"/>
      <c r="S32" s="2901"/>
      <c r="T32" s="2887"/>
      <c r="U32" s="2887"/>
      <c r="V32" s="2887"/>
      <c r="X32" s="2886">
        <f>ROUND(SUMPRODUCT(PRODUCT(1+N32:N$33)),4)</f>
        <v>1.0544</v>
      </c>
      <c r="Y32" s="2886">
        <f>ROUND(SUMPRODUCT(PRODUCT(1+O32:O$33)),4)</f>
        <v>1.0442</v>
      </c>
      <c r="Z32" s="2886">
        <f t="shared" si="55"/>
        <v>1.0442</v>
      </c>
      <c r="AA32" s="2886">
        <f>ROUND(SUMPRODUCT(PRODUCT(1+P32:P$33)),4)</f>
        <v>1.0595000000000001</v>
      </c>
      <c r="AB32" s="2886">
        <f>ROUND(SUMPRODUCT(PRODUCT(1+Q32:Q$33)),4)</f>
        <v>1.0289999999999999</v>
      </c>
      <c r="AD32" s="2887">
        <f>ROUND(AVERAGE(I32:I$33)/100,4)</f>
        <v>2.69E-2</v>
      </c>
      <c r="AE32" s="2887">
        <f>ROUND(AVERAGE(J32:J$33)/100,4)</f>
        <v>2.1899999999999999E-2</v>
      </c>
      <c r="AF32" s="2887">
        <f t="shared" ref="AF32" si="152">AE32</f>
        <v>2.1899999999999999E-2</v>
      </c>
      <c r="AG32" s="2887">
        <f>ROUND(AVERAGE(K32:K$33)/100,4)</f>
        <v>2.9399999999999999E-2</v>
      </c>
      <c r="AH32" s="2887">
        <f>ROUND(AVERAGE(L32:L$33)/100,4)</f>
        <v>1.44E-2</v>
      </c>
    </row>
    <row r="33" spans="1:34" s="2935" customFormat="1" ht="13.5" thickBot="1">
      <c r="A33" s="2931" t="s">
        <v>951</v>
      </c>
      <c r="B33" s="2932">
        <f t="shared" si="150"/>
        <v>307.34512863658733</v>
      </c>
      <c r="C33" s="2932">
        <f t="shared" si="150"/>
        <v>257.80556031626975</v>
      </c>
      <c r="D33" s="2932">
        <f t="shared" si="145"/>
        <v>257.80556031626975</v>
      </c>
      <c r="E33" s="2932">
        <f t="shared" si="151"/>
        <v>422.70928459677179</v>
      </c>
      <c r="F33" s="2932">
        <f t="shared" si="151"/>
        <v>229.73803270336617</v>
      </c>
      <c r="G33" s="3541"/>
      <c r="H33" s="2933">
        <v>1</v>
      </c>
      <c r="I33" s="2933">
        <v>2.97</v>
      </c>
      <c r="J33" s="2933">
        <v>2.34</v>
      </c>
      <c r="K33" s="2933">
        <v>3.28</v>
      </c>
      <c r="L33" s="2934">
        <v>1.36</v>
      </c>
      <c r="N33" s="2936">
        <f t="shared" si="147"/>
        <v>2.9700000000000001E-2</v>
      </c>
      <c r="O33" s="2937">
        <f t="shared" si="143"/>
        <v>2.3399999999999997E-2</v>
      </c>
      <c r="P33" s="2937">
        <f t="shared" si="143"/>
        <v>3.2799999999999996E-2</v>
      </c>
      <c r="Q33" s="2937">
        <f t="shared" si="143"/>
        <v>1.3600000000000001E-2</v>
      </c>
      <c r="R33" s="2938"/>
      <c r="S33" s="2939">
        <f>B33/B34-1</f>
        <v>2.7910129219355539E-2</v>
      </c>
      <c r="T33" s="2940">
        <f>C33/C34-1</f>
        <v>2.3037937762975247E-2</v>
      </c>
      <c r="U33" s="2940">
        <f>E33/E34-1</f>
        <v>3.3519033243940788E-2</v>
      </c>
      <c r="V33" s="2940">
        <f>F33/F34-1</f>
        <v>1.2061818076502862E-2</v>
      </c>
      <c r="W33" s="2941" t="s">
        <v>2621</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2564</v>
      </c>
      <c r="B34" s="2920">
        <v>299</v>
      </c>
      <c r="C34" s="2920">
        <v>252</v>
      </c>
      <c r="D34" s="2920">
        <f t="shared" si="145"/>
        <v>252</v>
      </c>
      <c r="E34" s="2920">
        <v>409</v>
      </c>
      <c r="F34" s="2921">
        <v>227</v>
      </c>
      <c r="G34" s="3542">
        <v>2013</v>
      </c>
      <c r="H34" s="2943">
        <v>4</v>
      </c>
      <c r="I34" s="2943">
        <v>1.83</v>
      </c>
      <c r="J34" s="2943">
        <v>1.68</v>
      </c>
      <c r="K34" s="2943">
        <v>1.97</v>
      </c>
      <c r="L34" s="2944">
        <v>0.87</v>
      </c>
      <c r="N34" s="2917">
        <f t="shared" si="147"/>
        <v>1.83E-2</v>
      </c>
      <c r="O34" s="2918">
        <f t="shared" si="143"/>
        <v>1.6799999999999999E-2</v>
      </c>
      <c r="P34" s="2918">
        <f t="shared" si="143"/>
        <v>1.9699999999999999E-2</v>
      </c>
      <c r="Q34" s="2918">
        <f t="shared" si="143"/>
        <v>8.6999999999999994E-3</v>
      </c>
      <c r="R34" s="2902"/>
      <c r="S34" s="2911"/>
      <c r="T34" s="2912"/>
      <c r="U34" s="2912"/>
      <c r="V34" s="2912"/>
      <c r="X34" s="2912"/>
      <c r="Y34" s="2912"/>
      <c r="Z34" s="2912"/>
    </row>
    <row r="35" spans="1:34">
      <c r="A35" s="2898" t="s">
        <v>2565</v>
      </c>
      <c r="B35" s="2899">
        <f t="shared" ref="B35:C37" si="153">B34/(1+N34)</f>
        <v>293.62663262299913</v>
      </c>
      <c r="C35" s="2899">
        <f t="shared" si="153"/>
        <v>247.83634933123525</v>
      </c>
      <c r="D35" s="2899">
        <f t="shared" si="145"/>
        <v>247.83634933123525</v>
      </c>
      <c r="E35" s="2899">
        <f t="shared" ref="E35:F37" si="154">E34/(1+P34)</f>
        <v>401.09836226341076</v>
      </c>
      <c r="F35" s="2899">
        <f t="shared" si="154"/>
        <v>225.04213343908003</v>
      </c>
      <c r="G35" s="3543"/>
      <c r="H35" s="2925">
        <v>3</v>
      </c>
      <c r="I35" s="2925">
        <v>1.86</v>
      </c>
      <c r="J35" s="2925">
        <v>1.72</v>
      </c>
      <c r="K35" s="2925">
        <v>1.98</v>
      </c>
      <c r="L35" s="2926">
        <v>0.88</v>
      </c>
      <c r="N35" s="2901">
        <f t="shared" si="147"/>
        <v>1.8600000000000002E-2</v>
      </c>
      <c r="O35" s="2919">
        <f t="shared" si="143"/>
        <v>1.72E-2</v>
      </c>
      <c r="P35" s="2919">
        <f t="shared" si="143"/>
        <v>1.9799999999999998E-2</v>
      </c>
      <c r="Q35" s="2919">
        <f t="shared" si="143"/>
        <v>8.8000000000000005E-3</v>
      </c>
      <c r="R35" s="2902"/>
      <c r="S35" s="2901"/>
      <c r="T35" s="2887"/>
      <c r="U35" s="2887"/>
      <c r="V35" s="2887"/>
    </row>
    <row r="36" spans="1:34">
      <c r="A36" s="2898" t="s">
        <v>2566</v>
      </c>
      <c r="B36" s="2899">
        <f t="shared" si="153"/>
        <v>288.2649053828776</v>
      </c>
      <c r="C36" s="2899">
        <f t="shared" si="153"/>
        <v>243.64564425013293</v>
      </c>
      <c r="D36" s="2899">
        <f t="shared" si="145"/>
        <v>243.64564425013293</v>
      </c>
      <c r="E36" s="2899">
        <f t="shared" si="154"/>
        <v>393.31080825986544</v>
      </c>
      <c r="F36" s="2899">
        <f t="shared" si="154"/>
        <v>223.07903790551154</v>
      </c>
      <c r="G36" s="3543"/>
      <c r="H36" s="2913">
        <v>2</v>
      </c>
      <c r="I36" s="2913">
        <v>2.04</v>
      </c>
      <c r="J36" s="2913">
        <v>2.33</v>
      </c>
      <c r="K36" s="2913">
        <v>2.0699999999999998</v>
      </c>
      <c r="L36" s="2914">
        <v>0.69</v>
      </c>
      <c r="N36" s="2901">
        <f t="shared" si="147"/>
        <v>2.0400000000000001E-2</v>
      </c>
      <c r="O36" s="2919">
        <f t="shared" si="143"/>
        <v>2.3300000000000001E-2</v>
      </c>
      <c r="P36" s="2919">
        <f t="shared" si="143"/>
        <v>2.07E-2</v>
      </c>
      <c r="Q36" s="2919">
        <f t="shared" si="143"/>
        <v>6.8999999999999999E-3</v>
      </c>
      <c r="R36" s="2902"/>
      <c r="S36" s="2901"/>
      <c r="T36" s="2887"/>
      <c r="U36" s="2887"/>
      <c r="V36" s="2887"/>
      <c r="X36" s="2945"/>
      <c r="Y36" s="2946"/>
    </row>
    <row r="37" spans="1:34">
      <c r="A37" s="2898" t="s">
        <v>2567</v>
      </c>
      <c r="B37" s="2899">
        <f t="shared" si="153"/>
        <v>282.50186729015837</v>
      </c>
      <c r="C37" s="2899">
        <f t="shared" si="153"/>
        <v>238.09796174155468</v>
      </c>
      <c r="D37" s="2899">
        <f t="shared" si="145"/>
        <v>238.09796174155468</v>
      </c>
      <c r="E37" s="2899">
        <f t="shared" si="154"/>
        <v>385.33438646014054</v>
      </c>
      <c r="F37" s="2899">
        <f t="shared" si="154"/>
        <v>221.55034055567739</v>
      </c>
      <c r="G37" s="3544"/>
      <c r="H37" s="2900">
        <v>1</v>
      </c>
      <c r="I37" s="2900">
        <v>1.67</v>
      </c>
      <c r="J37" s="2900">
        <v>1.31</v>
      </c>
      <c r="K37" s="2900">
        <v>1.85</v>
      </c>
      <c r="L37" s="2906">
        <v>0.96</v>
      </c>
      <c r="N37" s="2903">
        <f t="shared" si="147"/>
        <v>1.67E-2</v>
      </c>
      <c r="O37" s="2904">
        <f t="shared" si="143"/>
        <v>1.3100000000000001E-2</v>
      </c>
      <c r="P37" s="2904">
        <f t="shared" si="143"/>
        <v>1.8500000000000003E-2</v>
      </c>
      <c r="Q37" s="2904">
        <f t="shared" si="143"/>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2568</v>
      </c>
      <c r="B38" s="2948">
        <v>278</v>
      </c>
      <c r="C38" s="2948">
        <v>234</v>
      </c>
      <c r="D38" s="2948">
        <f t="shared" si="145"/>
        <v>234</v>
      </c>
      <c r="E38" s="2948">
        <v>379</v>
      </c>
      <c r="F38" s="2949">
        <v>220</v>
      </c>
      <c r="G38" s="3539">
        <v>2012</v>
      </c>
      <c r="H38" s="2922">
        <v>4</v>
      </c>
      <c r="I38" s="2922">
        <v>0.91</v>
      </c>
      <c r="J38" s="2922">
        <v>0.68</v>
      </c>
      <c r="K38" s="2922">
        <v>0.98</v>
      </c>
      <c r="L38" s="2923">
        <v>0.9</v>
      </c>
      <c r="N38" s="2901">
        <f t="shared" si="147"/>
        <v>9.1000000000000004E-3</v>
      </c>
      <c r="O38" s="2887">
        <f t="shared" si="147"/>
        <v>6.8000000000000005E-3</v>
      </c>
      <c r="P38" s="2887">
        <f t="shared" si="147"/>
        <v>9.7999999999999997E-3</v>
      </c>
      <c r="Q38" s="2887">
        <f t="shared" si="147"/>
        <v>9.0000000000000011E-3</v>
      </c>
      <c r="R38" s="2902"/>
      <c r="S38" s="2911"/>
      <c r="T38" s="2912"/>
      <c r="U38" s="2912"/>
      <c r="V38" s="2912"/>
      <c r="X38" s="2912"/>
      <c r="Y38" s="2912"/>
      <c r="Z38" s="2912"/>
    </row>
    <row r="39" spans="1:34">
      <c r="A39" s="2898" t="s">
        <v>2569</v>
      </c>
      <c r="B39" s="2899">
        <f>B38/(1+N38)</f>
        <v>275.49301357645425</v>
      </c>
      <c r="C39" s="2899">
        <f>C38/(1+O38)</f>
        <v>232.41954707985698</v>
      </c>
      <c r="D39" s="2899">
        <f t="shared" si="145"/>
        <v>232.41954707985698</v>
      </c>
      <c r="E39" s="2899">
        <f t="shared" ref="E39:F41" si="155">E38/(1+P38)</f>
        <v>375.32184591008121</v>
      </c>
      <c r="F39" s="2899">
        <f t="shared" si="155"/>
        <v>218.03766105054513</v>
      </c>
      <c r="G39" s="3540"/>
      <c r="H39" s="2925">
        <v>3</v>
      </c>
      <c r="I39" s="2925">
        <v>0.09</v>
      </c>
      <c r="J39" s="2925">
        <v>0.28999999999999998</v>
      </c>
      <c r="K39" s="2925">
        <v>-0.01</v>
      </c>
      <c r="L39" s="2926">
        <v>0.57999999999999996</v>
      </c>
      <c r="N39" s="2901">
        <f t="shared" si="147"/>
        <v>8.9999999999999998E-4</v>
      </c>
      <c r="O39" s="2887">
        <f t="shared" si="147"/>
        <v>2.8999999999999998E-3</v>
      </c>
      <c r="P39" s="2887">
        <f t="shared" si="147"/>
        <v>-1E-4</v>
      </c>
      <c r="Q39" s="2887">
        <f t="shared" si="147"/>
        <v>5.7999999999999996E-3</v>
      </c>
      <c r="R39" s="2902"/>
      <c r="S39" s="2901"/>
      <c r="T39" s="2887"/>
      <c r="U39" s="2887"/>
      <c r="V39" s="2887"/>
    </row>
    <row r="40" spans="1:34">
      <c r="A40" s="2898" t="s">
        <v>2570</v>
      </c>
      <c r="B40" s="2899">
        <f>B39/(1+N39)</f>
        <v>275.24529281292263</v>
      </c>
      <c r="C40" s="2899">
        <f>C39/(1+O39)</f>
        <v>231.74747938962707</v>
      </c>
      <c r="D40" s="2899">
        <f t="shared" si="145"/>
        <v>231.74747938962707</v>
      </c>
      <c r="E40" s="2899">
        <f t="shared" si="155"/>
        <v>375.35938184826603</v>
      </c>
      <c r="F40" s="2899">
        <f t="shared" si="155"/>
        <v>216.78033510692495</v>
      </c>
      <c r="G40" s="3540"/>
      <c r="H40" s="2913">
        <v>2</v>
      </c>
      <c r="I40" s="2913">
        <v>0.02</v>
      </c>
      <c r="J40" s="2913">
        <v>0.12</v>
      </c>
      <c r="K40" s="2913">
        <v>-0.08</v>
      </c>
      <c r="L40" s="2914">
        <v>1.24</v>
      </c>
      <c r="N40" s="2901">
        <f t="shared" si="147"/>
        <v>2.0000000000000001E-4</v>
      </c>
      <c r="O40" s="2887">
        <f t="shared" si="147"/>
        <v>1.1999999999999999E-3</v>
      </c>
      <c r="P40" s="2887">
        <f t="shared" si="147"/>
        <v>-8.0000000000000004E-4</v>
      </c>
      <c r="Q40" s="2887">
        <f t="shared" si="147"/>
        <v>1.24E-2</v>
      </c>
      <c r="R40" s="2902"/>
      <c r="S40" s="2901"/>
      <c r="T40" s="2887"/>
      <c r="U40" s="2887"/>
      <c r="V40" s="2887"/>
    </row>
    <row r="41" spans="1:34" ht="13.5" thickBot="1">
      <c r="A41" s="2898" t="s">
        <v>2571</v>
      </c>
      <c r="B41" s="2899">
        <f>B40/(1+N40)</f>
        <v>275.19025476197027</v>
      </c>
      <c r="C41" s="2950">
        <v>232</v>
      </c>
      <c r="D41" s="2950">
        <f t="shared" si="145"/>
        <v>232</v>
      </c>
      <c r="E41" s="2899">
        <f t="shared" si="155"/>
        <v>375.65990977608692</v>
      </c>
      <c r="F41" s="2899">
        <f t="shared" si="155"/>
        <v>214.12518283971252</v>
      </c>
      <c r="G41" s="3541"/>
      <c r="H41" s="2900">
        <v>1</v>
      </c>
      <c r="I41" s="2900">
        <v>0.02</v>
      </c>
      <c r="J41" s="2900">
        <v>0.13</v>
      </c>
      <c r="K41" s="2900">
        <v>-0.04</v>
      </c>
      <c r="L41" s="2906">
        <v>0.46</v>
      </c>
      <c r="N41" s="2901">
        <f t="shared" si="147"/>
        <v>2.0000000000000001E-4</v>
      </c>
      <c r="O41" s="2887">
        <f t="shared" si="147"/>
        <v>1.2999999999999999E-3</v>
      </c>
      <c r="P41" s="2887">
        <f t="shared" si="147"/>
        <v>-4.0000000000000002E-4</v>
      </c>
      <c r="Q41" s="2887">
        <f t="shared" si="147"/>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2572</v>
      </c>
      <c r="B42" s="2920">
        <v>275</v>
      </c>
      <c r="C42" s="2920">
        <v>232</v>
      </c>
      <c r="D42" s="2920">
        <f t="shared" si="145"/>
        <v>232</v>
      </c>
      <c r="E42" s="2920">
        <v>376</v>
      </c>
      <c r="F42" s="2921">
        <v>213</v>
      </c>
      <c r="G42" s="3539">
        <v>2011</v>
      </c>
      <c r="H42" s="2922">
        <v>4</v>
      </c>
      <c r="I42" s="2922">
        <v>-0.2</v>
      </c>
      <c r="J42" s="2922">
        <v>0.04</v>
      </c>
      <c r="K42" s="2922">
        <v>-0.34</v>
      </c>
      <c r="L42" s="2923">
        <v>0.46</v>
      </c>
      <c r="N42" s="2917">
        <f t="shared" si="147"/>
        <v>-2E-3</v>
      </c>
      <c r="O42" s="2918">
        <f t="shared" si="147"/>
        <v>4.0000000000000002E-4</v>
      </c>
      <c r="P42" s="2918">
        <f t="shared" si="147"/>
        <v>-3.4000000000000002E-3</v>
      </c>
      <c r="Q42" s="2918">
        <f t="shared" si="147"/>
        <v>4.5999999999999999E-3</v>
      </c>
      <c r="R42" s="2902"/>
      <c r="S42" s="2911"/>
      <c r="T42" s="2912"/>
      <c r="U42" s="2912"/>
      <c r="V42" s="2912"/>
      <c r="X42" s="2912"/>
      <c r="Y42" s="2912"/>
      <c r="Z42" s="2912"/>
    </row>
    <row r="43" spans="1:34">
      <c r="A43" s="2898" t="s">
        <v>2573</v>
      </c>
      <c r="B43" s="2899">
        <f t="shared" ref="B43:C45" si="156">B42/(1+N42)</f>
        <v>275.55110220440883</v>
      </c>
      <c r="C43" s="2899">
        <f t="shared" si="156"/>
        <v>231.90723710515795</v>
      </c>
      <c r="D43" s="2899">
        <f t="shared" si="145"/>
        <v>231.90723710515795</v>
      </c>
      <c r="E43" s="2899">
        <f t="shared" ref="E43:F45" si="157">E42/(1+P42)</f>
        <v>377.28276138872161</v>
      </c>
      <c r="F43" s="2899">
        <f t="shared" si="157"/>
        <v>212.02468644236512</v>
      </c>
      <c r="G43" s="3540">
        <v>2011</v>
      </c>
      <c r="H43" s="2925">
        <v>3</v>
      </c>
      <c r="I43" s="2925">
        <v>0.13</v>
      </c>
      <c r="J43" s="2925">
        <v>0.75</v>
      </c>
      <c r="K43" s="2925">
        <v>-0.08</v>
      </c>
      <c r="L43" s="2926">
        <v>0.53</v>
      </c>
      <c r="N43" s="2901">
        <f t="shared" si="147"/>
        <v>1.2999999999999999E-3</v>
      </c>
      <c r="O43" s="2919">
        <f t="shared" si="147"/>
        <v>7.4999999999999997E-3</v>
      </c>
      <c r="P43" s="2919">
        <f t="shared" si="147"/>
        <v>-8.0000000000000004E-4</v>
      </c>
      <c r="Q43" s="2919">
        <f t="shared" si="147"/>
        <v>5.3E-3</v>
      </c>
      <c r="R43" s="2902"/>
      <c r="S43" s="2901"/>
      <c r="T43" s="2887"/>
      <c r="U43" s="2887"/>
      <c r="V43" s="2887"/>
    </row>
    <row r="44" spans="1:34">
      <c r="A44" s="2898" t="s">
        <v>2574</v>
      </c>
      <c r="B44" s="2899">
        <f t="shared" si="156"/>
        <v>275.19335084830601</v>
      </c>
      <c r="C44" s="2899">
        <f t="shared" si="156"/>
        <v>230.18088050139744</v>
      </c>
      <c r="D44" s="2899">
        <f t="shared" si="145"/>
        <v>230.18088050139744</v>
      </c>
      <c r="E44" s="2899">
        <f t="shared" si="157"/>
        <v>377.58482925212331</v>
      </c>
      <c r="F44" s="2899">
        <f t="shared" si="157"/>
        <v>210.90687997847917</v>
      </c>
      <c r="G44" s="3540">
        <v>2011</v>
      </c>
      <c r="H44" s="2913">
        <v>2</v>
      </c>
      <c r="I44" s="2913">
        <v>-0.4</v>
      </c>
      <c r="J44" s="2913">
        <v>0.17</v>
      </c>
      <c r="K44" s="2913">
        <v>-0.57999999999999996</v>
      </c>
      <c r="L44" s="2914">
        <v>-0.2</v>
      </c>
      <c r="N44" s="2901">
        <f t="shared" si="147"/>
        <v>-4.0000000000000001E-3</v>
      </c>
      <c r="O44" s="2919">
        <f t="shared" si="147"/>
        <v>1.7000000000000001E-3</v>
      </c>
      <c r="P44" s="2919">
        <f t="shared" si="147"/>
        <v>-5.7999999999999996E-3</v>
      </c>
      <c r="Q44" s="2919">
        <f t="shared" si="147"/>
        <v>-2E-3</v>
      </c>
      <c r="R44" s="2902"/>
      <c r="S44" s="2901"/>
      <c r="T44" s="2887"/>
      <c r="U44" s="2887"/>
      <c r="V44" s="2887"/>
    </row>
    <row r="45" spans="1:34" ht="13.5" thickBot="1">
      <c r="A45" s="2898" t="s">
        <v>2575</v>
      </c>
      <c r="B45" s="2899">
        <f t="shared" si="156"/>
        <v>276.29854502841971</v>
      </c>
      <c r="C45" s="2899">
        <f t="shared" si="156"/>
        <v>229.79023709833027</v>
      </c>
      <c r="D45" s="2899">
        <f t="shared" si="145"/>
        <v>229.79023709833027</v>
      </c>
      <c r="E45" s="2899">
        <f t="shared" si="157"/>
        <v>379.78759731655936</v>
      </c>
      <c r="F45" s="2899">
        <f t="shared" si="157"/>
        <v>211.32953905659235</v>
      </c>
      <c r="G45" s="3541">
        <v>2011</v>
      </c>
      <c r="H45" s="2900">
        <v>1</v>
      </c>
      <c r="I45" s="2900">
        <v>2.65</v>
      </c>
      <c r="J45" s="2900">
        <v>3.76</v>
      </c>
      <c r="K45" s="2900">
        <v>1.89</v>
      </c>
      <c r="L45" s="2906">
        <v>7.95</v>
      </c>
      <c r="N45" s="2903">
        <f t="shared" si="147"/>
        <v>2.6499999999999999E-2</v>
      </c>
      <c r="O45" s="2904">
        <f t="shared" si="147"/>
        <v>3.7599999999999995E-2</v>
      </c>
      <c r="P45" s="2904">
        <f t="shared" si="147"/>
        <v>1.89E-2</v>
      </c>
      <c r="Q45" s="2904">
        <f t="shared" si="147"/>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2576</v>
      </c>
      <c r="B46" s="2920">
        <v>269</v>
      </c>
      <c r="C46" s="2920">
        <v>221</v>
      </c>
      <c r="D46" s="2920">
        <f t="shared" si="145"/>
        <v>221</v>
      </c>
      <c r="E46" s="2920">
        <v>373</v>
      </c>
      <c r="F46" s="2921">
        <v>196</v>
      </c>
      <c r="G46" s="3539">
        <v>2010</v>
      </c>
      <c r="H46" s="2922">
        <v>4</v>
      </c>
      <c r="I46" s="2922">
        <v>5.72</v>
      </c>
      <c r="J46" s="2922">
        <v>6.57</v>
      </c>
      <c r="K46" s="2922">
        <v>5.72</v>
      </c>
      <c r="L46" s="2923">
        <v>2.72</v>
      </c>
      <c r="N46" s="2901">
        <f t="shared" si="147"/>
        <v>5.7200000000000001E-2</v>
      </c>
      <c r="O46" s="2887">
        <f t="shared" si="147"/>
        <v>6.5700000000000008E-2</v>
      </c>
      <c r="P46" s="2887">
        <f t="shared" si="147"/>
        <v>5.7200000000000001E-2</v>
      </c>
      <c r="Q46" s="2887">
        <f t="shared" si="147"/>
        <v>2.7200000000000002E-2</v>
      </c>
      <c r="R46" s="2902"/>
      <c r="S46" s="2911"/>
      <c r="T46" s="2912"/>
      <c r="U46" s="2912"/>
      <c r="V46" s="2912"/>
      <c r="X46" s="2912"/>
      <c r="Y46" s="2912"/>
      <c r="Z46" s="2912"/>
    </row>
    <row r="47" spans="1:34">
      <c r="A47" s="2898" t="s">
        <v>2577</v>
      </c>
      <c r="B47" s="2899">
        <f t="shared" ref="B47:C49" si="158">B46/(1+N46)</f>
        <v>254.44570563753314</v>
      </c>
      <c r="C47" s="2899">
        <f t="shared" si="158"/>
        <v>207.37543398705074</v>
      </c>
      <c r="D47" s="2899">
        <f t="shared" si="145"/>
        <v>207.37543398705074</v>
      </c>
      <c r="E47" s="2899">
        <f t="shared" ref="E47:F49" si="159">E46/(1+P46)</f>
        <v>352.81876655315932</v>
      </c>
      <c r="F47" s="2899">
        <f t="shared" si="159"/>
        <v>190.809968847352</v>
      </c>
      <c r="G47" s="3540">
        <v>2010</v>
      </c>
      <c r="H47" s="2925">
        <v>3</v>
      </c>
      <c r="I47" s="2925">
        <v>4.7300000000000004</v>
      </c>
      <c r="J47" s="2925">
        <v>3.9</v>
      </c>
      <c r="K47" s="2925">
        <v>5.03</v>
      </c>
      <c r="L47" s="2926">
        <v>4.21</v>
      </c>
      <c r="N47" s="2901">
        <f t="shared" si="147"/>
        <v>4.7300000000000002E-2</v>
      </c>
      <c r="O47" s="2887">
        <f t="shared" si="147"/>
        <v>3.9E-2</v>
      </c>
      <c r="P47" s="2887">
        <f t="shared" si="147"/>
        <v>5.0300000000000004E-2</v>
      </c>
      <c r="Q47" s="2887">
        <f t="shared" si="147"/>
        <v>4.2099999999999999E-2</v>
      </c>
      <c r="R47" s="2902"/>
      <c r="S47" s="2901"/>
      <c r="T47" s="2887"/>
      <c r="U47" s="2887"/>
      <c r="V47" s="2887"/>
    </row>
    <row r="48" spans="1:34">
      <c r="A48" s="2898" t="s">
        <v>2578</v>
      </c>
      <c r="B48" s="2899">
        <f t="shared" si="158"/>
        <v>242.95398227588385</v>
      </c>
      <c r="C48" s="2899">
        <f t="shared" si="158"/>
        <v>199.59137053614126</v>
      </c>
      <c r="D48" s="2899">
        <f t="shared" si="145"/>
        <v>199.59137053614126</v>
      </c>
      <c r="E48" s="2899">
        <f t="shared" si="159"/>
        <v>335.92189522342125</v>
      </c>
      <c r="F48" s="2899">
        <f t="shared" si="159"/>
        <v>183.10139991109489</v>
      </c>
      <c r="G48" s="3540">
        <v>2010</v>
      </c>
      <c r="H48" s="2913">
        <v>2</v>
      </c>
      <c r="I48" s="2913">
        <v>4.6900000000000004</v>
      </c>
      <c r="J48" s="2913">
        <v>3.55</v>
      </c>
      <c r="K48" s="2913">
        <v>5.07</v>
      </c>
      <c r="L48" s="2914">
        <v>4.2300000000000004</v>
      </c>
      <c r="N48" s="2901">
        <f t="shared" si="147"/>
        <v>4.6900000000000004E-2</v>
      </c>
      <c r="O48" s="2887">
        <f t="shared" si="147"/>
        <v>3.5499999999999997E-2</v>
      </c>
      <c r="P48" s="2887">
        <f t="shared" si="147"/>
        <v>5.0700000000000002E-2</v>
      </c>
      <c r="Q48" s="2887">
        <f t="shared" si="147"/>
        <v>4.2300000000000004E-2</v>
      </c>
      <c r="R48" s="2902"/>
      <c r="S48" s="2901"/>
      <c r="T48" s="2887"/>
      <c r="U48" s="2887"/>
      <c r="V48" s="2887"/>
    </row>
    <row r="49" spans="1:26" ht="13.5" thickBot="1">
      <c r="A49" s="2898" t="s">
        <v>2579</v>
      </c>
      <c r="B49" s="2899">
        <f t="shared" si="158"/>
        <v>232.06990378821649</v>
      </c>
      <c r="C49" s="2899">
        <f t="shared" si="158"/>
        <v>192.74878854286936</v>
      </c>
      <c r="D49" s="2899">
        <f t="shared" si="145"/>
        <v>192.74878854286936</v>
      </c>
      <c r="E49" s="2899">
        <f t="shared" si="159"/>
        <v>319.71247284992984</v>
      </c>
      <c r="F49" s="2899">
        <f t="shared" si="159"/>
        <v>175.67053622862409</v>
      </c>
      <c r="G49" s="3541">
        <v>2010</v>
      </c>
      <c r="H49" s="2900">
        <v>1</v>
      </c>
      <c r="I49" s="2900">
        <v>5.4</v>
      </c>
      <c r="J49" s="2900">
        <v>3.2</v>
      </c>
      <c r="K49" s="2900">
        <v>6.16</v>
      </c>
      <c r="L49" s="2906">
        <v>4.51</v>
      </c>
      <c r="N49" s="2901">
        <f t="shared" si="147"/>
        <v>5.4000000000000006E-2</v>
      </c>
      <c r="O49" s="2887">
        <f t="shared" si="147"/>
        <v>3.2000000000000001E-2</v>
      </c>
      <c r="P49" s="2887">
        <f t="shared" si="147"/>
        <v>6.1600000000000002E-2</v>
      </c>
      <c r="Q49" s="2887">
        <f t="shared" si="147"/>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2580</v>
      </c>
      <c r="B50" s="2920">
        <v>220</v>
      </c>
      <c r="C50" s="2920">
        <v>187</v>
      </c>
      <c r="D50" s="2920">
        <f t="shared" si="145"/>
        <v>187</v>
      </c>
      <c r="E50" s="2920">
        <v>301</v>
      </c>
      <c r="F50" s="2921">
        <v>168</v>
      </c>
      <c r="G50" s="3539">
        <v>2009</v>
      </c>
      <c r="H50" s="2922">
        <v>4</v>
      </c>
      <c r="I50" s="2922">
        <v>2.2999999999999998</v>
      </c>
      <c r="J50" s="2922">
        <v>1.04</v>
      </c>
      <c r="K50" s="2922">
        <v>2.84</v>
      </c>
      <c r="L50" s="2923">
        <v>0.67</v>
      </c>
      <c r="N50" s="2917">
        <f t="shared" si="147"/>
        <v>2.3E-2</v>
      </c>
      <c r="O50" s="2918">
        <f t="shared" si="147"/>
        <v>1.04E-2</v>
      </c>
      <c r="P50" s="2918">
        <f t="shared" si="147"/>
        <v>2.8399999999999998E-2</v>
      </c>
      <c r="Q50" s="2918">
        <f t="shared" si="147"/>
        <v>6.7000000000000002E-3</v>
      </c>
      <c r="R50" s="2902"/>
      <c r="S50" s="2911"/>
      <c r="T50" s="2912"/>
      <c r="U50" s="2912"/>
      <c r="V50" s="2912"/>
      <c r="X50" s="2912"/>
      <c r="Y50" s="2912"/>
      <c r="Z50" s="2912"/>
    </row>
    <row r="51" spans="1:26">
      <c r="A51" s="2898" t="s">
        <v>2581</v>
      </c>
      <c r="B51" s="2899">
        <f t="shared" ref="B51:C53" si="160">B50/(1+N50)</f>
        <v>215.05376344086022</v>
      </c>
      <c r="C51" s="2899">
        <f t="shared" si="160"/>
        <v>185.0752177355503</v>
      </c>
      <c r="D51" s="2899">
        <f t="shared" si="145"/>
        <v>185.0752177355503</v>
      </c>
      <c r="E51" s="2899">
        <f t="shared" ref="E51:F53" si="161">E50/(1+P50)</f>
        <v>292.68767016725008</v>
      </c>
      <c r="F51" s="2899">
        <f t="shared" si="161"/>
        <v>166.88189132810174</v>
      </c>
      <c r="G51" s="3540">
        <v>2009</v>
      </c>
      <c r="H51" s="2925">
        <v>3</v>
      </c>
      <c r="I51" s="2925">
        <v>2.1</v>
      </c>
      <c r="J51" s="2925">
        <v>1.86</v>
      </c>
      <c r="K51" s="2925">
        <v>2.29</v>
      </c>
      <c r="L51" s="2926">
        <v>0.85</v>
      </c>
      <c r="N51" s="2901">
        <f t="shared" si="147"/>
        <v>2.1000000000000001E-2</v>
      </c>
      <c r="O51" s="2919">
        <f t="shared" si="147"/>
        <v>1.8600000000000002E-2</v>
      </c>
      <c r="P51" s="2919">
        <f t="shared" si="147"/>
        <v>2.29E-2</v>
      </c>
      <c r="Q51" s="2919">
        <f t="shared" si="147"/>
        <v>8.5000000000000006E-3</v>
      </c>
      <c r="R51" s="2902"/>
      <c r="S51" s="2901"/>
      <c r="T51" s="2887"/>
      <c r="U51" s="2887"/>
      <c r="V51" s="2887"/>
    </row>
    <row r="52" spans="1:26">
      <c r="A52" s="2898" t="s">
        <v>2582</v>
      </c>
      <c r="B52" s="2899">
        <f t="shared" si="160"/>
        <v>210.630522469011</v>
      </c>
      <c r="C52" s="2899">
        <f t="shared" si="160"/>
        <v>181.69567812247232</v>
      </c>
      <c r="D52" s="2899">
        <f t="shared" si="145"/>
        <v>181.69567812247232</v>
      </c>
      <c r="E52" s="2899">
        <f t="shared" si="161"/>
        <v>286.13517466736738</v>
      </c>
      <c r="F52" s="2899">
        <f t="shared" si="161"/>
        <v>165.47535084591149</v>
      </c>
      <c r="G52" s="3540">
        <v>2009</v>
      </c>
      <c r="H52" s="2913">
        <v>2</v>
      </c>
      <c r="I52" s="2913">
        <v>0.86</v>
      </c>
      <c r="J52" s="2913">
        <v>-1.1299999999999999</v>
      </c>
      <c r="K52" s="2913">
        <v>1.79</v>
      </c>
      <c r="L52" s="2914">
        <v>-2.0699999999999998</v>
      </c>
      <c r="N52" s="2901">
        <f t="shared" si="147"/>
        <v>8.6E-3</v>
      </c>
      <c r="O52" s="2919">
        <f t="shared" si="147"/>
        <v>-1.1299999999999999E-2</v>
      </c>
      <c r="P52" s="2919">
        <f t="shared" si="147"/>
        <v>1.7899999999999999E-2</v>
      </c>
      <c r="Q52" s="2919">
        <f t="shared" si="147"/>
        <v>-2.07E-2</v>
      </c>
      <c r="R52" s="2902"/>
      <c r="S52" s="2901"/>
      <c r="T52" s="2887"/>
      <c r="U52" s="2887"/>
      <c r="V52" s="2887"/>
    </row>
    <row r="53" spans="1:26">
      <c r="A53" s="2898" t="s">
        <v>2583</v>
      </c>
      <c r="B53" s="2899">
        <f t="shared" si="160"/>
        <v>208.83454537875372</v>
      </c>
      <c r="C53" s="2899">
        <f t="shared" si="160"/>
        <v>183.77230517090351</v>
      </c>
      <c r="D53" s="2899">
        <f t="shared" si="145"/>
        <v>183.77230517090351</v>
      </c>
      <c r="E53" s="2899">
        <f t="shared" si="161"/>
        <v>281.10342338870947</v>
      </c>
      <c r="F53" s="2899">
        <f t="shared" si="161"/>
        <v>168.97309388942256</v>
      </c>
      <c r="G53" s="3541">
        <v>2009</v>
      </c>
      <c r="H53" s="2900">
        <v>1</v>
      </c>
      <c r="I53" s="2900">
        <v>-2.64</v>
      </c>
      <c r="J53" s="2900">
        <v>-2.5299999999999998</v>
      </c>
      <c r="K53" s="2900">
        <v>-3.02</v>
      </c>
      <c r="L53" s="2906">
        <v>1.52</v>
      </c>
      <c r="N53" s="2903">
        <f t="shared" si="147"/>
        <v>-2.64E-2</v>
      </c>
      <c r="O53" s="2904">
        <f t="shared" si="147"/>
        <v>-2.53E-2</v>
      </c>
      <c r="P53" s="2904">
        <f t="shared" si="147"/>
        <v>-3.0200000000000001E-2</v>
      </c>
      <c r="Q53" s="2904">
        <f t="shared" si="147"/>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2584</v>
      </c>
      <c r="B54" s="2948">
        <v>214</v>
      </c>
      <c r="C54" s="2948">
        <v>188</v>
      </c>
      <c r="D54" s="2948">
        <f t="shared" si="145"/>
        <v>188</v>
      </c>
      <c r="E54" s="2948">
        <v>289</v>
      </c>
      <c r="F54" s="2949">
        <v>166</v>
      </c>
      <c r="G54" s="3539">
        <v>2008</v>
      </c>
      <c r="H54" s="2922">
        <v>4</v>
      </c>
      <c r="I54" s="2922">
        <v>1.73</v>
      </c>
      <c r="J54" s="2922">
        <v>0.03</v>
      </c>
      <c r="K54" s="2922">
        <v>2.59</v>
      </c>
      <c r="L54" s="2923">
        <v>-1.66</v>
      </c>
      <c r="N54" s="2901">
        <f t="shared" si="147"/>
        <v>1.7299999999999999E-2</v>
      </c>
      <c r="O54" s="2887">
        <f t="shared" si="147"/>
        <v>2.9999999999999997E-4</v>
      </c>
      <c r="P54" s="2887">
        <f t="shared" si="147"/>
        <v>2.5899999999999999E-2</v>
      </c>
      <c r="Q54" s="2887">
        <f t="shared" si="147"/>
        <v>-1.66E-2</v>
      </c>
      <c r="R54" s="2902"/>
      <c r="S54" s="2911"/>
      <c r="T54" s="2912"/>
      <c r="U54" s="2912"/>
      <c r="V54" s="2912"/>
      <c r="X54" s="2912"/>
      <c r="Y54" s="2912"/>
      <c r="Z54" s="2912"/>
    </row>
    <row r="55" spans="1:26">
      <c r="A55" s="2898" t="s">
        <v>2585</v>
      </c>
      <c r="B55" s="2899">
        <f t="shared" ref="B55:C57" si="162">B54/(1+N54)</f>
        <v>210.36075887152265</v>
      </c>
      <c r="C55" s="2899">
        <f t="shared" si="162"/>
        <v>187.94361691492554</v>
      </c>
      <c r="D55" s="2899">
        <f t="shared" si="145"/>
        <v>187.94361691492554</v>
      </c>
      <c r="E55" s="2899">
        <f t="shared" ref="E55:F57" si="163">E54/(1+P54)</f>
        <v>281.70386977288234</v>
      </c>
      <c r="F55" s="2899">
        <f t="shared" si="163"/>
        <v>168.80211511083994</v>
      </c>
      <c r="G55" s="3540">
        <v>2008</v>
      </c>
      <c r="H55" s="2925">
        <v>3</v>
      </c>
      <c r="I55" s="2925">
        <v>1.96</v>
      </c>
      <c r="J55" s="2925">
        <v>2.36</v>
      </c>
      <c r="K55" s="2925">
        <v>1.82</v>
      </c>
      <c r="L55" s="2926">
        <v>2.2200000000000002</v>
      </c>
      <c r="N55" s="2901">
        <f t="shared" si="147"/>
        <v>1.9599999999999999E-2</v>
      </c>
      <c r="O55" s="2887">
        <f t="shared" si="147"/>
        <v>2.3599999999999999E-2</v>
      </c>
      <c r="P55" s="2887">
        <f t="shared" si="147"/>
        <v>1.8200000000000001E-2</v>
      </c>
      <c r="Q55" s="2887">
        <f t="shared" si="147"/>
        <v>2.2200000000000001E-2</v>
      </c>
      <c r="R55" s="2902"/>
      <c r="S55" s="2901"/>
      <c r="T55" s="2887"/>
      <c r="U55" s="2887"/>
      <c r="V55" s="2887"/>
    </row>
    <row r="56" spans="1:26">
      <c r="A56" s="2898" t="s">
        <v>2586</v>
      </c>
      <c r="B56" s="2899">
        <f t="shared" si="162"/>
        <v>206.31694671589116</v>
      </c>
      <c r="C56" s="2899">
        <f t="shared" si="162"/>
        <v>183.61041121036101</v>
      </c>
      <c r="D56" s="2899">
        <f t="shared" si="145"/>
        <v>183.61041121036101</v>
      </c>
      <c r="E56" s="2899">
        <f t="shared" si="163"/>
        <v>276.66850301795557</v>
      </c>
      <c r="F56" s="2899">
        <f t="shared" si="163"/>
        <v>165.1360938278614</v>
      </c>
      <c r="G56" s="3540">
        <v>2008</v>
      </c>
      <c r="H56" s="2913">
        <v>2</v>
      </c>
      <c r="I56" s="2913">
        <v>4.93</v>
      </c>
      <c r="J56" s="2913">
        <v>7.38</v>
      </c>
      <c r="K56" s="2913">
        <v>3.98</v>
      </c>
      <c r="L56" s="2914">
        <v>6.86</v>
      </c>
      <c r="N56" s="2901">
        <f t="shared" si="147"/>
        <v>4.9299999999999997E-2</v>
      </c>
      <c r="O56" s="2887">
        <f t="shared" si="147"/>
        <v>7.3800000000000004E-2</v>
      </c>
      <c r="P56" s="2887">
        <f t="shared" si="147"/>
        <v>3.9800000000000002E-2</v>
      </c>
      <c r="Q56" s="2887">
        <f t="shared" si="147"/>
        <v>6.8600000000000008E-2</v>
      </c>
      <c r="R56" s="2902"/>
      <c r="S56" s="2901"/>
      <c r="T56" s="2887"/>
      <c r="U56" s="2887"/>
      <c r="V56" s="2887"/>
    </row>
    <row r="57" spans="1:26" s="2954" customFormat="1" ht="13.5" thickBot="1">
      <c r="A57" s="2898" t="s">
        <v>2587</v>
      </c>
      <c r="B57" s="2951">
        <f t="shared" si="162"/>
        <v>196.62341248059772</v>
      </c>
      <c r="C57" s="2951">
        <f t="shared" si="162"/>
        <v>170.99125648199012</v>
      </c>
      <c r="D57" s="2951">
        <f t="shared" si="145"/>
        <v>170.99125648199012</v>
      </c>
      <c r="E57" s="2951">
        <f t="shared" si="163"/>
        <v>266.07857570490052</v>
      </c>
      <c r="F57" s="2951">
        <f t="shared" si="163"/>
        <v>154.53499328828505</v>
      </c>
      <c r="G57" s="3541">
        <v>2008</v>
      </c>
      <c r="H57" s="2952">
        <v>1</v>
      </c>
      <c r="I57" s="2952">
        <v>4.1399999999999997</v>
      </c>
      <c r="J57" s="2952">
        <v>3.45</v>
      </c>
      <c r="K57" s="2952">
        <v>4.95</v>
      </c>
      <c r="L57" s="2953">
        <v>4.82</v>
      </c>
      <c r="N57" s="2955">
        <f t="shared" si="147"/>
        <v>4.1399999999999999E-2</v>
      </c>
      <c r="O57" s="2956">
        <f t="shared" si="147"/>
        <v>3.4500000000000003E-2</v>
      </c>
      <c r="P57" s="2956">
        <f t="shared" si="147"/>
        <v>4.9500000000000002E-2</v>
      </c>
      <c r="Q57" s="2956">
        <f t="shared" si="147"/>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2588</v>
      </c>
      <c r="B58" s="2920">
        <v>188</v>
      </c>
      <c r="C58" s="2920">
        <v>165</v>
      </c>
      <c r="D58" s="2920">
        <f t="shared" si="145"/>
        <v>165</v>
      </c>
      <c r="E58" s="2920">
        <v>254</v>
      </c>
      <c r="F58" s="2921">
        <v>148</v>
      </c>
      <c r="G58" s="3539">
        <v>2007</v>
      </c>
      <c r="H58" s="2958">
        <v>4</v>
      </c>
      <c r="I58" s="2958">
        <v>5.51</v>
      </c>
      <c r="J58" s="2958">
        <v>4.8899999999999997</v>
      </c>
      <c r="K58" s="2958">
        <v>6.43</v>
      </c>
      <c r="L58" s="2959">
        <v>5.36</v>
      </c>
      <c r="N58" s="2960">
        <f t="shared" ref="N58:O61" si="164">B58/B59-1</f>
        <v>4.1339718365245526E-2</v>
      </c>
      <c r="O58" s="2961">
        <f t="shared" si="164"/>
        <v>4.0324492593776018E-2</v>
      </c>
      <c r="P58" s="2961">
        <f t="shared" ref="P58:Q61" si="165">E58/E59-1</f>
        <v>6.1625555347990968E-2</v>
      </c>
      <c r="Q58" s="2961">
        <f t="shared" si="165"/>
        <v>4.6757569250590603E-2</v>
      </c>
      <c r="R58" s="2902"/>
      <c r="S58" s="2911"/>
      <c r="T58" s="2912"/>
      <c r="U58" s="2912"/>
      <c r="V58" s="2912"/>
      <c r="X58" s="2912"/>
      <c r="Y58" s="2912"/>
      <c r="Z58" s="2912"/>
    </row>
    <row r="59" spans="1:26">
      <c r="A59" s="2898" t="s">
        <v>2589</v>
      </c>
      <c r="B59" s="2899">
        <f t="shared" ref="B59:C61" si="166">B60+(B$58-B$62)*I59/SUM(I$58:I$61)</f>
        <v>180.5366651097618</v>
      </c>
      <c r="C59" s="2899">
        <f t="shared" si="166"/>
        <v>158.60435967302453</v>
      </c>
      <c r="D59" s="2899">
        <f t="shared" si="145"/>
        <v>158.60435967302453</v>
      </c>
      <c r="E59" s="2899">
        <f t="shared" ref="E59:F61" si="167">E60+(E$58-E$62)*K59/SUM(K$58:K$61)</f>
        <v>239.25573260785075</v>
      </c>
      <c r="F59" s="2899">
        <f t="shared" si="167"/>
        <v>141.38899430740037</v>
      </c>
      <c r="G59" s="3540">
        <v>2007</v>
      </c>
      <c r="H59" s="2925">
        <v>3</v>
      </c>
      <c r="I59" s="2925">
        <v>8.65</v>
      </c>
      <c r="J59" s="2925">
        <v>8.06</v>
      </c>
      <c r="K59" s="2925">
        <v>9.94</v>
      </c>
      <c r="L59" s="2926">
        <v>5.8</v>
      </c>
      <c r="N59" s="2960">
        <f t="shared" si="164"/>
        <v>6.940217571740015E-2</v>
      </c>
      <c r="O59" s="2961">
        <f t="shared" si="164"/>
        <v>7.1197482471153428E-2</v>
      </c>
      <c r="P59" s="2961">
        <f t="shared" si="165"/>
        <v>0.10529679922579582</v>
      </c>
      <c r="Q59" s="2961">
        <f t="shared" si="165"/>
        <v>5.3292245059512133E-2</v>
      </c>
      <c r="R59" s="2902"/>
      <c r="S59" s="2901"/>
      <c r="T59" s="2887"/>
      <c r="U59" s="2887"/>
      <c r="V59" s="2887"/>
      <c r="X59" s="2962"/>
      <c r="Y59" s="2962"/>
      <c r="Z59" s="2962"/>
    </row>
    <row r="60" spans="1:26">
      <c r="A60" s="2898" t="s">
        <v>2590</v>
      </c>
      <c r="B60" s="2899">
        <f t="shared" si="166"/>
        <v>168.82017748715555</v>
      </c>
      <c r="C60" s="2899">
        <f t="shared" si="166"/>
        <v>148.06267029972753</v>
      </c>
      <c r="D60" s="2899">
        <f t="shared" si="145"/>
        <v>148.06267029972753</v>
      </c>
      <c r="E60" s="2899">
        <f t="shared" si="167"/>
        <v>216.46288379323747</v>
      </c>
      <c r="F60" s="2899">
        <f t="shared" si="167"/>
        <v>134.23529411764704</v>
      </c>
      <c r="G60" s="3540">
        <v>2007</v>
      </c>
      <c r="H60" s="2913">
        <v>2</v>
      </c>
      <c r="I60" s="2913">
        <v>3.67</v>
      </c>
      <c r="J60" s="2913">
        <v>2.3199999999999998</v>
      </c>
      <c r="K60" s="2913">
        <v>5.0199999999999996</v>
      </c>
      <c r="L60" s="2914">
        <v>6.71</v>
      </c>
      <c r="N60" s="2960">
        <f t="shared" si="164"/>
        <v>3.0339138143848032E-2</v>
      </c>
      <c r="O60" s="2961">
        <f t="shared" si="164"/>
        <v>2.0922341588790472E-2</v>
      </c>
      <c r="P60" s="2961">
        <f t="shared" si="165"/>
        <v>5.6164796592717003E-2</v>
      </c>
      <c r="Q60" s="2961">
        <f t="shared" si="165"/>
        <v>6.5704536723887319E-2</v>
      </c>
      <c r="R60" s="2902"/>
      <c r="S60" s="2901"/>
      <c r="T60" s="2887"/>
      <c r="U60" s="2887"/>
      <c r="V60" s="2887"/>
      <c r="X60" s="2962"/>
      <c r="Y60" s="2962"/>
      <c r="Z60" s="2962"/>
    </row>
    <row r="61" spans="1:26">
      <c r="A61" s="2898" t="s">
        <v>2591</v>
      </c>
      <c r="B61" s="2899">
        <f t="shared" si="166"/>
        <v>163.84913591779542</v>
      </c>
      <c r="C61" s="2899">
        <f t="shared" si="166"/>
        <v>145.0283378746594</v>
      </c>
      <c r="D61" s="2899">
        <f t="shared" si="145"/>
        <v>145.0283378746594</v>
      </c>
      <c r="E61" s="2899">
        <f t="shared" si="167"/>
        <v>204.95180722891567</v>
      </c>
      <c r="F61" s="2899">
        <f t="shared" si="167"/>
        <v>125.95920303605313</v>
      </c>
      <c r="G61" s="3541">
        <v>2007</v>
      </c>
      <c r="H61" s="2900">
        <v>1</v>
      </c>
      <c r="I61" s="2900">
        <v>3.58</v>
      </c>
      <c r="J61" s="2900">
        <v>3.08</v>
      </c>
      <c r="K61" s="2900">
        <v>4.34</v>
      </c>
      <c r="L61" s="2906">
        <v>3.21</v>
      </c>
      <c r="N61" s="2963">
        <f t="shared" si="164"/>
        <v>3.0497710174814063E-2</v>
      </c>
      <c r="O61" s="2964">
        <f t="shared" si="164"/>
        <v>2.8569772160704998E-2</v>
      </c>
      <c r="P61" s="2964">
        <f t="shared" si="165"/>
        <v>5.1034908866234296E-2</v>
      </c>
      <c r="Q61" s="2964">
        <f t="shared" si="165"/>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2592</v>
      </c>
      <c r="B62" s="2927">
        <v>159</v>
      </c>
      <c r="C62" s="2927">
        <v>141</v>
      </c>
      <c r="D62" s="2927">
        <f t="shared" si="145"/>
        <v>141</v>
      </c>
      <c r="E62" s="2927">
        <v>195</v>
      </c>
      <c r="F62" s="2928">
        <v>122</v>
      </c>
      <c r="G62" s="3539">
        <v>2006</v>
      </c>
      <c r="H62" s="2922">
        <v>4</v>
      </c>
      <c r="I62" s="2922">
        <v>3.79</v>
      </c>
      <c r="J62" s="2922">
        <v>2.21</v>
      </c>
      <c r="K62" s="2922">
        <v>5.65</v>
      </c>
      <c r="L62" s="2923">
        <v>5.41</v>
      </c>
      <c r="N62" s="2960">
        <f t="shared" ref="N62:O65" si="168">I62/SUM(I$62:I$65)*(B$62/B$66-1)</f>
        <v>7.245466462748526E-2</v>
      </c>
      <c r="O62" s="2961">
        <f t="shared" si="168"/>
        <v>2.3237230038062766E-2</v>
      </c>
      <c r="P62" s="2961">
        <f t="shared" ref="P62:Q65" si="169">K62/SUM(K$62:K$65)*(E$62/E$66-1)</f>
        <v>0.16146893866323722</v>
      </c>
      <c r="Q62" s="2961">
        <f t="shared" si="169"/>
        <v>5.0755230321793784E-2</v>
      </c>
      <c r="R62" s="2902"/>
      <c r="S62" s="2911"/>
      <c r="T62" s="2912"/>
      <c r="U62" s="2912"/>
      <c r="V62" s="2912"/>
      <c r="X62" s="2962"/>
      <c r="Y62" s="2962"/>
      <c r="Z62" s="2962"/>
    </row>
    <row r="63" spans="1:26">
      <c r="A63" s="2898" t="s">
        <v>2593</v>
      </c>
      <c r="B63" s="2899">
        <f t="shared" ref="B63:C65" si="170">B64+(B$62-B$66)*I63/SUM(I$62:I$65)</f>
        <v>149.00125628140702</v>
      </c>
      <c r="C63" s="2899">
        <f t="shared" si="170"/>
        <v>137.95592286501378</v>
      </c>
      <c r="D63" s="2899">
        <f t="shared" si="145"/>
        <v>137.95592286501378</v>
      </c>
      <c r="E63" s="2899">
        <f t="shared" ref="E63:F65" si="171">E64+(E$62-E$66)*K63/SUM(K$62:K$65)</f>
        <v>169.97231450719823</v>
      </c>
      <c r="F63" s="2899">
        <f t="shared" si="171"/>
        <v>116.21390374331551</v>
      </c>
      <c r="G63" s="3540">
        <v>2006</v>
      </c>
      <c r="H63" s="2925">
        <v>3</v>
      </c>
      <c r="I63" s="2925">
        <v>0.92</v>
      </c>
      <c r="J63" s="2925">
        <v>1.08</v>
      </c>
      <c r="K63" s="2925">
        <v>0.73</v>
      </c>
      <c r="L63" s="2926">
        <v>1.08</v>
      </c>
      <c r="N63" s="2960">
        <f t="shared" si="168"/>
        <v>1.7587939698492462E-2</v>
      </c>
      <c r="O63" s="2961">
        <f t="shared" si="168"/>
        <v>1.1355750425840628E-2</v>
      </c>
      <c r="P63" s="2961">
        <f t="shared" si="169"/>
        <v>2.0862358446754544E-2</v>
      </c>
      <c r="Q63" s="2961">
        <f t="shared" si="169"/>
        <v>1.0132282578103011E-2</v>
      </c>
      <c r="R63" s="2902"/>
      <c r="S63" s="2901"/>
      <c r="T63" s="2887"/>
      <c r="U63" s="2887"/>
      <c r="V63" s="2887"/>
      <c r="X63" s="2962"/>
      <c r="Y63" s="2962"/>
      <c r="Z63" s="2962"/>
    </row>
    <row r="64" spans="1:26">
      <c r="A64" s="2898" t="s">
        <v>2594</v>
      </c>
      <c r="B64" s="2899">
        <f t="shared" si="170"/>
        <v>146.57412060301507</v>
      </c>
      <c r="C64" s="2899">
        <f t="shared" si="170"/>
        <v>136.46831955922866</v>
      </c>
      <c r="D64" s="2899">
        <f t="shared" si="145"/>
        <v>136.46831955922866</v>
      </c>
      <c r="E64" s="2899">
        <f t="shared" si="171"/>
        <v>166.73864894795128</v>
      </c>
      <c r="F64" s="2899">
        <f t="shared" si="171"/>
        <v>115.05882352941177</v>
      </c>
      <c r="G64" s="3540">
        <v>2006</v>
      </c>
      <c r="H64" s="2913">
        <v>2</v>
      </c>
      <c r="I64" s="2913">
        <v>0.96</v>
      </c>
      <c r="J64" s="2913">
        <v>0.25</v>
      </c>
      <c r="K64" s="2913">
        <v>1.9</v>
      </c>
      <c r="L64" s="2914">
        <v>0.95</v>
      </c>
      <c r="N64" s="2960">
        <f t="shared" si="168"/>
        <v>1.8352632728861701E-2</v>
      </c>
      <c r="O64" s="2961">
        <f t="shared" si="168"/>
        <v>2.6286459319075526E-3</v>
      </c>
      <c r="P64" s="2961">
        <f t="shared" si="169"/>
        <v>5.4299289107991269E-2</v>
      </c>
      <c r="Q64" s="2961">
        <f t="shared" si="169"/>
        <v>8.9126559714794995E-3</v>
      </c>
      <c r="R64" s="2902"/>
      <c r="S64" s="2901"/>
      <c r="T64" s="2887"/>
      <c r="U64" s="2887"/>
      <c r="V64" s="2887"/>
      <c r="X64" s="2962"/>
      <c r="Y64" s="2962"/>
      <c r="Z64" s="2962"/>
    </row>
    <row r="65" spans="1:26">
      <c r="A65" s="2898" t="s">
        <v>2595</v>
      </c>
      <c r="B65" s="2899">
        <f t="shared" si="170"/>
        <v>144.04145728643215</v>
      </c>
      <c r="C65" s="2899">
        <f t="shared" si="170"/>
        <v>136.12396694214877</v>
      </c>
      <c r="D65" s="2899">
        <f t="shared" si="145"/>
        <v>136.12396694214877</v>
      </c>
      <c r="E65" s="2899">
        <f t="shared" si="171"/>
        <v>158.32225913621264</v>
      </c>
      <c r="F65" s="2899">
        <f t="shared" si="171"/>
        <v>114.04278074866311</v>
      </c>
      <c r="G65" s="3541">
        <v>2006</v>
      </c>
      <c r="H65" s="2900">
        <v>1</v>
      </c>
      <c r="I65" s="2900">
        <v>2.29</v>
      </c>
      <c r="J65" s="2900">
        <v>3.72</v>
      </c>
      <c r="K65" s="2900">
        <v>0.75</v>
      </c>
      <c r="L65" s="2906">
        <v>0.04</v>
      </c>
      <c r="N65" s="2963">
        <f t="shared" si="168"/>
        <v>4.3778675988638847E-2</v>
      </c>
      <c r="O65" s="2964">
        <f t="shared" si="168"/>
        <v>3.9114251466784385E-2</v>
      </c>
      <c r="P65" s="2964">
        <f t="shared" si="169"/>
        <v>2.1433929911049188E-2</v>
      </c>
      <c r="Q65" s="2964">
        <f t="shared" si="169"/>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2596</v>
      </c>
      <c r="B66" s="2927">
        <v>138</v>
      </c>
      <c r="C66" s="2927">
        <v>131</v>
      </c>
      <c r="D66" s="2927">
        <f t="shared" si="145"/>
        <v>131</v>
      </c>
      <c r="E66" s="2927">
        <v>155</v>
      </c>
      <c r="F66" s="2928">
        <v>114</v>
      </c>
      <c r="G66" s="3539">
        <v>2005</v>
      </c>
      <c r="H66" s="2922">
        <v>4</v>
      </c>
      <c r="I66" s="2922">
        <v>3.29</v>
      </c>
      <c r="J66" s="2922">
        <v>1.44</v>
      </c>
      <c r="K66" s="2922">
        <v>0.66</v>
      </c>
      <c r="L66" s="2923">
        <v>7.78</v>
      </c>
      <c r="N66" s="2960">
        <f t="shared" ref="N66:O69" si="172">I66/SUM(I$66:I$69)*(B$66/B$70-1)</f>
        <v>9.9404603216919935E-2</v>
      </c>
      <c r="O66" s="2961">
        <f t="shared" si="172"/>
        <v>4.7636550760861554E-2</v>
      </c>
      <c r="P66" s="2961">
        <f t="shared" ref="P66:Q69" si="173">K66/SUM(K$66:K$69)*(E$66/E$70-1)</f>
        <v>8.3756345177664976E-2</v>
      </c>
      <c r="Q66" s="2961">
        <f t="shared" si="173"/>
        <v>5.2148766661559584E-2</v>
      </c>
      <c r="R66" s="2902"/>
      <c r="S66" s="2911"/>
      <c r="T66" s="2912"/>
      <c r="U66" s="2912"/>
      <c r="V66" s="2912"/>
      <c r="X66" s="2962"/>
      <c r="Y66" s="2962"/>
      <c r="Z66" s="2962"/>
    </row>
    <row r="67" spans="1:26">
      <c r="A67" s="2898" t="s">
        <v>2597</v>
      </c>
      <c r="B67" s="2899">
        <f t="shared" ref="B67:C69" si="174">B68+(B$66-B$70)*I67/SUM(I$66:I$69)</f>
        <v>125.9720430107527</v>
      </c>
      <c r="C67" s="2899">
        <f t="shared" si="174"/>
        <v>125.1883408071749</v>
      </c>
      <c r="D67" s="2899">
        <f t="shared" si="145"/>
        <v>125.1883408071749</v>
      </c>
      <c r="E67" s="2899">
        <f t="shared" ref="E67:F69" si="175">E68+(E$66-E$70)*K67/SUM(K$66:K$69)</f>
        <v>144.61421319796952</v>
      </c>
      <c r="F67" s="2899">
        <f t="shared" si="175"/>
        <v>108.42008196721311</v>
      </c>
      <c r="G67" s="3540">
        <v>2005</v>
      </c>
      <c r="H67" s="2925">
        <v>3</v>
      </c>
      <c r="I67" s="2925">
        <v>0.46</v>
      </c>
      <c r="J67" s="2925">
        <v>0.32</v>
      </c>
      <c r="K67" s="2925">
        <v>0.42</v>
      </c>
      <c r="L67" s="2926">
        <v>0.64</v>
      </c>
      <c r="N67" s="2960">
        <f t="shared" si="172"/>
        <v>1.3898515951301874E-2</v>
      </c>
      <c r="O67" s="2961">
        <f t="shared" si="172"/>
        <v>1.0585900169080346E-2</v>
      </c>
      <c r="P67" s="2961">
        <f t="shared" si="173"/>
        <v>5.3299492385786795E-2</v>
      </c>
      <c r="Q67" s="2961">
        <f t="shared" si="173"/>
        <v>4.2898728359123568E-3</v>
      </c>
      <c r="R67" s="2902"/>
      <c r="S67" s="2901"/>
      <c r="T67" s="2887"/>
      <c r="U67" s="2887"/>
      <c r="V67" s="2887"/>
      <c r="X67" s="2962"/>
      <c r="Y67" s="2962"/>
      <c r="Z67" s="2962"/>
    </row>
    <row r="68" spans="1:26">
      <c r="A68" s="2898" t="s">
        <v>2598</v>
      </c>
      <c r="B68" s="2899">
        <f t="shared" si="174"/>
        <v>124.29032258064517</v>
      </c>
      <c r="C68" s="2899">
        <f t="shared" si="174"/>
        <v>123.8968609865471</v>
      </c>
      <c r="D68" s="2899">
        <f t="shared" si="145"/>
        <v>123.8968609865471</v>
      </c>
      <c r="E68" s="2899">
        <f t="shared" si="175"/>
        <v>138.00507614213197</v>
      </c>
      <c r="F68" s="2899">
        <f t="shared" si="175"/>
        <v>107.96106557377048</v>
      </c>
      <c r="G68" s="3540">
        <v>2005</v>
      </c>
      <c r="H68" s="2913">
        <v>2</v>
      </c>
      <c r="I68" s="2913">
        <v>0.47</v>
      </c>
      <c r="J68" s="2913">
        <v>0.1</v>
      </c>
      <c r="K68" s="2913">
        <v>0.52</v>
      </c>
      <c r="L68" s="2914">
        <v>0.79</v>
      </c>
      <c r="N68" s="2960">
        <f t="shared" si="172"/>
        <v>1.420065760241713E-2</v>
      </c>
      <c r="O68" s="2961">
        <f t="shared" si="172"/>
        <v>3.3080938028376083E-3</v>
      </c>
      <c r="P68" s="2961">
        <f t="shared" si="173"/>
        <v>6.598984771573603E-2</v>
      </c>
      <c r="Q68" s="2961">
        <f t="shared" si="173"/>
        <v>5.2953117818293153E-3</v>
      </c>
      <c r="R68" s="2902"/>
      <c r="S68" s="2901"/>
      <c r="T68" s="2887"/>
      <c r="U68" s="2887"/>
      <c r="V68" s="2887"/>
      <c r="X68" s="2962"/>
      <c r="Y68" s="2962"/>
      <c r="Z68" s="2962"/>
    </row>
    <row r="69" spans="1:26">
      <c r="A69" s="2898" t="s">
        <v>2599</v>
      </c>
      <c r="B69" s="2899">
        <f t="shared" si="174"/>
        <v>122.57204301075269</v>
      </c>
      <c r="C69" s="2899">
        <f t="shared" si="174"/>
        <v>123.4932735426009</v>
      </c>
      <c r="D69" s="2899">
        <f t="shared" si="145"/>
        <v>123.4932735426009</v>
      </c>
      <c r="E69" s="2899">
        <f t="shared" si="175"/>
        <v>129.82233502538071</v>
      </c>
      <c r="F69" s="2899">
        <f t="shared" si="175"/>
        <v>107.39446721311475</v>
      </c>
      <c r="G69" s="3541">
        <v>2005</v>
      </c>
      <c r="H69" s="2900">
        <v>1</v>
      </c>
      <c r="I69" s="2900">
        <v>0.43</v>
      </c>
      <c r="J69" s="2900">
        <v>0.37</v>
      </c>
      <c r="K69" s="2900">
        <v>0.37</v>
      </c>
      <c r="L69" s="2906">
        <v>0.55000000000000004</v>
      </c>
      <c r="N69" s="2963">
        <f t="shared" si="172"/>
        <v>1.2992090997956099E-2</v>
      </c>
      <c r="O69" s="2964">
        <f t="shared" si="172"/>
        <v>1.2239947070499151E-2</v>
      </c>
      <c r="P69" s="2964">
        <f t="shared" si="173"/>
        <v>4.6954314720812178E-2</v>
      </c>
      <c r="Q69" s="2964">
        <f t="shared" si="173"/>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2600</v>
      </c>
      <c r="B70" s="2948">
        <v>121</v>
      </c>
      <c r="C70" s="2948">
        <v>122</v>
      </c>
      <c r="D70" s="2948">
        <f t="shared" si="145"/>
        <v>122</v>
      </c>
      <c r="E70" s="2948">
        <v>124</v>
      </c>
      <c r="F70" s="2949">
        <v>107</v>
      </c>
      <c r="G70" s="3539">
        <v>2004</v>
      </c>
      <c r="H70" s="2922">
        <v>4</v>
      </c>
      <c r="I70" s="2922">
        <v>0.33</v>
      </c>
      <c r="J70" s="2922">
        <v>0.5</v>
      </c>
      <c r="K70" s="2922">
        <v>0.5</v>
      </c>
      <c r="L70" s="2923">
        <v>0</v>
      </c>
      <c r="N70" s="2960">
        <f t="shared" ref="N70:O73" si="176">I70/SUM(I$70:I$73)*(B$70/B$74-1)</f>
        <v>1.3391770148526898E-2</v>
      </c>
      <c r="O70" s="2961">
        <f t="shared" si="176"/>
        <v>1.063264221158958E-2</v>
      </c>
      <c r="P70" s="2961">
        <f t="shared" ref="P70:Q73" si="177">K70/SUM(K$70:K$73)*(E$70/E$74-1)</f>
        <v>2.2244466688911134E-2</v>
      </c>
      <c r="Q70" s="2961">
        <f t="shared" si="177"/>
        <v>0</v>
      </c>
      <c r="R70" s="2902"/>
      <c r="S70" s="2911"/>
      <c r="T70" s="2912"/>
      <c r="U70" s="2912"/>
      <c r="V70" s="2912"/>
      <c r="X70" s="2962"/>
      <c r="Y70" s="2962"/>
      <c r="Z70" s="2962"/>
    </row>
    <row r="71" spans="1:26">
      <c r="A71" s="2898" t="s">
        <v>2601</v>
      </c>
      <c r="B71" s="2899">
        <f t="shared" ref="B71:C73" si="178">B72+(B$70-B$74)*I71/SUM(I$70:I$73)</f>
        <v>119.51351351351352</v>
      </c>
      <c r="C71" s="2899">
        <f t="shared" si="178"/>
        <v>120.7878787878788</v>
      </c>
      <c r="D71" s="2899">
        <f t="shared" si="145"/>
        <v>120.7878787878788</v>
      </c>
      <c r="E71" s="2899">
        <f t="shared" ref="E71:F73" si="179">E72+(E$70-E$74)*K71/SUM(K$70:K$73)</f>
        <v>121.5975975975976</v>
      </c>
      <c r="F71" s="2899">
        <f t="shared" si="179"/>
        <v>107</v>
      </c>
      <c r="G71" s="3540">
        <v>2004</v>
      </c>
      <c r="H71" s="2925">
        <v>3</v>
      </c>
      <c r="I71" s="2925">
        <v>0.56000000000000005</v>
      </c>
      <c r="J71" s="2925">
        <v>0.8</v>
      </c>
      <c r="K71" s="2925">
        <v>0.83</v>
      </c>
      <c r="L71" s="2926">
        <v>0.06</v>
      </c>
      <c r="N71" s="2960">
        <f t="shared" si="176"/>
        <v>2.2725428130833527E-2</v>
      </c>
      <c r="O71" s="2961">
        <f t="shared" si="176"/>
        <v>1.7012227538543329E-2</v>
      </c>
      <c r="P71" s="2961">
        <f t="shared" si="177"/>
        <v>3.6925814703592477E-2</v>
      </c>
      <c r="Q71" s="2961">
        <f t="shared" si="177"/>
        <v>2.8846153846153744E-2</v>
      </c>
      <c r="R71" s="2902"/>
      <c r="S71" s="2901"/>
      <c r="T71" s="2887"/>
      <c r="U71" s="2887"/>
      <c r="V71" s="2887"/>
      <c r="X71" s="2962"/>
      <c r="Y71" s="2962"/>
      <c r="Z71" s="2962"/>
    </row>
    <row r="72" spans="1:26">
      <c r="A72" s="2898" t="s">
        <v>2602</v>
      </c>
      <c r="B72" s="2899">
        <f t="shared" si="178"/>
        <v>116.99099099099099</v>
      </c>
      <c r="C72" s="2899">
        <f t="shared" si="178"/>
        <v>118.84848484848486</v>
      </c>
      <c r="D72" s="2899">
        <f t="shared" si="145"/>
        <v>118.84848484848486</v>
      </c>
      <c r="E72" s="2899">
        <f t="shared" si="179"/>
        <v>117.60960960960961</v>
      </c>
      <c r="F72" s="2899">
        <f t="shared" si="179"/>
        <v>104</v>
      </c>
      <c r="G72" s="3540">
        <v>2004</v>
      </c>
      <c r="H72" s="2913">
        <v>2</v>
      </c>
      <c r="I72" s="2913">
        <v>1</v>
      </c>
      <c r="J72" s="2913">
        <v>1.5</v>
      </c>
      <c r="K72" s="2913">
        <v>1.5</v>
      </c>
      <c r="L72" s="2914">
        <v>0</v>
      </c>
      <c r="N72" s="2960">
        <f t="shared" si="176"/>
        <v>4.0581121662202721E-2</v>
      </c>
      <c r="O72" s="2961">
        <f t="shared" si="176"/>
        <v>3.1897926634768738E-2</v>
      </c>
      <c r="P72" s="2961">
        <f t="shared" si="177"/>
        <v>6.6733400066733395E-2</v>
      </c>
      <c r="Q72" s="2961">
        <f t="shared" si="177"/>
        <v>0</v>
      </c>
      <c r="R72" s="2902"/>
      <c r="S72" s="2901"/>
      <c r="T72" s="2887"/>
      <c r="U72" s="2887"/>
      <c r="V72" s="2887"/>
      <c r="X72" s="2962"/>
      <c r="Y72" s="2962"/>
      <c r="Z72" s="2962"/>
    </row>
    <row r="73" spans="1:26" s="2954" customFormat="1" ht="13.5" thickBot="1">
      <c r="A73" s="2898" t="s">
        <v>2603</v>
      </c>
      <c r="B73" s="2951">
        <f t="shared" si="178"/>
        <v>112.48648648648648</v>
      </c>
      <c r="C73" s="2951">
        <f t="shared" si="178"/>
        <v>115.21212121212122</v>
      </c>
      <c r="D73" s="2951">
        <f t="shared" si="145"/>
        <v>115.21212121212122</v>
      </c>
      <c r="E73" s="2951">
        <f t="shared" si="179"/>
        <v>110.4024024024024</v>
      </c>
      <c r="F73" s="2951">
        <f t="shared" si="179"/>
        <v>104</v>
      </c>
      <c r="G73" s="3541">
        <v>2004</v>
      </c>
      <c r="H73" s="2952">
        <v>1</v>
      </c>
      <c r="I73" s="2952">
        <v>0.33</v>
      </c>
      <c r="J73" s="2952">
        <v>0.5</v>
      </c>
      <c r="K73" s="2952">
        <v>0.5</v>
      </c>
      <c r="L73" s="2953">
        <v>0</v>
      </c>
      <c r="N73" s="2965">
        <f t="shared" si="176"/>
        <v>1.3391770148526898E-2</v>
      </c>
      <c r="O73" s="2966">
        <f t="shared" si="176"/>
        <v>1.063264221158958E-2</v>
      </c>
      <c r="P73" s="2966">
        <f t="shared" si="177"/>
        <v>2.2244466688911134E-2</v>
      </c>
      <c r="Q73" s="2966">
        <f t="shared" si="177"/>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2604</v>
      </c>
      <c r="B74" s="2968">
        <v>111</v>
      </c>
      <c r="C74" s="2968">
        <v>114</v>
      </c>
      <c r="D74" s="2968">
        <f t="shared" si="145"/>
        <v>114</v>
      </c>
      <c r="E74" s="2968">
        <v>108</v>
      </c>
      <c r="F74" s="2969">
        <v>104</v>
      </c>
      <c r="G74" s="3539">
        <v>2003</v>
      </c>
      <c r="H74" s="2958">
        <v>4</v>
      </c>
      <c r="I74" s="2970"/>
      <c r="J74" s="2970"/>
      <c r="K74" s="2970"/>
      <c r="L74" s="2970"/>
      <c r="N74" s="2971"/>
      <c r="O74" s="2970"/>
      <c r="P74" s="2970"/>
      <c r="Q74" s="2970"/>
      <c r="S74" s="2971"/>
      <c r="T74" s="2970"/>
      <c r="U74" s="2970"/>
      <c r="V74" s="2970"/>
      <c r="X74" s="2962"/>
      <c r="Y74" s="2962"/>
      <c r="Z74" s="2962"/>
    </row>
    <row r="75" spans="1:26">
      <c r="A75" s="2898" t="s">
        <v>2605</v>
      </c>
      <c r="B75" s="2972">
        <f t="shared" ref="B75:C77" si="180">B76+(B$74-B$78)/4</f>
        <v>109.75</v>
      </c>
      <c r="C75" s="2972">
        <f t="shared" si="180"/>
        <v>112.25</v>
      </c>
      <c r="D75" s="2972">
        <f t="shared" si="145"/>
        <v>112.25</v>
      </c>
      <c r="E75" s="2972">
        <f t="shared" ref="E75:F77" si="181">E76+(E$74-E$78)/4</f>
        <v>107.25</v>
      </c>
      <c r="F75" s="2972">
        <f t="shared" si="181"/>
        <v>103.5</v>
      </c>
      <c r="G75" s="3540">
        <v>2003</v>
      </c>
      <c r="H75" s="2925">
        <v>3</v>
      </c>
      <c r="I75" s="2970"/>
      <c r="J75" s="2970"/>
      <c r="K75" s="2970"/>
      <c r="L75" s="2970"/>
      <c r="X75" s="2962"/>
      <c r="Y75" s="2962"/>
      <c r="Z75" s="2962"/>
    </row>
    <row r="76" spans="1:26">
      <c r="A76" s="2898" t="s">
        <v>2606</v>
      </c>
      <c r="B76" s="2972">
        <f t="shared" si="180"/>
        <v>108.5</v>
      </c>
      <c r="C76" s="2972">
        <f t="shared" si="180"/>
        <v>110.5</v>
      </c>
      <c r="D76" s="2972">
        <f t="shared" si="145"/>
        <v>110.5</v>
      </c>
      <c r="E76" s="2972">
        <f t="shared" si="181"/>
        <v>106.5</v>
      </c>
      <c r="F76" s="2972">
        <f t="shared" si="181"/>
        <v>103</v>
      </c>
      <c r="G76" s="3540">
        <v>2003</v>
      </c>
      <c r="H76" s="2913">
        <v>2</v>
      </c>
      <c r="I76" s="2970"/>
      <c r="J76" s="2970"/>
      <c r="K76" s="2970"/>
      <c r="L76" s="2970"/>
      <c r="X76" s="2962"/>
      <c r="Y76" s="2962"/>
      <c r="Z76" s="2962"/>
    </row>
    <row r="77" spans="1:26" ht="13.5" thickBot="1">
      <c r="A77" s="2898" t="s">
        <v>2607</v>
      </c>
      <c r="B77" s="2972">
        <f t="shared" si="180"/>
        <v>107.25</v>
      </c>
      <c r="C77" s="2972">
        <f t="shared" si="180"/>
        <v>108.75</v>
      </c>
      <c r="D77" s="2972">
        <f t="shared" si="145"/>
        <v>108.75</v>
      </c>
      <c r="E77" s="2972">
        <f t="shared" si="181"/>
        <v>105.75</v>
      </c>
      <c r="F77" s="2972">
        <f t="shared" si="181"/>
        <v>102.5</v>
      </c>
      <c r="G77" s="3541">
        <v>2003</v>
      </c>
      <c r="H77" s="2973">
        <v>1</v>
      </c>
      <c r="I77" s="2970"/>
      <c r="J77" s="2970"/>
      <c r="K77" s="2970"/>
      <c r="L77" s="2970"/>
      <c r="S77" s="2901"/>
      <c r="T77" s="2887"/>
      <c r="U77" s="2887"/>
      <c r="X77" s="2962"/>
      <c r="Y77" s="2962"/>
      <c r="Z77" s="2962"/>
    </row>
    <row r="78" spans="1:26" ht="13.5" thickBot="1">
      <c r="A78" s="2898" t="s">
        <v>2608</v>
      </c>
      <c r="B78" s="2974">
        <v>106</v>
      </c>
      <c r="C78" s="2974">
        <v>107</v>
      </c>
      <c r="D78" s="2974">
        <f t="shared" si="145"/>
        <v>107</v>
      </c>
      <c r="E78" s="2974">
        <v>105</v>
      </c>
      <c r="F78" s="2975">
        <v>102</v>
      </c>
      <c r="G78" s="3539">
        <v>2002</v>
      </c>
      <c r="H78" s="2922">
        <v>4</v>
      </c>
      <c r="I78" s="2970"/>
      <c r="J78" s="2970"/>
      <c r="K78" s="2970"/>
      <c r="L78" s="2970"/>
      <c r="N78" s="2971"/>
      <c r="O78" s="2970"/>
      <c r="P78" s="2970"/>
      <c r="Q78" s="2970"/>
      <c r="S78" s="2971"/>
      <c r="T78" s="2970"/>
      <c r="U78" s="2970"/>
      <c r="V78" s="2970"/>
      <c r="X78" s="2962"/>
      <c r="Y78" s="2962"/>
      <c r="Z78" s="2962"/>
    </row>
    <row r="79" spans="1:26">
      <c r="A79" s="2898" t="s">
        <v>2609</v>
      </c>
      <c r="B79" s="2972">
        <f t="shared" ref="B79:C81" si="182">B80+(B$78-B$82)/4</f>
        <v>105</v>
      </c>
      <c r="C79" s="2972">
        <f t="shared" si="182"/>
        <v>106</v>
      </c>
      <c r="D79" s="2972">
        <f t="shared" si="145"/>
        <v>106</v>
      </c>
      <c r="E79" s="2972">
        <f t="shared" ref="E79:F81" si="183">E80+(E$78-E$82)/4</f>
        <v>104.5</v>
      </c>
      <c r="F79" s="2972">
        <f t="shared" si="183"/>
        <v>101.5</v>
      </c>
      <c r="G79" s="3540">
        <v>2002</v>
      </c>
      <c r="H79" s="2925">
        <v>3</v>
      </c>
      <c r="I79" s="2970"/>
      <c r="J79" s="2970"/>
      <c r="K79" s="2970"/>
      <c r="L79" s="2970"/>
      <c r="X79" s="2962"/>
      <c r="Y79" s="2962"/>
      <c r="Z79" s="2962"/>
    </row>
    <row r="80" spans="1:26">
      <c r="A80" s="2898" t="s">
        <v>2610</v>
      </c>
      <c r="B80" s="2972">
        <f t="shared" si="182"/>
        <v>104</v>
      </c>
      <c r="C80" s="2972">
        <f t="shared" si="182"/>
        <v>105</v>
      </c>
      <c r="D80" s="2972">
        <f t="shared" si="145"/>
        <v>105</v>
      </c>
      <c r="E80" s="2972">
        <f t="shared" si="183"/>
        <v>104</v>
      </c>
      <c r="F80" s="2972">
        <f t="shared" si="183"/>
        <v>101</v>
      </c>
      <c r="G80" s="3540">
        <v>2002</v>
      </c>
      <c r="H80" s="2913">
        <v>2</v>
      </c>
      <c r="I80" s="2970"/>
      <c r="J80" s="2970"/>
      <c r="K80" s="2970"/>
      <c r="L80" s="2970"/>
      <c r="X80" s="2962"/>
      <c r="Y80" s="2962"/>
      <c r="Z80" s="2962"/>
    </row>
    <row r="81" spans="1:26" s="2935" customFormat="1" ht="13.5" thickBot="1">
      <c r="A81" s="2931" t="s">
        <v>2611</v>
      </c>
      <c r="B81" s="2938">
        <f t="shared" si="182"/>
        <v>103</v>
      </c>
      <c r="C81" s="2938">
        <f t="shared" si="182"/>
        <v>104</v>
      </c>
      <c r="D81" s="2938">
        <f t="shared" si="145"/>
        <v>104</v>
      </c>
      <c r="E81" s="2938">
        <f t="shared" si="183"/>
        <v>103.5</v>
      </c>
      <c r="F81" s="2938">
        <f t="shared" si="183"/>
        <v>100.5</v>
      </c>
      <c r="G81" s="3541">
        <v>2002</v>
      </c>
      <c r="H81" s="2976">
        <v>1</v>
      </c>
      <c r="I81" s="2977"/>
      <c r="J81" s="2977"/>
      <c r="K81" s="2977"/>
      <c r="L81" s="2977"/>
      <c r="N81" s="2978"/>
      <c r="S81" s="2978"/>
      <c r="X81" s="2979"/>
      <c r="Y81" s="2979"/>
      <c r="Z81" s="2979"/>
    </row>
    <row r="82" spans="1:26" ht="13.5" thickBot="1">
      <c r="B82" s="2980">
        <v>102</v>
      </c>
      <c r="C82" s="2981">
        <v>103</v>
      </c>
      <c r="D82" s="2981">
        <f t="shared" si="145"/>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2612</v>
      </c>
      <c r="G84" s="2985"/>
      <c r="N84" s="2985"/>
      <c r="S84" s="2985"/>
    </row>
    <row r="85" spans="1:26" s="2984" customFormat="1">
      <c r="A85" s="2984" t="s">
        <v>2613</v>
      </c>
      <c r="G85" s="2985"/>
      <c r="N85" s="2985"/>
      <c r="S85" s="2985"/>
    </row>
    <row r="86" spans="1:26" s="2984" customFormat="1">
      <c r="A86" s="2984" t="s">
        <v>2614</v>
      </c>
      <c r="G86" s="2985"/>
      <c r="I86" s="2986"/>
      <c r="J86" s="2986"/>
      <c r="K86" s="2986"/>
      <c r="L86" s="2986"/>
      <c r="N86" s="2987"/>
      <c r="O86" s="2986"/>
      <c r="P86" s="2986"/>
      <c r="Q86" s="2986"/>
      <c r="S86" s="2987"/>
      <c r="T86" s="2986"/>
      <c r="U86" s="2986"/>
      <c r="V86" s="2986"/>
    </row>
    <row r="87" spans="1:26" s="2984" customFormat="1">
      <c r="A87" s="2984" t="s">
        <v>2615</v>
      </c>
      <c r="G87" s="2985"/>
      <c r="N87" s="2985"/>
      <c r="S87" s="2985"/>
    </row>
    <row r="94" spans="1:26" ht="13.5" thickBot="1"/>
    <row r="95" spans="1:26">
      <c r="G95" s="2886"/>
      <c r="S95" s="2988" t="s">
        <v>2616</v>
      </c>
      <c r="T95" s="2989" t="s">
        <v>2617</v>
      </c>
      <c r="U95" s="2989" t="s">
        <v>2618</v>
      </c>
      <c r="V95" s="2989" t="s">
        <v>2619</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18.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8928.57平方米。根据《建设工程规划许可证》[]、《出让合同》[]，估价对象规划建筑面积为25000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18.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根据《国有土地使用证》[]，估价对象（分摊）出让国有建设用地使用权面积为8928.57平方米。根据《建设工程规划许可证》[]、《出让合同》[]，估价对象规划建筑面积为25000平方米。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本次估价对象为出让国有建设用地使用权，《国有土地使用证》[]证载土地终止日期为商业2090年1月1日、办公2090年1月1日。截至估价期日，出让国有建设用地使用权剩余土地使用年限为。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150">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93.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48" t="s">
        <v>2445</v>
      </c>
      <c r="C8" s="1740">
        <f ca="1">ROUND(F8*F10*F9*(1-F11)/10000,0)</f>
        <v>0</v>
      </c>
      <c r="D8" s="1737" t="s">
        <v>2516</v>
      </c>
      <c r="E8" s="61" t="s">
        <v>631</v>
      </c>
      <c r="F8" s="775">
        <f ca="1">INDIRECT("'数据-取费表'!u"&amp;$G$1)</f>
        <v>0</v>
      </c>
      <c r="G8" s="1527"/>
      <c r="H8" s="2357" t="s">
        <v>1815</v>
      </c>
      <c r="I8" s="3548" t="s">
        <v>2445</v>
      </c>
      <c r="J8" s="773">
        <f ca="1">ROUND(M8*M10*M9*(1-M11)/10000,0)</f>
        <v>0</v>
      </c>
      <c r="K8" s="339" t="s">
        <v>2516</v>
      </c>
      <c r="L8" s="774" t="s">
        <v>1729</v>
      </c>
      <c r="M8" s="775">
        <f ca="1">INDIRECT("'数据-取费表'!z"&amp;$G$1)</f>
        <v>0</v>
      </c>
    </row>
    <row r="9" spans="1:25" ht="18" customHeight="1">
      <c r="A9" s="2353"/>
      <c r="B9" s="3549"/>
      <c r="C9" s="1741"/>
      <c r="D9" s="1738"/>
      <c r="E9" s="61" t="s">
        <v>632</v>
      </c>
      <c r="F9" s="775">
        <f ca="1">IF(INDIRECT("'数据-取费表'!ah"&amp;$G$1)="",INDIRECT("'数据-取费表'!k"&amp;$G$1),INDIRECT("'数据-取费表'!ah"&amp;$G$1))</f>
        <v>0</v>
      </c>
      <c r="G9" s="1527"/>
      <c r="H9" s="2342"/>
      <c r="I9" s="3549"/>
      <c r="J9" s="778"/>
      <c r="K9" s="779"/>
      <c r="L9" s="774" t="s">
        <v>1730</v>
      </c>
      <c r="M9" s="775">
        <f ca="1">F9</f>
        <v>0</v>
      </c>
    </row>
    <row r="10" spans="1:25" ht="18" customHeight="1">
      <c r="A10" s="2346"/>
      <c r="B10" s="3550"/>
      <c r="C10" s="1741"/>
      <c r="D10" s="1738"/>
      <c r="E10" s="61" t="s">
        <v>633</v>
      </c>
      <c r="F10" s="775">
        <f ca="1">INDIRECT("'数据-取费表'!ai"&amp;$G$1)</f>
        <v>0</v>
      </c>
      <c r="G10" s="1527"/>
      <c r="H10" s="2342"/>
      <c r="I10" s="3550"/>
      <c r="J10" s="778"/>
      <c r="K10" s="779"/>
      <c r="L10" s="774" t="s">
        <v>1731</v>
      </c>
      <c r="M10" s="775">
        <f ca="1">INDIRECT("'数据-取费表'!ai"&amp;$G$1)</f>
        <v>0</v>
      </c>
    </row>
    <row r="11" spans="1:25" ht="18" customHeight="1">
      <c r="A11" s="776"/>
      <c r="B11" s="3551"/>
      <c r="C11" s="1741"/>
      <c r="D11" s="1738"/>
      <c r="E11" s="61" t="s">
        <v>634</v>
      </c>
      <c r="F11" s="784">
        <f ca="1">INDIRECT("'数据-取费表'!w"&amp;$G$1)</f>
        <v>0</v>
      </c>
      <c r="G11" s="1527"/>
      <c r="H11" s="2358"/>
      <c r="I11" s="3550"/>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1E-3</v>
      </c>
      <c r="D26" s="2423"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2992</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47"/>
      <c r="J36" s="1962"/>
      <c r="K36" s="1963"/>
      <c r="L36" s="1962"/>
      <c r="M36" s="1962"/>
    </row>
    <row r="37" spans="1:18" ht="18" customHeight="1">
      <c r="A37" s="804"/>
      <c r="B37" s="783"/>
      <c r="C37" s="69"/>
      <c r="D37" s="805"/>
      <c r="E37" s="774" t="s">
        <v>668</v>
      </c>
      <c r="F37" s="775">
        <f ca="1">INDIRECT("'数据-取费表'!r"&amp;$G$1)</f>
        <v>0</v>
      </c>
      <c r="G37" s="1945"/>
      <c r="H37" s="1948"/>
      <c r="I37" s="3547"/>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-2</v>
      </c>
      <c r="K54" s="3552"/>
      <c r="L54" s="3553"/>
      <c r="O54" s="2256" t="s">
        <v>2373</v>
      </c>
      <c r="P54" s="2254" t="s">
        <v>2374</v>
      </c>
      <c r="Q54" s="2255">
        <f ca="1">J54</f>
        <v>-2</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1" priority="6">
      <formula>$F$12="自定义"</formula>
    </cfRule>
  </conditionalFormatting>
  <conditionalFormatting sqref="J13">
    <cfRule type="expression" dxfId="130" priority="5">
      <formula>$M$10="自定义"</formula>
    </cfRule>
  </conditionalFormatting>
  <conditionalFormatting sqref="K56">
    <cfRule type="expression" dxfId="129" priority="3">
      <formula>$L$48&gt;$J$51</formula>
    </cfRule>
  </conditionalFormatting>
  <conditionalFormatting sqref="I56">
    <cfRule type="expression" dxfId="128" priority="4">
      <formula>$J$51&gt;$L$48</formula>
    </cfRule>
  </conditionalFormatting>
  <conditionalFormatting sqref="I61">
    <cfRule type="expression" dxfId="127" priority="2">
      <formula>$J$51&gt;$L$48</formula>
    </cfRule>
  </conditionalFormatting>
  <conditionalFormatting sqref="K61">
    <cfRule type="expression" dxfId="12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60" zoomScaleNormal="60" workbookViewId="0">
      <selection activeCell="K37" sqref="K37"/>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8</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48" t="s">
        <v>2445</v>
      </c>
      <c r="C6" s="773">
        <f ca="1">ROUND(F6*F8*F7*(1-F9)/10000,0)</f>
        <v>0</v>
      </c>
      <c r="D6" s="2350" t="s">
        <v>2444</v>
      </c>
      <c r="E6" s="774" t="s">
        <v>1729</v>
      </c>
      <c r="F6" s="775">
        <f ca="1">INDIRECT("'数据-取费表'!u"&amp;$G$1)</f>
        <v>0</v>
      </c>
      <c r="G6" s="1945"/>
      <c r="H6" s="2357" t="s">
        <v>2450</v>
      </c>
      <c r="I6" s="3548" t="s">
        <v>2445</v>
      </c>
      <c r="J6" s="773">
        <f ca="1">ROUND(M6*M8*M7*(1-M9)/10000,0)</f>
        <v>0</v>
      </c>
      <c r="K6" s="339" t="s">
        <v>1728</v>
      </c>
      <c r="L6" s="774" t="s">
        <v>1729</v>
      </c>
      <c r="M6" s="775">
        <f ca="1">INDIRECT("'数据-取费表'!z"&amp;$G$1)</f>
        <v>0</v>
      </c>
    </row>
    <row r="7" spans="1:33" ht="18" customHeight="1">
      <c r="A7" s="2353"/>
      <c r="B7" s="3549"/>
      <c r="C7" s="778"/>
      <c r="D7" s="779"/>
      <c r="E7" s="774" t="s">
        <v>1730</v>
      </c>
      <c r="F7" s="775">
        <f ca="1">IF(INDIRECT("'数据-取费表'!ah"&amp;$G$1)="",INDIRECT("'数据-取费表'!k"&amp;$G$1),INDIRECT("'数据-取费表'!ah"&amp;$G$1))</f>
        <v>0</v>
      </c>
      <c r="G7" s="1945"/>
      <c r="H7" s="2342"/>
      <c r="I7" s="3549"/>
      <c r="J7" s="778"/>
      <c r="K7" s="779"/>
      <c r="L7" s="774" t="s">
        <v>1730</v>
      </c>
      <c r="M7" s="775">
        <f ca="1">F7</f>
        <v>0</v>
      </c>
    </row>
    <row r="8" spans="1:33" ht="18" customHeight="1">
      <c r="A8" s="2346"/>
      <c r="B8" s="3550"/>
      <c r="C8" s="778"/>
      <c r="D8" s="779"/>
      <c r="E8" s="774" t="s">
        <v>1731</v>
      </c>
      <c r="F8" s="775">
        <f ca="1">INDIRECT("'数据-取费表'!ai"&amp;$G$1)</f>
        <v>0</v>
      </c>
      <c r="G8" s="1945"/>
      <c r="H8" s="2342"/>
      <c r="I8" s="3550"/>
      <c r="J8" s="778"/>
      <c r="K8" s="779"/>
      <c r="L8" s="774" t="s">
        <v>1731</v>
      </c>
      <c r="M8" s="775">
        <f ca="1">INDIRECT("'数据-取费表'!ai"&amp;$G$1)</f>
        <v>0</v>
      </c>
    </row>
    <row r="9" spans="1:33" ht="18" customHeight="1">
      <c r="A9" s="776"/>
      <c r="B9" s="3551"/>
      <c r="C9" s="778"/>
      <c r="D9" s="779"/>
      <c r="E9" s="774" t="s">
        <v>1732</v>
      </c>
      <c r="F9" s="784">
        <f ca="1">INDIRECT("'数据-取费表'!w"&amp;$G$1)</f>
        <v>0</v>
      </c>
      <c r="G9" s="1945"/>
      <c r="H9" s="2358"/>
      <c r="I9" s="3550"/>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2938</v>
      </c>
      <c r="E10" s="2351" t="s">
        <v>2446</v>
      </c>
      <c r="F10" s="2465"/>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0.02</v>
      </c>
      <c r="G20" s="3261"/>
      <c r="H20" s="1580" t="s">
        <v>1871</v>
      </c>
      <c r="I20" s="339" t="s">
        <v>1751</v>
      </c>
      <c r="J20" s="54">
        <f ca="1">ROUND(M20*M21/10000,0)</f>
        <v>0</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复利计息。建造成本、管理费用、销售费用产生的利息。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1E-3</v>
      </c>
      <c r="D24" s="2423" t="str">
        <f>IF(F23&lt;=1,"销售费用×利率×(建设周期÷2)","销售费用×((1+利率)^(建设周期÷2)-1)")</f>
        <v>销售费用×((1+利率)^(建设周期÷2)-1)</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2993</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0</v>
      </c>
      <c r="K53" s="3554" t="s">
        <v>2931</v>
      </c>
      <c r="L53" s="3555"/>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5" priority="7">
      <formula>$L$48&gt;$J$51</formula>
    </cfRule>
  </conditionalFormatting>
  <conditionalFormatting sqref="I55">
    <cfRule type="expression" dxfId="124" priority="8">
      <formula>$J$51&gt;$L$48</formula>
    </cfRule>
  </conditionalFormatting>
  <conditionalFormatting sqref="I60">
    <cfRule type="expression" dxfId="123" priority="6">
      <formula>$J$51&gt;$L$48</formula>
    </cfRule>
  </conditionalFormatting>
  <conditionalFormatting sqref="K60">
    <cfRule type="expression" dxfId="122" priority="5">
      <formula>$L$48&gt;$J$51</formula>
    </cfRule>
  </conditionalFormatting>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7" sqref="K37"/>
    </sheetView>
  </sheetViews>
  <sheetFormatPr defaultRowHeight="13.5"/>
  <cols>
    <col min="1" max="1" width="10.5" customWidth="1"/>
    <col min="2" max="2" width="12.875" customWidth="1"/>
    <col min="3" max="3" width="8.75" customWidth="1"/>
  </cols>
  <sheetData>
    <row r="1" spans="1:9" ht="14.25">
      <c r="A1" s="3572" t="s">
        <v>2453</v>
      </c>
      <c r="B1" s="3573"/>
      <c r="C1" s="3574"/>
      <c r="D1" s="3575">
        <f>SUM(I10,I15,I20,I21,I23)</f>
        <v>0</v>
      </c>
      <c r="E1" s="3575"/>
      <c r="F1" s="3575"/>
      <c r="G1" s="3575"/>
      <c r="H1" s="3575"/>
      <c r="I1" s="3576"/>
    </row>
    <row r="2" spans="1:9">
      <c r="A2" s="3562" t="s">
        <v>2454</v>
      </c>
      <c r="B2" s="3563" t="s">
        <v>2455</v>
      </c>
      <c r="C2" s="3563"/>
      <c r="D2" s="2360" t="s">
        <v>2456</v>
      </c>
      <c r="E2" s="2360" t="s">
        <v>2457</v>
      </c>
      <c r="F2" s="2360" t="s">
        <v>2458</v>
      </c>
      <c r="G2" s="2360" t="s">
        <v>2459</v>
      </c>
      <c r="H2" s="2360" t="s">
        <v>2460</v>
      </c>
      <c r="I2" s="2361" t="s">
        <v>2461</v>
      </c>
    </row>
    <row r="3" spans="1:9">
      <c r="A3" s="3562"/>
      <c r="B3" s="3563" t="s">
        <v>2462</v>
      </c>
      <c r="C3" s="3563"/>
      <c r="D3" s="2362"/>
      <c r="E3" s="2360"/>
      <c r="F3" s="2363"/>
      <c r="G3" s="2363"/>
      <c r="H3" s="2364"/>
      <c r="I3" s="2365">
        <f>ROUND(D3*E3*F3*G3*H3/10000,0)</f>
        <v>0</v>
      </c>
    </row>
    <row r="4" spans="1:9">
      <c r="A4" s="3562"/>
      <c r="B4" s="3563" t="s">
        <v>2463</v>
      </c>
      <c r="C4" s="3563"/>
      <c r="D4" s="2362"/>
      <c r="E4" s="2360"/>
      <c r="F4" s="2363"/>
      <c r="G4" s="2363"/>
      <c r="H4" s="2364"/>
      <c r="I4" s="2365">
        <f t="shared" ref="I4:I9" si="0">ROUND(D4*E4*F4*G4*H4/10000,0)</f>
        <v>0</v>
      </c>
    </row>
    <row r="5" spans="1:9">
      <c r="A5" s="3562"/>
      <c r="B5" s="3563" t="s">
        <v>2464</v>
      </c>
      <c r="C5" s="3563"/>
      <c r="D5" s="2362"/>
      <c r="E5" s="2360"/>
      <c r="F5" s="2363"/>
      <c r="G5" s="2363"/>
      <c r="H5" s="2364"/>
      <c r="I5" s="2365">
        <f t="shared" si="0"/>
        <v>0</v>
      </c>
    </row>
    <row r="6" spans="1:9">
      <c r="A6" s="3562"/>
      <c r="B6" s="3563" t="s">
        <v>2465</v>
      </c>
      <c r="C6" s="3563"/>
      <c r="D6" s="2362"/>
      <c r="E6" s="2360"/>
      <c r="F6" s="2363"/>
      <c r="G6" s="2363"/>
      <c r="H6" s="2364"/>
      <c r="I6" s="2365">
        <f t="shared" si="0"/>
        <v>0</v>
      </c>
    </row>
    <row r="7" spans="1:9">
      <c r="A7" s="3562"/>
      <c r="B7" s="3563" t="s">
        <v>2466</v>
      </c>
      <c r="C7" s="3563"/>
      <c r="D7" s="2362"/>
      <c r="E7" s="2360"/>
      <c r="F7" s="2363"/>
      <c r="G7" s="2363"/>
      <c r="H7" s="2364"/>
      <c r="I7" s="2365">
        <f t="shared" si="0"/>
        <v>0</v>
      </c>
    </row>
    <row r="8" spans="1:9">
      <c r="A8" s="3562"/>
      <c r="B8" s="3563" t="s">
        <v>2467</v>
      </c>
      <c r="C8" s="3563"/>
      <c r="D8" s="2362"/>
      <c r="E8" s="2360"/>
      <c r="F8" s="2363"/>
      <c r="G8" s="2363"/>
      <c r="H8" s="2364"/>
      <c r="I8" s="2365">
        <f t="shared" si="0"/>
        <v>0</v>
      </c>
    </row>
    <row r="9" spans="1:9">
      <c r="A9" s="3562"/>
      <c r="B9" s="3563" t="s">
        <v>2468</v>
      </c>
      <c r="C9" s="3563"/>
      <c r="D9" s="2362"/>
      <c r="E9" s="2360"/>
      <c r="F9" s="2363"/>
      <c r="G9" s="2363"/>
      <c r="H9" s="2364"/>
      <c r="I9" s="2365">
        <f t="shared" si="0"/>
        <v>0</v>
      </c>
    </row>
    <row r="10" spans="1:9">
      <c r="A10" s="3562"/>
      <c r="B10" s="3564" t="s">
        <v>2469</v>
      </c>
      <c r="C10" s="3564"/>
      <c r="D10" s="2366">
        <v>527</v>
      </c>
      <c r="E10" s="2366" t="e">
        <f>ROUND(D1*10000/D10/H9,0)</f>
        <v>#DIV/0!</v>
      </c>
      <c r="F10" s="2367"/>
      <c r="G10" s="2367"/>
      <c r="H10" s="2368"/>
      <c r="I10" s="2369">
        <f>SUM(I3:I9)</f>
        <v>0</v>
      </c>
    </row>
    <row r="11" spans="1:9" ht="14.25">
      <c r="A11" s="3562" t="s">
        <v>2470</v>
      </c>
      <c r="B11" s="3563" t="s">
        <v>2471</v>
      </c>
      <c r="C11" s="3563"/>
      <c r="D11" s="2362" t="s">
        <v>2472</v>
      </c>
      <c r="E11" s="2362" t="s">
        <v>2473</v>
      </c>
      <c r="F11" s="2363" t="s">
        <v>2474</v>
      </c>
      <c r="G11" s="2363" t="s">
        <v>2475</v>
      </c>
      <c r="H11" s="2370" t="s">
        <v>2476</v>
      </c>
      <c r="I11" s="2361" t="s">
        <v>2477</v>
      </c>
    </row>
    <row r="12" spans="1:9">
      <c r="A12" s="3562"/>
      <c r="B12" s="3563" t="s">
        <v>2478</v>
      </c>
      <c r="C12" s="3563"/>
      <c r="D12" s="2362"/>
      <c r="E12" s="2362"/>
      <c r="F12" s="2363"/>
      <c r="G12" s="2364"/>
      <c r="H12" s="2371"/>
      <c r="I12" s="2361">
        <f>ROUND(D12*E12*F12*G12/10000,0)</f>
        <v>0</v>
      </c>
    </row>
    <row r="13" spans="1:9">
      <c r="A13" s="3562"/>
      <c r="B13" s="3563" t="s">
        <v>2479</v>
      </c>
      <c r="C13" s="3563"/>
      <c r="D13" s="2362"/>
      <c r="E13" s="2362"/>
      <c r="F13" s="2363"/>
      <c r="G13" s="2364"/>
      <c r="H13" s="2371"/>
      <c r="I13" s="2361">
        <f>ROUND(D13*E13*F13*G13/10000,0)</f>
        <v>0</v>
      </c>
    </row>
    <row r="14" spans="1:9">
      <c r="A14" s="3562"/>
      <c r="B14" s="3563" t="s">
        <v>2480</v>
      </c>
      <c r="C14" s="3563"/>
      <c r="D14" s="2362"/>
      <c r="E14" s="2362"/>
      <c r="F14" s="2363"/>
      <c r="G14" s="2364"/>
      <c r="H14" s="2371"/>
      <c r="I14" s="2361">
        <f>ROUND(D14*E14*F14*G14/10000,0)</f>
        <v>0</v>
      </c>
    </row>
    <row r="15" spans="1:9">
      <c r="A15" s="3562"/>
      <c r="B15" s="3564" t="s">
        <v>2469</v>
      </c>
      <c r="C15" s="3564"/>
      <c r="D15" s="2366"/>
      <c r="E15" s="2366">
        <f>SUM(E12:E14)</f>
        <v>0</v>
      </c>
      <c r="F15" s="2367"/>
      <c r="G15" s="2364"/>
      <c r="H15" s="2371"/>
      <c r="I15" s="2372">
        <f>SUM(I12:I14)</f>
        <v>0</v>
      </c>
    </row>
    <row r="16" spans="1:9" ht="24">
      <c r="A16" s="3562" t="s">
        <v>2481</v>
      </c>
      <c r="B16" s="3563" t="s">
        <v>2482</v>
      </c>
      <c r="C16" s="3563"/>
      <c r="D16" s="2362" t="s">
        <v>2483</v>
      </c>
      <c r="E16" s="2373" t="s">
        <v>2484</v>
      </c>
      <c r="F16" s="2363" t="s">
        <v>2485</v>
      </c>
      <c r="G16" s="2364" t="s">
        <v>2475</v>
      </c>
      <c r="H16" s="2370" t="s">
        <v>2476</v>
      </c>
      <c r="I16" s="2361" t="s">
        <v>2477</v>
      </c>
    </row>
    <row r="17" spans="1:9" ht="14.25">
      <c r="A17" s="3562"/>
      <c r="B17" s="3563" t="s">
        <v>2486</v>
      </c>
      <c r="C17" s="3563"/>
      <c r="D17" s="2362"/>
      <c r="E17" s="2362"/>
      <c r="F17" s="2363"/>
      <c r="G17" s="2364"/>
      <c r="H17" s="2374"/>
      <c r="I17" s="2375">
        <f>ROUND(D17*E17*F17*G17/10000,0)</f>
        <v>0</v>
      </c>
    </row>
    <row r="18" spans="1:9" ht="14.25">
      <c r="A18" s="3562"/>
      <c r="B18" s="3563" t="s">
        <v>2487</v>
      </c>
      <c r="C18" s="3563"/>
      <c r="D18" s="2362"/>
      <c r="E18" s="2362"/>
      <c r="F18" s="2363"/>
      <c r="G18" s="2364"/>
      <c r="H18" s="2374"/>
      <c r="I18" s="2375">
        <f>ROUND(D18*E18*F18*G18/10000,0)</f>
        <v>0</v>
      </c>
    </row>
    <row r="19" spans="1:9" ht="14.25">
      <c r="A19" s="3562"/>
      <c r="B19" s="3563" t="s">
        <v>2488</v>
      </c>
      <c r="C19" s="3563"/>
      <c r="D19" s="2362"/>
      <c r="E19" s="2362"/>
      <c r="F19" s="2363"/>
      <c r="G19" s="2364"/>
      <c r="H19" s="2374"/>
      <c r="I19" s="2375">
        <f>ROUND(D19*E19*F19*G19/10000,0)</f>
        <v>0</v>
      </c>
    </row>
    <row r="20" spans="1:9">
      <c r="A20" s="3562"/>
      <c r="B20" s="3564" t="s">
        <v>2469</v>
      </c>
      <c r="C20" s="3564"/>
      <c r="D20" s="2366">
        <f>SUM(D17:D19)</f>
        <v>0</v>
      </c>
      <c r="E20" s="2366"/>
      <c r="F20" s="2367"/>
      <c r="G20" s="2364"/>
      <c r="H20" s="2371"/>
      <c r="I20" s="2372">
        <f>SUM(I17:I19)</f>
        <v>0</v>
      </c>
    </row>
    <row r="21" spans="1:9">
      <c r="A21" s="3562" t="s">
        <v>2489</v>
      </c>
      <c r="B21" s="3565"/>
      <c r="C21" s="3565"/>
      <c r="D21" s="3565"/>
      <c r="E21" s="3565"/>
      <c r="F21" s="3565"/>
      <c r="G21" s="3565"/>
      <c r="H21" s="2376">
        <v>0.1</v>
      </c>
      <c r="I21" s="2369">
        <f>ROUND(I10*H21,0)</f>
        <v>0</v>
      </c>
    </row>
    <row r="22" spans="1:9" ht="14.25">
      <c r="A22" s="3566" t="s">
        <v>2490</v>
      </c>
      <c r="B22" s="3567"/>
      <c r="C22" s="3568"/>
      <c r="D22" s="2377" t="s">
        <v>2491</v>
      </c>
      <c r="E22" s="2377" t="s">
        <v>2492</v>
      </c>
      <c r="F22" s="2378" t="s">
        <v>2493</v>
      </c>
      <c r="G22" s="2378" t="s">
        <v>2494</v>
      </c>
      <c r="H22" s="2370" t="s">
        <v>2495</v>
      </c>
      <c r="I22" s="2361" t="s">
        <v>2496</v>
      </c>
    </row>
    <row r="23" spans="1:9" ht="14.25" thickBot="1">
      <c r="A23" s="3569"/>
      <c r="B23" s="3570"/>
      <c r="C23" s="3571"/>
      <c r="D23" s="2379"/>
      <c r="E23" s="2379"/>
      <c r="F23" s="2379"/>
      <c r="G23" s="2380"/>
      <c r="H23" s="2381"/>
      <c r="I23" s="2382">
        <f>ROUND(E23*D23*F23*(1-G23)/10000,0)</f>
        <v>0</v>
      </c>
    </row>
    <row r="26" spans="1:9">
      <c r="A26" s="2383" t="s">
        <v>2497</v>
      </c>
      <c r="B26" s="2383"/>
      <c r="C26" s="2383"/>
      <c r="D26" s="2383"/>
      <c r="E26" s="3559">
        <f>C27-C30-C31-C32</f>
        <v>0</v>
      </c>
      <c r="F26" s="3559"/>
      <c r="G26" s="3559"/>
      <c r="H26" s="2756" t="s">
        <v>2822</v>
      </c>
    </row>
    <row r="27" spans="1:9">
      <c r="A27" s="2384">
        <v>1</v>
      </c>
      <c r="B27" s="2385" t="s">
        <v>2498</v>
      </c>
      <c r="C27" s="2385"/>
      <c r="D27" s="2385"/>
      <c r="E27" s="3560"/>
      <c r="F27" s="3560"/>
      <c r="G27" s="3560"/>
    </row>
    <row r="28" spans="1:9">
      <c r="A28" s="2386" t="s">
        <v>2499</v>
      </c>
      <c r="B28" s="2385" t="s">
        <v>2500</v>
      </c>
      <c r="C28" s="2385"/>
      <c r="D28" s="2385"/>
      <c r="E28" s="3560"/>
      <c r="F28" s="3560"/>
      <c r="G28" s="3560"/>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61"/>
      <c r="F32" s="3561"/>
      <c r="G32" s="3561"/>
    </row>
    <row r="33" spans="1:7" hidden="1">
      <c r="A33" s="3556" t="s">
        <v>2508</v>
      </c>
      <c r="B33" s="3557"/>
      <c r="C33" s="3557"/>
      <c r="D33" s="3558"/>
      <c r="E33" s="3559"/>
      <c r="F33" s="3559"/>
      <c r="G33" s="3559"/>
    </row>
    <row r="34" spans="1:7" hidden="1">
      <c r="A34" s="2388">
        <v>1</v>
      </c>
      <c r="B34" s="2385" t="s">
        <v>2509</v>
      </c>
      <c r="C34" s="2385"/>
      <c r="D34" s="2385"/>
      <c r="E34" s="3560"/>
      <c r="F34" s="3560"/>
      <c r="G34" s="3560"/>
    </row>
    <row r="35" spans="1:7" hidden="1">
      <c r="A35" s="2388">
        <v>2</v>
      </c>
      <c r="B35" s="2385" t="s">
        <v>2510</v>
      </c>
      <c r="C35" s="2385"/>
      <c r="D35" s="2385"/>
      <c r="E35" s="3560"/>
      <c r="F35" s="3560"/>
      <c r="G35" s="3560"/>
    </row>
    <row r="36" spans="1:7" hidden="1">
      <c r="A36" s="2388">
        <v>3</v>
      </c>
      <c r="B36" s="2385" t="s">
        <v>2511</v>
      </c>
      <c r="C36" s="2385"/>
      <c r="D36" s="2385"/>
      <c r="E36" s="3560"/>
      <c r="F36" s="3560"/>
      <c r="G36" s="3560"/>
    </row>
    <row r="37" spans="1:7" hidden="1">
      <c r="A37" s="2388">
        <v>4</v>
      </c>
      <c r="B37" s="2385" t="s">
        <v>2512</v>
      </c>
      <c r="C37" s="2385"/>
      <c r="D37" s="2385"/>
      <c r="E37" s="3560"/>
      <c r="F37" s="3560"/>
      <c r="G37" s="3560"/>
    </row>
    <row r="38" spans="1:7" hidden="1">
      <c r="A38" s="3556" t="s">
        <v>2513</v>
      </c>
      <c r="B38" s="3557"/>
      <c r="C38" s="3557"/>
      <c r="D38" s="3558"/>
      <c r="E38" s="3559"/>
      <c r="F38" s="3559"/>
      <c r="G38" s="35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37" sqref="K37"/>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1"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2994</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160</v>
      </c>
      <c r="F12" s="746"/>
      <c r="G12" s="749"/>
    </row>
    <row r="13" spans="1:25" s="2064" customFormat="1" ht="13.5" customHeight="1">
      <c r="A13" s="2329" t="s">
        <v>2430</v>
      </c>
      <c r="B13" s="747" t="s">
        <v>606</v>
      </c>
      <c r="C13" s="748">
        <f>ROUND(D13*E13/10000,0)</f>
        <v>500</v>
      </c>
      <c r="D13" s="3271">
        <f>'数据-汇总表'!E6</f>
        <v>25000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0.88600000000000001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79" t="s">
        <v>516</v>
      </c>
      <c r="D4" s="3480"/>
      <c r="E4" s="3504" t="s">
        <v>517</v>
      </c>
      <c r="F4" s="3505"/>
      <c r="G4" s="3479" t="s">
        <v>518</v>
      </c>
      <c r="H4" s="3480"/>
      <c r="I4" s="3479" t="s">
        <v>519</v>
      </c>
      <c r="J4" s="3480"/>
      <c r="K4" s="842" t="s">
        <v>520</v>
      </c>
      <c r="L4" s="2015"/>
      <c r="M4" s="2016"/>
      <c r="N4" s="2016"/>
      <c r="O4" s="2016"/>
      <c r="P4" s="3481" t="s">
        <v>521</v>
      </c>
      <c r="Q4" s="3482"/>
      <c r="R4" s="3467" t="s">
        <v>517</v>
      </c>
      <c r="S4" s="3468"/>
      <c r="T4" s="3467" t="s">
        <v>518</v>
      </c>
      <c r="U4" s="3468"/>
      <c r="V4" s="3487" t="s">
        <v>519</v>
      </c>
      <c r="W4" s="3487"/>
      <c r="X4" s="1502"/>
      <c r="Y4" s="3467" t="s">
        <v>521</v>
      </c>
      <c r="Z4" s="3468"/>
      <c r="AA4" s="3462" t="s">
        <v>517</v>
      </c>
      <c r="AB4" s="3462" t="s">
        <v>518</v>
      </c>
      <c r="AC4" s="3462" t="s">
        <v>519</v>
      </c>
    </row>
    <row r="5" spans="1:29" ht="15">
      <c r="A5" s="509"/>
      <c r="B5" s="510"/>
      <c r="C5" s="3490" t="s">
        <v>2897</v>
      </c>
      <c r="D5" s="3491"/>
      <c r="E5" s="3506" t="s">
        <v>2898</v>
      </c>
      <c r="F5" s="3507"/>
      <c r="G5" s="3490" t="s">
        <v>2899</v>
      </c>
      <c r="H5" s="3491"/>
      <c r="I5" s="3490" t="s">
        <v>2900</v>
      </c>
      <c r="J5" s="3491"/>
      <c r="K5" s="843"/>
      <c r="L5" s="2015"/>
      <c r="M5" s="2016"/>
      <c r="N5" s="2016"/>
      <c r="O5" s="2016"/>
      <c r="P5" s="3483"/>
      <c r="Q5" s="3484"/>
      <c r="R5" s="3469"/>
      <c r="S5" s="3470"/>
      <c r="T5" s="3469"/>
      <c r="U5" s="3470"/>
      <c r="V5" s="3487"/>
      <c r="W5" s="3487"/>
      <c r="X5" s="1502"/>
      <c r="Y5" s="3469"/>
      <c r="Z5" s="3470"/>
      <c r="AA5" s="3463"/>
      <c r="AB5" s="3463"/>
      <c r="AC5" s="3463"/>
    </row>
    <row r="6" spans="1:29" ht="15.75" thickBot="1">
      <c r="A6" s="511"/>
      <c r="B6" s="512"/>
      <c r="C6" s="3488" t="s">
        <v>2901</v>
      </c>
      <c r="D6" s="3489"/>
      <c r="E6" s="3508" t="s">
        <v>2901</v>
      </c>
      <c r="F6" s="3509"/>
      <c r="G6" s="3488" t="s">
        <v>2901</v>
      </c>
      <c r="H6" s="3489"/>
      <c r="I6" s="3488" t="s">
        <v>2901</v>
      </c>
      <c r="J6" s="3489"/>
      <c r="K6" s="843" t="s">
        <v>522</v>
      </c>
      <c r="L6" s="2015"/>
      <c r="M6" s="2016"/>
      <c r="N6" s="2016"/>
      <c r="O6" s="2016"/>
      <c r="P6" s="3485"/>
      <c r="Q6" s="3486"/>
      <c r="R6" s="3469"/>
      <c r="S6" s="3470"/>
      <c r="T6" s="3471"/>
      <c r="U6" s="3472"/>
      <c r="V6" s="3487"/>
      <c r="W6" s="3487"/>
      <c r="X6" s="1502"/>
      <c r="Y6" s="3471"/>
      <c r="Z6" s="3472"/>
      <c r="AA6" s="3464"/>
      <c r="AB6" s="3464"/>
      <c r="AC6" s="3464"/>
    </row>
    <row r="7" spans="1:29" s="1203" customFormat="1" ht="15.75" thickBot="1">
      <c r="A7" s="2629"/>
      <c r="B7" s="2636" t="s">
        <v>523</v>
      </c>
      <c r="C7" s="513">
        <f>'数据-取费表'!B2</f>
        <v>44269</v>
      </c>
      <c r="D7" s="514">
        <v>100</v>
      </c>
      <c r="E7" s="515"/>
      <c r="F7" s="516">
        <f>SUMIF(58:58,YEAR(E7)&amp;"-"&amp;MONTH(E7),59:59)</f>
        <v>0</v>
      </c>
      <c r="G7" s="517"/>
      <c r="H7" s="514">
        <f>SUMIF(58:58,YEAR(G7)&amp;"-"&amp;MONTH(G7),59:59)</f>
        <v>0</v>
      </c>
      <c r="I7" s="517"/>
      <c r="J7" s="514">
        <f>SUMIF(58:58,YEAR(I7)&amp;"-"&amp;MONTH(I7),59:59)</f>
        <v>0</v>
      </c>
      <c r="K7" s="844"/>
      <c r="L7" s="2017"/>
      <c r="M7" s="2018"/>
      <c r="N7" s="2018"/>
      <c r="O7" s="2018"/>
      <c r="P7" s="3465" t="s">
        <v>524</v>
      </c>
      <c r="Q7" s="3474"/>
      <c r="R7" s="1503" t="s">
        <v>13</v>
      </c>
      <c r="S7" s="1504">
        <f t="shared" ref="S7:S15" si="0">F7</f>
        <v>0</v>
      </c>
      <c r="T7" s="1503" t="s">
        <v>13</v>
      </c>
      <c r="U7" s="1504">
        <f t="shared" ref="U7:U15" si="1">H7</f>
        <v>0</v>
      </c>
      <c r="V7" s="1503" t="s">
        <v>13</v>
      </c>
      <c r="W7" s="1504">
        <f t="shared" ref="W7:W15" si="2">J7</f>
        <v>0</v>
      </c>
      <c r="X7" s="1505"/>
      <c r="Y7" s="3465" t="s">
        <v>524</v>
      </c>
      <c r="Z7" s="3466"/>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465" t="s">
        <v>527</v>
      </c>
      <c r="Q8" s="3466"/>
      <c r="R8" s="1503" t="s">
        <v>13</v>
      </c>
      <c r="S8" s="1504">
        <f t="shared" si="0"/>
        <v>0</v>
      </c>
      <c r="T8" s="1503" t="s">
        <v>13</v>
      </c>
      <c r="U8" s="1504">
        <f t="shared" si="1"/>
        <v>0</v>
      </c>
      <c r="V8" s="1503" t="s">
        <v>13</v>
      </c>
      <c r="W8" s="1504">
        <f t="shared" si="2"/>
        <v>0</v>
      </c>
      <c r="X8" s="1505"/>
      <c r="Y8" s="3465" t="s">
        <v>527</v>
      </c>
      <c r="Z8" s="346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73"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73"/>
      <c r="Q11" s="1134" t="str">
        <f t="shared" si="6"/>
        <v>容积率</v>
      </c>
      <c r="R11" s="1503" t="s">
        <v>11</v>
      </c>
      <c r="S11" s="1504" t="e">
        <f t="shared" si="0"/>
        <v>#N/A</v>
      </c>
      <c r="T11" s="1503" t="s">
        <v>11</v>
      </c>
      <c r="U11" s="1504" t="e">
        <f t="shared" si="1"/>
        <v>#N/A</v>
      </c>
      <c r="V11" s="1503" t="s">
        <v>11</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73"/>
      <c r="Q12" s="1134">
        <f t="shared" si="6"/>
        <v>111</v>
      </c>
      <c r="R12" s="1503" t="s">
        <v>11</v>
      </c>
      <c r="S12" s="1504">
        <f t="shared" si="0"/>
        <v>100</v>
      </c>
      <c r="T12" s="1503" t="s">
        <v>11</v>
      </c>
      <c r="U12" s="1504">
        <f t="shared" si="1"/>
        <v>100</v>
      </c>
      <c r="V12" s="1503" t="s">
        <v>11</v>
      </c>
      <c r="W12" s="1504">
        <f t="shared" si="2"/>
        <v>100</v>
      </c>
      <c r="X12" s="1505"/>
      <c r="Y12" s="3424"/>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73"/>
      <c r="Q13" s="1134">
        <f t="shared" si="6"/>
        <v>111</v>
      </c>
      <c r="R13" s="1503" t="s">
        <v>11</v>
      </c>
      <c r="S13" s="1504">
        <f t="shared" si="0"/>
        <v>100</v>
      </c>
      <c r="T13" s="1503" t="s">
        <v>11</v>
      </c>
      <c r="U13" s="1504">
        <f t="shared" si="1"/>
        <v>100</v>
      </c>
      <c r="V13" s="1503" t="s">
        <v>11</v>
      </c>
      <c r="W13" s="1504">
        <f t="shared" si="2"/>
        <v>100</v>
      </c>
      <c r="X13" s="1505"/>
      <c r="Y13" s="3424"/>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73"/>
      <c r="Q14" s="1134">
        <f t="shared" si="6"/>
        <v>111</v>
      </c>
      <c r="R14" s="1503" t="s">
        <v>11</v>
      </c>
      <c r="S14" s="1504">
        <f t="shared" si="0"/>
        <v>100</v>
      </c>
      <c r="T14" s="1503" t="s">
        <v>11</v>
      </c>
      <c r="U14" s="1504">
        <f t="shared" si="1"/>
        <v>100</v>
      </c>
      <c r="V14" s="1503" t="s">
        <v>11</v>
      </c>
      <c r="W14" s="1504">
        <f t="shared" si="2"/>
        <v>100</v>
      </c>
      <c r="X14" s="1505"/>
      <c r="Y14" s="3424"/>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475" t="s">
        <v>534</v>
      </c>
      <c r="Q15" s="1507" t="str">
        <f t="shared" si="6"/>
        <v>居住社区成熟度</v>
      </c>
      <c r="R15" s="1508" t="s">
        <v>11</v>
      </c>
      <c r="S15" s="1509">
        <f t="shared" si="0"/>
        <v>100</v>
      </c>
      <c r="T15" s="1508" t="s">
        <v>11</v>
      </c>
      <c r="U15" s="1509">
        <f t="shared" si="1"/>
        <v>100</v>
      </c>
      <c r="V15" s="1508" t="s">
        <v>11</v>
      </c>
      <c r="W15" s="1509">
        <f t="shared" si="2"/>
        <v>100</v>
      </c>
      <c r="X15" s="1502"/>
      <c r="Y15" s="3475"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476"/>
      <c r="Q16" s="1507"/>
      <c r="R16" s="1508"/>
      <c r="S16" s="1509"/>
      <c r="T16" s="1508"/>
      <c r="U16" s="1509"/>
      <c r="V16" s="1508"/>
      <c r="W16" s="1509"/>
      <c r="X16" s="1502"/>
      <c r="Y16" s="347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476"/>
      <c r="Q17" s="1507" t="str">
        <f>B17</f>
        <v>交通便捷度</v>
      </c>
      <c r="R17" s="1508" t="s">
        <v>11</v>
      </c>
      <c r="S17" s="1509">
        <f>F17</f>
        <v>100</v>
      </c>
      <c r="T17" s="1508" t="s">
        <v>11</v>
      </c>
      <c r="U17" s="1509">
        <f>H17</f>
        <v>100</v>
      </c>
      <c r="V17" s="1508" t="s">
        <v>11</v>
      </c>
      <c r="W17" s="1509">
        <f>J17</f>
        <v>100</v>
      </c>
      <c r="X17" s="1502"/>
      <c r="Y17" s="347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476"/>
      <c r="Q18" s="1507"/>
      <c r="R18" s="1508"/>
      <c r="S18" s="1509"/>
      <c r="T18" s="1508"/>
      <c r="U18" s="1509"/>
      <c r="V18" s="1508"/>
      <c r="W18" s="1509"/>
      <c r="X18" s="1502"/>
      <c r="Y18" s="3476"/>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476"/>
      <c r="Q19" s="1507" t="str">
        <f>B19</f>
        <v>公共配套设施</v>
      </c>
      <c r="R19" s="1508" t="s">
        <v>11</v>
      </c>
      <c r="S19" s="1509">
        <f>F19</f>
        <v>100</v>
      </c>
      <c r="T19" s="1508" t="s">
        <v>11</v>
      </c>
      <c r="U19" s="1509">
        <f>H19</f>
        <v>100</v>
      </c>
      <c r="V19" s="1508" t="s">
        <v>11</v>
      </c>
      <c r="W19" s="1509">
        <f>J19</f>
        <v>100</v>
      </c>
      <c r="X19" s="1502"/>
      <c r="Y19" s="347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476"/>
      <c r="Q20" s="1507"/>
      <c r="R20" s="1508"/>
      <c r="S20" s="1509"/>
      <c r="T20" s="1508"/>
      <c r="U20" s="1509"/>
      <c r="V20" s="1508"/>
      <c r="W20" s="1509"/>
      <c r="X20" s="1502"/>
      <c r="Y20" s="3476"/>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476"/>
      <c r="Q21" s="2429" t="str">
        <f>B21</f>
        <v>基础设施水平</v>
      </c>
      <c r="R21" s="1508" t="s">
        <v>11</v>
      </c>
      <c r="S21" s="1509">
        <f>F21</f>
        <v>100</v>
      </c>
      <c r="T21" s="1508" t="s">
        <v>11</v>
      </c>
      <c r="U21" s="1509">
        <f>H21</f>
        <v>100</v>
      </c>
      <c r="V21" s="1508" t="s">
        <v>11</v>
      </c>
      <c r="W21" s="1509">
        <f>J21</f>
        <v>100</v>
      </c>
      <c r="X21" s="2431"/>
      <c r="Y21" s="3476"/>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476"/>
      <c r="Q22" s="2429"/>
      <c r="R22" s="1508"/>
      <c r="S22" s="1509"/>
      <c r="T22" s="1508"/>
      <c r="U22" s="1509"/>
      <c r="V22" s="1508"/>
      <c r="W22" s="1509"/>
      <c r="X22" s="2431"/>
      <c r="Y22" s="3476"/>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476"/>
      <c r="Q23" s="1507" t="str">
        <f>B23</f>
        <v>自然及人文环境</v>
      </c>
      <c r="R23" s="1508" t="s">
        <v>11</v>
      </c>
      <c r="S23" s="1509">
        <f>F23</f>
        <v>100</v>
      </c>
      <c r="T23" s="1508" t="s">
        <v>11</v>
      </c>
      <c r="U23" s="1509">
        <f>H23</f>
        <v>100</v>
      </c>
      <c r="V23" s="1508" t="s">
        <v>11</v>
      </c>
      <c r="W23" s="1509">
        <f>J23</f>
        <v>100</v>
      </c>
      <c r="X23" s="1502"/>
      <c r="Y23" s="347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476"/>
      <c r="Q24" s="1507"/>
      <c r="R24" s="1508"/>
      <c r="S24" s="1509"/>
      <c r="T24" s="1508"/>
      <c r="U24" s="1509"/>
      <c r="V24" s="1508"/>
      <c r="W24" s="1509"/>
      <c r="X24" s="1502"/>
      <c r="Y24" s="3476"/>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76"/>
      <c r="Q25" s="1507" t="str">
        <f t="shared" ref="Q25:Q46" si="11">B25</f>
        <v>楼层-1</v>
      </c>
      <c r="R25" s="1508" t="s">
        <v>11</v>
      </c>
      <c r="S25" s="1509">
        <f>F25</f>
        <v>100</v>
      </c>
      <c r="T25" s="1508" t="s">
        <v>11</v>
      </c>
      <c r="U25" s="1509">
        <f>H25</f>
        <v>100</v>
      </c>
      <c r="V25" s="1508" t="s">
        <v>11</v>
      </c>
      <c r="W25" s="1509">
        <f>J25</f>
        <v>100</v>
      </c>
      <c r="X25" s="1502"/>
      <c r="Y25" s="3476"/>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76"/>
      <c r="Q26" s="1507" t="str">
        <f t="shared" si="11"/>
        <v>朝向</v>
      </c>
      <c r="R26" s="1508" t="s">
        <v>11</v>
      </c>
      <c r="S26" s="1509">
        <f>F26</f>
        <v>100</v>
      </c>
      <c r="T26" s="1508" t="s">
        <v>11</v>
      </c>
      <c r="U26" s="1509">
        <f>H26</f>
        <v>100</v>
      </c>
      <c r="V26" s="1508" t="s">
        <v>11</v>
      </c>
      <c r="W26" s="1509">
        <f>J26</f>
        <v>100</v>
      </c>
      <c r="X26" s="1502"/>
      <c r="Y26" s="3476"/>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76"/>
      <c r="Q27" s="1134" t="str">
        <f t="shared" si="11"/>
        <v>道路级别</v>
      </c>
      <c r="R27" s="1503" t="s">
        <v>11</v>
      </c>
      <c r="S27" s="1504">
        <f>F27</f>
        <v>100</v>
      </c>
      <c r="T27" s="1503" t="s">
        <v>11</v>
      </c>
      <c r="U27" s="1504">
        <f>H27</f>
        <v>100</v>
      </c>
      <c r="V27" s="1503" t="s">
        <v>11</v>
      </c>
      <c r="W27" s="1504">
        <f>J27</f>
        <v>100</v>
      </c>
      <c r="X27" s="1505"/>
      <c r="Y27" s="3476"/>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76"/>
      <c r="Q28" s="1507">
        <f t="shared" si="11"/>
        <v>111</v>
      </c>
      <c r="R28" s="1508" t="s">
        <v>11</v>
      </c>
      <c r="S28" s="1509">
        <f t="shared" ref="S28:S46" si="12">F28</f>
        <v>100</v>
      </c>
      <c r="T28" s="1508" t="s">
        <v>11</v>
      </c>
      <c r="U28" s="1509">
        <f t="shared" ref="U28:U46" si="13">H28</f>
        <v>100</v>
      </c>
      <c r="V28" s="1508" t="s">
        <v>11</v>
      </c>
      <c r="W28" s="1509">
        <f t="shared" ref="W28:W46" si="14">J28</f>
        <v>100</v>
      </c>
      <c r="X28" s="1502"/>
      <c r="Y28" s="3476"/>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76"/>
      <c r="Q29" s="1507">
        <f t="shared" si="11"/>
        <v>111</v>
      </c>
      <c r="R29" s="1508" t="s">
        <v>11</v>
      </c>
      <c r="S29" s="1509">
        <f t="shared" si="12"/>
        <v>100</v>
      </c>
      <c r="T29" s="1508" t="s">
        <v>11</v>
      </c>
      <c r="U29" s="1509">
        <f t="shared" si="13"/>
        <v>100</v>
      </c>
      <c r="V29" s="1508" t="s">
        <v>11</v>
      </c>
      <c r="W29" s="1509">
        <f t="shared" si="14"/>
        <v>100</v>
      </c>
      <c r="X29" s="1502"/>
      <c r="Y29" s="347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76"/>
      <c r="Q30" s="1507">
        <f t="shared" si="11"/>
        <v>111</v>
      </c>
      <c r="R30" s="1508" t="s">
        <v>11</v>
      </c>
      <c r="S30" s="1509">
        <f t="shared" si="12"/>
        <v>100</v>
      </c>
      <c r="T30" s="1508" t="s">
        <v>11</v>
      </c>
      <c r="U30" s="1509">
        <f t="shared" si="13"/>
        <v>100</v>
      </c>
      <c r="V30" s="1508" t="s">
        <v>11</v>
      </c>
      <c r="W30" s="1509">
        <f t="shared" si="14"/>
        <v>100</v>
      </c>
      <c r="X30" s="1502"/>
      <c r="Y30" s="3476"/>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76"/>
      <c r="Q31" s="1507">
        <f t="shared" si="11"/>
        <v>111</v>
      </c>
      <c r="R31" s="1508" t="s">
        <v>11</v>
      </c>
      <c r="S31" s="1509">
        <f t="shared" si="12"/>
        <v>100</v>
      </c>
      <c r="T31" s="1508" t="s">
        <v>11</v>
      </c>
      <c r="U31" s="1509">
        <f t="shared" si="13"/>
        <v>100</v>
      </c>
      <c r="V31" s="1508" t="s">
        <v>11</v>
      </c>
      <c r="W31" s="1509">
        <f t="shared" si="14"/>
        <v>100</v>
      </c>
      <c r="X31" s="1502"/>
      <c r="Y31" s="3476"/>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477" t="s">
        <v>544</v>
      </c>
      <c r="Q32" s="1507" t="str">
        <f t="shared" si="11"/>
        <v>建筑类型</v>
      </c>
      <c r="R32" s="1508" t="s">
        <v>11</v>
      </c>
      <c r="S32" s="1509">
        <f t="shared" si="12"/>
        <v>100</v>
      </c>
      <c r="T32" s="1508" t="s">
        <v>11</v>
      </c>
      <c r="U32" s="1509">
        <f t="shared" si="13"/>
        <v>100</v>
      </c>
      <c r="V32" s="1508" t="s">
        <v>11</v>
      </c>
      <c r="W32" s="1509">
        <f t="shared" si="14"/>
        <v>100</v>
      </c>
      <c r="X32" s="1502"/>
      <c r="Y32" s="3478"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478"/>
      <c r="Q33" s="1536" t="str">
        <f t="shared" si="11"/>
        <v>项目建筑规模</v>
      </c>
      <c r="R33" s="1512" t="s">
        <v>11</v>
      </c>
      <c r="S33" s="1513" t="e">
        <f t="shared" si="12"/>
        <v>#N/A</v>
      </c>
      <c r="T33" s="1512" t="s">
        <v>11</v>
      </c>
      <c r="U33" s="1513" t="e">
        <f t="shared" si="13"/>
        <v>#N/A</v>
      </c>
      <c r="V33" s="1512" t="s">
        <v>11</v>
      </c>
      <c r="W33" s="1513" t="e">
        <f t="shared" si="14"/>
        <v>#N/A</v>
      </c>
      <c r="X33" s="1514"/>
      <c r="Y33" s="347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478"/>
      <c r="Q34" s="1507" t="str">
        <f t="shared" si="11"/>
        <v>建筑结构</v>
      </c>
      <c r="R34" s="1508" t="s">
        <v>11</v>
      </c>
      <c r="S34" s="1509">
        <f t="shared" si="12"/>
        <v>100</v>
      </c>
      <c r="T34" s="1508" t="s">
        <v>11</v>
      </c>
      <c r="U34" s="1509">
        <f t="shared" si="13"/>
        <v>100</v>
      </c>
      <c r="V34" s="1508" t="s">
        <v>11</v>
      </c>
      <c r="W34" s="1509">
        <f t="shared" si="14"/>
        <v>100</v>
      </c>
      <c r="X34" s="1502"/>
      <c r="Y34" s="3478"/>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478"/>
      <c r="Q35" s="1507" t="str">
        <f t="shared" si="11"/>
        <v>建筑品质</v>
      </c>
      <c r="R35" s="1508" t="s">
        <v>11</v>
      </c>
      <c r="S35" s="1509">
        <f t="shared" si="12"/>
        <v>100</v>
      </c>
      <c r="T35" s="1508" t="s">
        <v>11</v>
      </c>
      <c r="U35" s="1509">
        <f t="shared" si="13"/>
        <v>100</v>
      </c>
      <c r="V35" s="1508" t="s">
        <v>11</v>
      </c>
      <c r="W35" s="1509">
        <f t="shared" si="14"/>
        <v>100</v>
      </c>
      <c r="X35" s="1502"/>
      <c r="Y35" s="3478"/>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478"/>
      <c r="Q36" s="1507" t="str">
        <f t="shared" si="11"/>
        <v>公共部分装修</v>
      </c>
      <c r="R36" s="1508" t="s">
        <v>11</v>
      </c>
      <c r="S36" s="1509">
        <f t="shared" si="12"/>
        <v>100</v>
      </c>
      <c r="T36" s="1508" t="s">
        <v>11</v>
      </c>
      <c r="U36" s="1509">
        <f t="shared" si="13"/>
        <v>100</v>
      </c>
      <c r="V36" s="1508" t="s">
        <v>11</v>
      </c>
      <c r="W36" s="1509">
        <f t="shared" si="14"/>
        <v>100</v>
      </c>
      <c r="X36" s="1502"/>
      <c r="Y36" s="3478"/>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478"/>
      <c r="Q37" s="1134" t="str">
        <f t="shared" si="11"/>
        <v>成新度</v>
      </c>
      <c r="R37" s="1503" t="s">
        <v>11</v>
      </c>
      <c r="S37" s="1504" t="e">
        <f t="shared" si="12"/>
        <v>#N/A</v>
      </c>
      <c r="T37" s="1503" t="s">
        <v>11</v>
      </c>
      <c r="U37" s="1504" t="e">
        <f t="shared" si="13"/>
        <v>#N/A</v>
      </c>
      <c r="V37" s="1503" t="s">
        <v>11</v>
      </c>
      <c r="W37" s="1504" t="e">
        <f t="shared" si="14"/>
        <v>#N/A</v>
      </c>
      <c r="X37" s="1505"/>
      <c r="Y37" s="3478"/>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478" t="s">
        <v>544</v>
      </c>
      <c r="Q38" s="1507" t="str">
        <f t="shared" si="11"/>
        <v>物业管理</v>
      </c>
      <c r="R38" s="1508" t="s">
        <v>11</v>
      </c>
      <c r="S38" s="1509">
        <f t="shared" si="12"/>
        <v>100</v>
      </c>
      <c r="T38" s="1508" t="s">
        <v>11</v>
      </c>
      <c r="U38" s="1509">
        <f t="shared" si="13"/>
        <v>100</v>
      </c>
      <c r="V38" s="1508" t="s">
        <v>11</v>
      </c>
      <c r="W38" s="1509">
        <f t="shared" si="14"/>
        <v>100</v>
      </c>
      <c r="X38" s="1502"/>
      <c r="Y38" s="3478"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478"/>
      <c r="Q39" s="1507" t="str">
        <f t="shared" si="11"/>
        <v>市政基础设施</v>
      </c>
      <c r="R39" s="1508" t="s">
        <v>11</v>
      </c>
      <c r="S39" s="1509">
        <f t="shared" si="12"/>
        <v>100</v>
      </c>
      <c r="T39" s="1508" t="s">
        <v>11</v>
      </c>
      <c r="U39" s="1509">
        <f t="shared" si="13"/>
        <v>100</v>
      </c>
      <c r="V39" s="1508" t="s">
        <v>11</v>
      </c>
      <c r="W39" s="1509">
        <f t="shared" si="14"/>
        <v>100</v>
      </c>
      <c r="X39" s="1502"/>
      <c r="Y39" s="3478"/>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478"/>
      <c r="Q40" s="1507" t="str">
        <f t="shared" si="11"/>
        <v>房型</v>
      </c>
      <c r="R40" s="1508" t="s">
        <v>11</v>
      </c>
      <c r="S40" s="1509">
        <f t="shared" si="12"/>
        <v>100</v>
      </c>
      <c r="T40" s="1508" t="s">
        <v>11</v>
      </c>
      <c r="U40" s="1509">
        <f t="shared" si="13"/>
        <v>100</v>
      </c>
      <c r="V40" s="1508" t="s">
        <v>11</v>
      </c>
      <c r="W40" s="1509">
        <f t="shared" si="14"/>
        <v>100</v>
      </c>
      <c r="X40" s="1502"/>
      <c r="Y40" s="3478"/>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478"/>
      <c r="Q41" s="1536" t="str">
        <f t="shared" si="11"/>
        <v>单套/主力户型建筑面积</v>
      </c>
      <c r="R41" s="1512" t="s">
        <v>11</v>
      </c>
      <c r="S41" s="1513">
        <f t="shared" si="12"/>
        <v>100</v>
      </c>
      <c r="T41" s="1512" t="s">
        <v>11</v>
      </c>
      <c r="U41" s="1513">
        <f t="shared" si="13"/>
        <v>100</v>
      </c>
      <c r="V41" s="1512" t="s">
        <v>11</v>
      </c>
      <c r="W41" s="1513">
        <f t="shared" si="14"/>
        <v>100</v>
      </c>
      <c r="X41" s="1514"/>
      <c r="Y41" s="3478"/>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478"/>
      <c r="Q42" s="1507" t="str">
        <f t="shared" si="11"/>
        <v>内部装修</v>
      </c>
      <c r="R42" s="1508" t="s">
        <v>11</v>
      </c>
      <c r="S42" s="1509">
        <f t="shared" si="12"/>
        <v>100</v>
      </c>
      <c r="T42" s="1508" t="s">
        <v>11</v>
      </c>
      <c r="U42" s="1509">
        <f t="shared" si="13"/>
        <v>100</v>
      </c>
      <c r="V42" s="1508" t="s">
        <v>11</v>
      </c>
      <c r="W42" s="1509">
        <f t="shared" si="14"/>
        <v>100</v>
      </c>
      <c r="X42" s="1502"/>
      <c r="Y42" s="3478"/>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478"/>
      <c r="Q43" s="1507" t="str">
        <f t="shared" si="11"/>
        <v>内部装修维护情况</v>
      </c>
      <c r="R43" s="1508" t="s">
        <v>11</v>
      </c>
      <c r="S43" s="1509">
        <f t="shared" si="12"/>
        <v>100</v>
      </c>
      <c r="T43" s="1508" t="s">
        <v>11</v>
      </c>
      <c r="U43" s="1509">
        <f t="shared" si="13"/>
        <v>100</v>
      </c>
      <c r="V43" s="1508" t="s">
        <v>11</v>
      </c>
      <c r="W43" s="1509">
        <f t="shared" si="14"/>
        <v>100</v>
      </c>
      <c r="X43" s="1502"/>
      <c r="Y43" s="347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478"/>
      <c r="Q44" s="1134">
        <f t="shared" si="11"/>
        <v>111</v>
      </c>
      <c r="R44" s="1503" t="s">
        <v>11</v>
      </c>
      <c r="S44" s="1504">
        <f t="shared" si="12"/>
        <v>100</v>
      </c>
      <c r="T44" s="1503" t="s">
        <v>11</v>
      </c>
      <c r="U44" s="1504">
        <f t="shared" si="13"/>
        <v>100</v>
      </c>
      <c r="V44" s="1503" t="s">
        <v>11</v>
      </c>
      <c r="W44" s="1504">
        <f t="shared" si="14"/>
        <v>100</v>
      </c>
      <c r="X44" s="1505"/>
      <c r="Y44" s="347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78"/>
      <c r="Q45" s="1507">
        <f t="shared" si="11"/>
        <v>111</v>
      </c>
      <c r="R45" s="1508" t="s">
        <v>11</v>
      </c>
      <c r="S45" s="1509">
        <f t="shared" si="12"/>
        <v>100</v>
      </c>
      <c r="T45" s="1508" t="s">
        <v>11</v>
      </c>
      <c r="U45" s="1509">
        <f t="shared" si="13"/>
        <v>100</v>
      </c>
      <c r="V45" s="1508" t="s">
        <v>11</v>
      </c>
      <c r="W45" s="1509">
        <f t="shared" si="14"/>
        <v>100</v>
      </c>
      <c r="X45" s="1502"/>
      <c r="Y45" s="3478"/>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79"/>
      <c r="Q46" s="1507">
        <f t="shared" si="11"/>
        <v>111</v>
      </c>
      <c r="R46" s="1508" t="s">
        <v>10</v>
      </c>
      <c r="S46" s="1509">
        <f t="shared" si="12"/>
        <v>100</v>
      </c>
      <c r="T46" s="1508" t="s">
        <v>10</v>
      </c>
      <c r="U46" s="1509">
        <f t="shared" si="13"/>
        <v>100</v>
      </c>
      <c r="V46" s="1508" t="s">
        <v>10</v>
      </c>
      <c r="W46" s="1509">
        <f t="shared" si="14"/>
        <v>100</v>
      </c>
      <c r="X46" s="1502"/>
      <c r="Y46" s="3579"/>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73" t="str">
        <f>A47</f>
        <v>成交单价（元/平方米）</v>
      </c>
      <c r="Q47" s="3473"/>
      <c r="R47" s="3578">
        <f>E47</f>
        <v>0</v>
      </c>
      <c r="S47" s="3578"/>
      <c r="T47" s="3578">
        <f>G47</f>
        <v>0</v>
      </c>
      <c r="U47" s="3578"/>
      <c r="V47" s="3578">
        <f>I47</f>
        <v>0</v>
      </c>
      <c r="W47" s="3578"/>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27"/>
      <c r="O48" s="2027"/>
      <c r="P48" s="3473" t="str">
        <f>A48</f>
        <v>比较价格（元/平方米）</v>
      </c>
      <c r="Q48" s="3473"/>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494" t="str">
        <f>A49</f>
        <v>估价对象XX用房的比较价格（楼面单价，元/平方米）</v>
      </c>
      <c r="Q49" s="3495"/>
      <c r="R49" s="3577" t="e">
        <f>IF(F1="售价",ROUND(IF(D48="简单平均",AVERAGE(R48:V48),R48*F48+T48*H48+V48*J48),0),ROUND(IF(D48="简单平均",AVERAGE(R48:V48),R48*F48+T48*H48+V48*J48),1))</f>
        <v>#DIV/0!</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8" priority="19" stopIfTrue="1" operator="containsText" text="超过">
      <formula>NOT(ISERROR(SEARCH("超过",F52)))</formula>
    </cfRule>
  </conditionalFormatting>
  <conditionalFormatting sqref="J54">
    <cfRule type="containsText" dxfId="117" priority="18" stopIfTrue="1" operator="containsText" text="超过">
      <formula>NOT(ISERROR(SEARCH("超过",J54)))</formula>
    </cfRule>
  </conditionalFormatting>
  <conditionalFormatting sqref="H54">
    <cfRule type="containsText" dxfId="116" priority="17" stopIfTrue="1" operator="containsText" text="超过">
      <formula>NOT(ISERROR(SEARCH("超过",H54)))</formula>
    </cfRule>
  </conditionalFormatting>
  <conditionalFormatting sqref="F54">
    <cfRule type="containsText" dxfId="115" priority="16" stopIfTrue="1" operator="containsText" text="超过">
      <formula>NOT(ISERROR(SEARCH("超过",F54)))</formula>
    </cfRule>
  </conditionalFormatting>
  <conditionalFormatting sqref="F53 H53 J53">
    <cfRule type="containsText" dxfId="114" priority="15" stopIfTrue="1" operator="containsText" text="超过">
      <formula>NOT(ISERROR(SEARCH("超过",F53)))</formula>
    </cfRule>
  </conditionalFormatting>
  <conditionalFormatting sqref="E52">
    <cfRule type="expression" dxfId="113" priority="14" stopIfTrue="1">
      <formula>$F$52="超过30%"</formula>
    </cfRule>
  </conditionalFormatting>
  <conditionalFormatting sqref="G54">
    <cfRule type="expression" dxfId="112" priority="12" stopIfTrue="1">
      <formula>$H$54="超过30%"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79" t="s">
        <v>516</v>
      </c>
      <c r="D4" s="3480"/>
      <c r="E4" s="3504" t="s">
        <v>517</v>
      </c>
      <c r="F4" s="3505"/>
      <c r="G4" s="3479" t="s">
        <v>518</v>
      </c>
      <c r="H4" s="3480"/>
      <c r="I4" s="3479" t="s">
        <v>519</v>
      </c>
      <c r="J4" s="3480"/>
      <c r="K4" s="508" t="s">
        <v>520</v>
      </c>
      <c r="L4" s="2015"/>
      <c r="M4" s="2016"/>
      <c r="N4" s="2016"/>
      <c r="O4" s="2016"/>
      <c r="P4" s="3481" t="s">
        <v>521</v>
      </c>
      <c r="Q4" s="3482"/>
      <c r="R4" s="3467" t="s">
        <v>517</v>
      </c>
      <c r="S4" s="3468"/>
      <c r="T4" s="3467" t="s">
        <v>518</v>
      </c>
      <c r="U4" s="3468"/>
      <c r="V4" s="3487" t="s">
        <v>519</v>
      </c>
      <c r="W4" s="3487"/>
      <c r="X4" s="1502"/>
      <c r="Y4" s="3467" t="s">
        <v>521</v>
      </c>
      <c r="Z4" s="3468"/>
      <c r="AA4" s="3462" t="s">
        <v>517</v>
      </c>
      <c r="AB4" s="3487" t="s">
        <v>518</v>
      </c>
      <c r="AC4" s="3462" t="s">
        <v>519</v>
      </c>
    </row>
    <row r="5" spans="1:29" ht="15">
      <c r="A5" s="509"/>
      <c r="B5" s="510"/>
      <c r="C5" s="3490" t="s">
        <v>2897</v>
      </c>
      <c r="D5" s="3491"/>
      <c r="E5" s="3506" t="s">
        <v>2898</v>
      </c>
      <c r="F5" s="3507"/>
      <c r="G5" s="3490" t="s">
        <v>2899</v>
      </c>
      <c r="H5" s="3491"/>
      <c r="I5" s="3490" t="s">
        <v>2900</v>
      </c>
      <c r="J5" s="3491"/>
      <c r="K5" s="508"/>
      <c r="L5" s="2015"/>
      <c r="M5" s="2016"/>
      <c r="N5" s="2016"/>
      <c r="O5" s="2016"/>
      <c r="P5" s="3483"/>
      <c r="Q5" s="3484"/>
      <c r="R5" s="3469"/>
      <c r="S5" s="3470"/>
      <c r="T5" s="3469"/>
      <c r="U5" s="3470"/>
      <c r="V5" s="3487"/>
      <c r="W5" s="3487"/>
      <c r="X5" s="1502"/>
      <c r="Y5" s="3469"/>
      <c r="Z5" s="3470"/>
      <c r="AA5" s="3463"/>
      <c r="AB5" s="3487"/>
      <c r="AC5" s="3463"/>
    </row>
    <row r="6" spans="1:29" ht="15.75" thickBot="1">
      <c r="A6" s="511"/>
      <c r="B6" s="512"/>
      <c r="C6" s="3488" t="s">
        <v>2901</v>
      </c>
      <c r="D6" s="3489"/>
      <c r="E6" s="3508" t="s">
        <v>2901</v>
      </c>
      <c r="F6" s="3509"/>
      <c r="G6" s="3488" t="s">
        <v>2901</v>
      </c>
      <c r="H6" s="3489"/>
      <c r="I6" s="3488" t="s">
        <v>2901</v>
      </c>
      <c r="J6" s="3489"/>
      <c r="K6" s="508" t="s">
        <v>522</v>
      </c>
      <c r="L6" s="2015"/>
      <c r="M6" s="2016"/>
      <c r="N6" s="2016"/>
      <c r="O6" s="2016"/>
      <c r="P6" s="3485"/>
      <c r="Q6" s="3486"/>
      <c r="R6" s="3469"/>
      <c r="S6" s="3470"/>
      <c r="T6" s="3471"/>
      <c r="U6" s="3472"/>
      <c r="V6" s="3487"/>
      <c r="W6" s="3487"/>
      <c r="X6" s="1502"/>
      <c r="Y6" s="3471"/>
      <c r="Z6" s="3472"/>
      <c r="AA6" s="3464"/>
      <c r="AB6" s="3487"/>
      <c r="AC6" s="3464"/>
    </row>
    <row r="7" spans="1:29" s="1203" customFormat="1" ht="15.75" thickBot="1">
      <c r="A7" s="2629"/>
      <c r="B7" s="2636" t="s">
        <v>523</v>
      </c>
      <c r="C7" s="513">
        <f>'数据-取费表'!B2</f>
        <v>44269</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65" t="s">
        <v>524</v>
      </c>
      <c r="Q7" s="3474"/>
      <c r="R7" s="1503" t="s">
        <v>8</v>
      </c>
      <c r="S7" s="1504">
        <f t="shared" ref="S7:S15" si="0">F7</f>
        <v>0</v>
      </c>
      <c r="T7" s="1503" t="s">
        <v>8</v>
      </c>
      <c r="U7" s="1504">
        <f t="shared" ref="U7:U15" si="1">H7</f>
        <v>0</v>
      </c>
      <c r="V7" s="1503" t="s">
        <v>8</v>
      </c>
      <c r="W7" s="1504">
        <f t="shared" ref="W7:W15" si="2">J7</f>
        <v>0</v>
      </c>
      <c r="X7" s="1505"/>
      <c r="Y7" s="3465" t="s">
        <v>524</v>
      </c>
      <c r="Z7" s="3466"/>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65" t="s">
        <v>527</v>
      </c>
      <c r="Q8" s="3466"/>
      <c r="R8" s="1503" t="s">
        <v>8</v>
      </c>
      <c r="S8" s="1504">
        <f t="shared" si="0"/>
        <v>0</v>
      </c>
      <c r="T8" s="1503" t="s">
        <v>8</v>
      </c>
      <c r="U8" s="1504">
        <f t="shared" si="1"/>
        <v>0</v>
      </c>
      <c r="V8" s="1503" t="s">
        <v>8</v>
      </c>
      <c r="W8" s="1504">
        <f t="shared" si="2"/>
        <v>0</v>
      </c>
      <c r="X8" s="1505"/>
      <c r="Y8" s="3465" t="s">
        <v>527</v>
      </c>
      <c r="Z8" s="346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73"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73"/>
      <c r="Q11" s="1134" t="str">
        <f t="shared" si="6"/>
        <v>容积率</v>
      </c>
      <c r="R11" s="1503" t="s">
        <v>8</v>
      </c>
      <c r="S11" s="1504" t="e">
        <f t="shared" si="0"/>
        <v>#N/A</v>
      </c>
      <c r="T11" s="1503" t="s">
        <v>8</v>
      </c>
      <c r="U11" s="1504" t="e">
        <f t="shared" si="1"/>
        <v>#N/A</v>
      </c>
      <c r="V11" s="1503" t="s">
        <v>8</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73"/>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475" t="s">
        <v>534</v>
      </c>
      <c r="Q15" s="1507" t="str">
        <f t="shared" si="6"/>
        <v>商业繁华度</v>
      </c>
      <c r="R15" s="1508" t="s">
        <v>8</v>
      </c>
      <c r="S15" s="1509">
        <f t="shared" si="0"/>
        <v>100</v>
      </c>
      <c r="T15" s="1508" t="s">
        <v>8</v>
      </c>
      <c r="U15" s="1509">
        <f t="shared" si="1"/>
        <v>100</v>
      </c>
      <c r="V15" s="1508" t="s">
        <v>8</v>
      </c>
      <c r="W15" s="1509">
        <f t="shared" si="2"/>
        <v>100</v>
      </c>
      <c r="X15" s="1502"/>
      <c r="Y15" s="3475"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6"/>
      <c r="Q16" s="1507"/>
      <c r="R16" s="1508"/>
      <c r="S16" s="1509"/>
      <c r="T16" s="1508"/>
      <c r="U16" s="1509"/>
      <c r="V16" s="1508"/>
      <c r="W16" s="1509"/>
      <c r="X16" s="1502"/>
      <c r="Y16" s="3476"/>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476"/>
      <c r="Q17" s="1507" t="str">
        <f>B17</f>
        <v>交通便捷度</v>
      </c>
      <c r="R17" s="1508" t="s">
        <v>8</v>
      </c>
      <c r="S17" s="1509">
        <f>F17</f>
        <v>100</v>
      </c>
      <c r="T17" s="1508" t="s">
        <v>8</v>
      </c>
      <c r="U17" s="1509">
        <f>H17</f>
        <v>100</v>
      </c>
      <c r="V17" s="1508" t="s">
        <v>8</v>
      </c>
      <c r="W17" s="1509">
        <f>J17</f>
        <v>100</v>
      </c>
      <c r="X17" s="1502"/>
      <c r="Y17" s="347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6"/>
      <c r="Q18" s="1507"/>
      <c r="R18" s="1508"/>
      <c r="S18" s="1509"/>
      <c r="T18" s="1508"/>
      <c r="U18" s="1509"/>
      <c r="V18" s="1508"/>
      <c r="W18" s="1509"/>
      <c r="X18" s="1502"/>
      <c r="Y18" s="3476"/>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476"/>
      <c r="Q19" s="1507" t="str">
        <f>B19</f>
        <v>公共配套设施</v>
      </c>
      <c r="R19" s="1508" t="s">
        <v>8</v>
      </c>
      <c r="S19" s="1509">
        <f>F19</f>
        <v>100</v>
      </c>
      <c r="T19" s="1508" t="s">
        <v>8</v>
      </c>
      <c r="U19" s="1509">
        <f>H19</f>
        <v>100</v>
      </c>
      <c r="V19" s="1508" t="s">
        <v>8</v>
      </c>
      <c r="W19" s="1509">
        <f>J19</f>
        <v>100</v>
      </c>
      <c r="X19" s="1502"/>
      <c r="Y19" s="3476"/>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476"/>
      <c r="Q20" s="1507"/>
      <c r="R20" s="1508"/>
      <c r="S20" s="1509"/>
      <c r="T20" s="1508"/>
      <c r="U20" s="1509"/>
      <c r="V20" s="1508"/>
      <c r="W20" s="1509"/>
      <c r="X20" s="1502"/>
      <c r="Y20" s="3476"/>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476"/>
      <c r="Q21" s="2429" t="str">
        <f>B21</f>
        <v>基础设施水平</v>
      </c>
      <c r="R21" s="1508" t="s">
        <v>8</v>
      </c>
      <c r="S21" s="1509">
        <f>F21</f>
        <v>100</v>
      </c>
      <c r="T21" s="1508" t="s">
        <v>8</v>
      </c>
      <c r="U21" s="1509">
        <f>H21</f>
        <v>100</v>
      </c>
      <c r="V21" s="1508" t="s">
        <v>8</v>
      </c>
      <c r="W21" s="1509">
        <f>J21</f>
        <v>100</v>
      </c>
      <c r="X21" s="2431"/>
      <c r="Y21" s="3476"/>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476"/>
      <c r="Q22" s="2429"/>
      <c r="R22" s="1508"/>
      <c r="S22" s="1509"/>
      <c r="T22" s="1508"/>
      <c r="U22" s="1509"/>
      <c r="V22" s="1508"/>
      <c r="W22" s="1509"/>
      <c r="X22" s="2431"/>
      <c r="Y22" s="3476"/>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476"/>
      <c r="Q23" s="1507" t="str">
        <f>B23</f>
        <v>自然及人文环境</v>
      </c>
      <c r="R23" s="1508" t="s">
        <v>8</v>
      </c>
      <c r="S23" s="1509">
        <f>F23</f>
        <v>100</v>
      </c>
      <c r="T23" s="1508" t="s">
        <v>8</v>
      </c>
      <c r="U23" s="1509">
        <f>H23</f>
        <v>100</v>
      </c>
      <c r="V23" s="1508" t="s">
        <v>8</v>
      </c>
      <c r="W23" s="1509">
        <f>J23</f>
        <v>100</v>
      </c>
      <c r="X23" s="1502"/>
      <c r="Y23" s="3476"/>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476"/>
      <c r="Q24" s="1507"/>
      <c r="R24" s="1508"/>
      <c r="S24" s="1509"/>
      <c r="T24" s="1508"/>
      <c r="U24" s="1509"/>
      <c r="V24" s="1508"/>
      <c r="W24" s="1509"/>
      <c r="X24" s="1502"/>
      <c r="Y24" s="3476"/>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76"/>
      <c r="Q25" s="1507" t="str">
        <f t="shared" ref="Q25:Q46" si="11">B25</f>
        <v>临街状况</v>
      </c>
      <c r="R25" s="1508" t="s">
        <v>8</v>
      </c>
      <c r="S25" s="1509">
        <f>F25</f>
        <v>100</v>
      </c>
      <c r="T25" s="1508" t="s">
        <v>8</v>
      </c>
      <c r="U25" s="1509">
        <f>H25</f>
        <v>100</v>
      </c>
      <c r="V25" s="1508" t="s">
        <v>8</v>
      </c>
      <c r="W25" s="1509">
        <f>J25</f>
        <v>100</v>
      </c>
      <c r="X25" s="1502"/>
      <c r="Y25" s="3476"/>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76"/>
      <c r="Q26" s="1507" t="str">
        <f t="shared" si="11"/>
        <v>平面位置/可视性</v>
      </c>
      <c r="R26" s="1508" t="s">
        <v>8</v>
      </c>
      <c r="S26" s="1509">
        <f>F26</f>
        <v>100</v>
      </c>
      <c r="T26" s="1508" t="s">
        <v>8</v>
      </c>
      <c r="U26" s="1509">
        <f>H26</f>
        <v>100</v>
      </c>
      <c r="V26" s="1508" t="s">
        <v>8</v>
      </c>
      <c r="W26" s="1509">
        <f>J26</f>
        <v>100</v>
      </c>
      <c r="X26" s="1502"/>
      <c r="Y26" s="3476"/>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476"/>
      <c r="Q27" s="1134" t="str">
        <f t="shared" si="11"/>
        <v>人流量</v>
      </c>
      <c r="R27" s="1503" t="s">
        <v>8</v>
      </c>
      <c r="S27" s="1504">
        <f>F27</f>
        <v>100</v>
      </c>
      <c r="T27" s="1503" t="s">
        <v>8</v>
      </c>
      <c r="U27" s="1504">
        <f>H27</f>
        <v>100</v>
      </c>
      <c r="V27" s="1503" t="s">
        <v>8</v>
      </c>
      <c r="W27" s="1504">
        <f>J27</f>
        <v>100</v>
      </c>
      <c r="X27" s="1505"/>
      <c r="Y27" s="3476"/>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76"/>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76"/>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76"/>
      <c r="Q29" s="1507">
        <f t="shared" si="11"/>
        <v>111</v>
      </c>
      <c r="R29" s="1508" t="s">
        <v>8</v>
      </c>
      <c r="S29" s="1509">
        <f t="shared" si="12"/>
        <v>100</v>
      </c>
      <c r="T29" s="1508" t="s">
        <v>8</v>
      </c>
      <c r="U29" s="1509">
        <f t="shared" si="13"/>
        <v>100</v>
      </c>
      <c r="V29" s="1508" t="s">
        <v>8</v>
      </c>
      <c r="W29" s="1509">
        <f t="shared" si="14"/>
        <v>100</v>
      </c>
      <c r="X29" s="1502"/>
      <c r="Y29" s="3476"/>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76"/>
      <c r="Q30" s="1507">
        <f t="shared" si="11"/>
        <v>111</v>
      </c>
      <c r="R30" s="1508" t="s">
        <v>8</v>
      </c>
      <c r="S30" s="1509">
        <f t="shared" si="12"/>
        <v>100</v>
      </c>
      <c r="T30" s="1508" t="s">
        <v>8</v>
      </c>
      <c r="U30" s="1509">
        <f t="shared" si="13"/>
        <v>100</v>
      </c>
      <c r="V30" s="1508" t="s">
        <v>8</v>
      </c>
      <c r="W30" s="1509">
        <f t="shared" si="14"/>
        <v>100</v>
      </c>
      <c r="X30" s="1502"/>
      <c r="Y30" s="3476"/>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76"/>
      <c r="Q31" s="1507">
        <f t="shared" si="11"/>
        <v>111</v>
      </c>
      <c r="R31" s="1508" t="s">
        <v>8</v>
      </c>
      <c r="S31" s="1509">
        <f t="shared" si="12"/>
        <v>100</v>
      </c>
      <c r="T31" s="1508" t="s">
        <v>8</v>
      </c>
      <c r="U31" s="1509">
        <f t="shared" si="13"/>
        <v>100</v>
      </c>
      <c r="V31" s="1508" t="s">
        <v>8</v>
      </c>
      <c r="W31" s="1509">
        <f t="shared" si="14"/>
        <v>100</v>
      </c>
      <c r="X31" s="1502"/>
      <c r="Y31" s="3476"/>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77" t="s">
        <v>544</v>
      </c>
      <c r="Q32" s="1507" t="str">
        <f t="shared" si="11"/>
        <v>商业类型</v>
      </c>
      <c r="R32" s="1508" t="s">
        <v>8</v>
      </c>
      <c r="S32" s="1509">
        <f t="shared" si="12"/>
        <v>100</v>
      </c>
      <c r="T32" s="1508" t="s">
        <v>8</v>
      </c>
      <c r="U32" s="1509">
        <f t="shared" si="13"/>
        <v>100</v>
      </c>
      <c r="V32" s="1508" t="s">
        <v>8</v>
      </c>
      <c r="W32" s="1509">
        <f t="shared" si="14"/>
        <v>100</v>
      </c>
      <c r="X32" s="1502"/>
      <c r="Y32" s="3478"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78"/>
      <c r="Q33" s="1536" t="str">
        <f t="shared" si="11"/>
        <v>项目建筑规模</v>
      </c>
      <c r="R33" s="1512" t="s">
        <v>8</v>
      </c>
      <c r="S33" s="1513" t="e">
        <f t="shared" si="12"/>
        <v>#N/A</v>
      </c>
      <c r="T33" s="1512" t="s">
        <v>8</v>
      </c>
      <c r="U33" s="1513" t="e">
        <f t="shared" si="13"/>
        <v>#N/A</v>
      </c>
      <c r="V33" s="1512" t="s">
        <v>8</v>
      </c>
      <c r="W33" s="1513" t="e">
        <f t="shared" si="14"/>
        <v>#N/A</v>
      </c>
      <c r="X33" s="1514"/>
      <c r="Y33" s="3478"/>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478"/>
      <c r="Q34" s="1507" t="str">
        <f t="shared" si="11"/>
        <v>建筑结构</v>
      </c>
      <c r="R34" s="1508" t="s">
        <v>8</v>
      </c>
      <c r="S34" s="1509">
        <f t="shared" si="12"/>
        <v>100</v>
      </c>
      <c r="T34" s="1508" t="s">
        <v>8</v>
      </c>
      <c r="U34" s="1509">
        <f t="shared" si="13"/>
        <v>100</v>
      </c>
      <c r="V34" s="1508" t="s">
        <v>8</v>
      </c>
      <c r="W34" s="1509">
        <f t="shared" si="14"/>
        <v>100</v>
      </c>
      <c r="X34" s="1502"/>
      <c r="Y34" s="3478"/>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78"/>
      <c r="Q35" s="1507" t="str">
        <f t="shared" si="11"/>
        <v>公共部分装修</v>
      </c>
      <c r="R35" s="1508" t="s">
        <v>8</v>
      </c>
      <c r="S35" s="1509">
        <f t="shared" si="12"/>
        <v>100</v>
      </c>
      <c r="T35" s="1508" t="s">
        <v>8</v>
      </c>
      <c r="U35" s="1509">
        <f t="shared" si="13"/>
        <v>100</v>
      </c>
      <c r="V35" s="1508" t="s">
        <v>8</v>
      </c>
      <c r="W35" s="1509">
        <f t="shared" si="14"/>
        <v>100</v>
      </c>
      <c r="X35" s="1502"/>
      <c r="Y35" s="3478"/>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478"/>
      <c r="Q36" s="1507" t="str">
        <f t="shared" si="11"/>
        <v>成新度</v>
      </c>
      <c r="R36" s="1508" t="s">
        <v>8</v>
      </c>
      <c r="S36" s="1509" t="e">
        <f t="shared" si="12"/>
        <v>#N/A</v>
      </c>
      <c r="T36" s="1508" t="s">
        <v>8</v>
      </c>
      <c r="U36" s="1509" t="e">
        <f t="shared" si="13"/>
        <v>#N/A</v>
      </c>
      <c r="V36" s="1508" t="s">
        <v>8</v>
      </c>
      <c r="W36" s="1509" t="e">
        <f t="shared" si="14"/>
        <v>#N/A</v>
      </c>
      <c r="X36" s="1502"/>
      <c r="Y36" s="3478"/>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78"/>
      <c r="Q37" s="1134" t="str">
        <f t="shared" si="11"/>
        <v>市政基础设施</v>
      </c>
      <c r="R37" s="1503" t="s">
        <v>8</v>
      </c>
      <c r="S37" s="1504">
        <f t="shared" si="12"/>
        <v>100</v>
      </c>
      <c r="T37" s="1503" t="s">
        <v>8</v>
      </c>
      <c r="U37" s="1504">
        <f t="shared" si="13"/>
        <v>100</v>
      </c>
      <c r="V37" s="1503" t="s">
        <v>8</v>
      </c>
      <c r="W37" s="1504">
        <f t="shared" si="14"/>
        <v>100</v>
      </c>
      <c r="X37" s="1505"/>
      <c r="Y37" s="3478"/>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78" t="s">
        <v>760</v>
      </c>
      <c r="Q38" s="1507" t="str">
        <f t="shared" si="11"/>
        <v>业态</v>
      </c>
      <c r="R38" s="1508" t="s">
        <v>8</v>
      </c>
      <c r="S38" s="1509">
        <f t="shared" si="12"/>
        <v>100</v>
      </c>
      <c r="T38" s="1508" t="s">
        <v>8</v>
      </c>
      <c r="U38" s="1509">
        <f t="shared" si="13"/>
        <v>100</v>
      </c>
      <c r="V38" s="1508" t="s">
        <v>8</v>
      </c>
      <c r="W38" s="1509">
        <f t="shared" si="14"/>
        <v>100</v>
      </c>
      <c r="X38" s="1502"/>
      <c r="Y38" s="3478"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78"/>
      <c r="Q39" s="1507" t="str">
        <f t="shared" si="11"/>
        <v>层高</v>
      </c>
      <c r="R39" s="1508" t="s">
        <v>8</v>
      </c>
      <c r="S39" s="1509">
        <f t="shared" si="12"/>
        <v>100</v>
      </c>
      <c r="T39" s="1508" t="s">
        <v>8</v>
      </c>
      <c r="U39" s="1509">
        <f t="shared" si="13"/>
        <v>100</v>
      </c>
      <c r="V39" s="1508" t="s">
        <v>8</v>
      </c>
      <c r="W39" s="1509">
        <f t="shared" si="14"/>
        <v>100</v>
      </c>
      <c r="X39" s="1502"/>
      <c r="Y39" s="3478"/>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478"/>
      <c r="Q40" s="1507" t="str">
        <f t="shared" si="11"/>
        <v>单套建筑面积</v>
      </c>
      <c r="R40" s="1508" t="s">
        <v>8</v>
      </c>
      <c r="S40" s="1509">
        <f t="shared" si="12"/>
        <v>100</v>
      </c>
      <c r="T40" s="1508" t="s">
        <v>8</v>
      </c>
      <c r="U40" s="1509">
        <f t="shared" si="13"/>
        <v>100</v>
      </c>
      <c r="V40" s="1508" t="s">
        <v>8</v>
      </c>
      <c r="W40" s="1509">
        <f t="shared" si="14"/>
        <v>100</v>
      </c>
      <c r="X40" s="1502"/>
      <c r="Y40" s="3478"/>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78"/>
      <c r="Q41" s="1536" t="str">
        <f t="shared" si="11"/>
        <v>进深比</v>
      </c>
      <c r="R41" s="1512" t="s">
        <v>8</v>
      </c>
      <c r="S41" s="1513">
        <f t="shared" si="12"/>
        <v>100</v>
      </c>
      <c r="T41" s="1512" t="s">
        <v>8</v>
      </c>
      <c r="U41" s="1513">
        <f t="shared" si="13"/>
        <v>100</v>
      </c>
      <c r="V41" s="1512" t="s">
        <v>8</v>
      </c>
      <c r="W41" s="1513">
        <f t="shared" si="14"/>
        <v>100</v>
      </c>
      <c r="X41" s="1514"/>
      <c r="Y41" s="3478"/>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78"/>
      <c r="Q42" s="1507" t="str">
        <f t="shared" si="11"/>
        <v>内部装修</v>
      </c>
      <c r="R42" s="1508" t="s">
        <v>8</v>
      </c>
      <c r="S42" s="1509">
        <f t="shared" si="12"/>
        <v>100</v>
      </c>
      <c r="T42" s="1508" t="s">
        <v>8</v>
      </c>
      <c r="U42" s="1509">
        <f t="shared" si="13"/>
        <v>100</v>
      </c>
      <c r="V42" s="1508" t="s">
        <v>8</v>
      </c>
      <c r="W42" s="1509">
        <f t="shared" si="14"/>
        <v>100</v>
      </c>
      <c r="X42" s="1502"/>
      <c r="Y42" s="3478"/>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78"/>
      <c r="Q43" s="1507" t="str">
        <f t="shared" si="11"/>
        <v>内部装修维护情况</v>
      </c>
      <c r="R43" s="1508" t="s">
        <v>8</v>
      </c>
      <c r="S43" s="1509">
        <f t="shared" si="12"/>
        <v>100</v>
      </c>
      <c r="T43" s="1508" t="s">
        <v>8</v>
      </c>
      <c r="U43" s="1509">
        <f t="shared" si="13"/>
        <v>100</v>
      </c>
      <c r="V43" s="1508" t="s">
        <v>8</v>
      </c>
      <c r="W43" s="1509">
        <f t="shared" si="14"/>
        <v>100</v>
      </c>
      <c r="X43" s="1502"/>
      <c r="Y43" s="3478"/>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78"/>
      <c r="Q44" s="1134">
        <f t="shared" si="11"/>
        <v>111</v>
      </c>
      <c r="R44" s="1503" t="s">
        <v>8</v>
      </c>
      <c r="S44" s="1504">
        <f t="shared" si="12"/>
        <v>100</v>
      </c>
      <c r="T44" s="1503" t="s">
        <v>8</v>
      </c>
      <c r="U44" s="1504">
        <f t="shared" si="13"/>
        <v>100</v>
      </c>
      <c r="V44" s="1503" t="s">
        <v>8</v>
      </c>
      <c r="W44" s="1504">
        <f t="shared" si="14"/>
        <v>100</v>
      </c>
      <c r="X44" s="1505"/>
      <c r="Y44" s="3478"/>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78"/>
      <c r="Q45" s="1507">
        <f t="shared" si="11"/>
        <v>111</v>
      </c>
      <c r="R45" s="1508" t="s">
        <v>8</v>
      </c>
      <c r="S45" s="1509">
        <f t="shared" si="12"/>
        <v>100</v>
      </c>
      <c r="T45" s="1508" t="s">
        <v>8</v>
      </c>
      <c r="U45" s="1509">
        <f t="shared" si="13"/>
        <v>100</v>
      </c>
      <c r="V45" s="1508" t="s">
        <v>8</v>
      </c>
      <c r="W45" s="1509">
        <f t="shared" si="14"/>
        <v>100</v>
      </c>
      <c r="X45" s="1502"/>
      <c r="Y45" s="3478"/>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79"/>
      <c r="Q46" s="1507">
        <f t="shared" si="11"/>
        <v>111</v>
      </c>
      <c r="R46" s="1508" t="s">
        <v>8</v>
      </c>
      <c r="S46" s="1509">
        <f t="shared" si="12"/>
        <v>100</v>
      </c>
      <c r="T46" s="1508" t="s">
        <v>8</v>
      </c>
      <c r="U46" s="1509">
        <f t="shared" si="13"/>
        <v>100</v>
      </c>
      <c r="V46" s="1508" t="s">
        <v>8</v>
      </c>
      <c r="W46" s="1509">
        <f t="shared" si="14"/>
        <v>100</v>
      </c>
      <c r="X46" s="1502"/>
      <c r="Y46" s="3579"/>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73" t="str">
        <f>A47</f>
        <v>成交单价（元/平方米）</v>
      </c>
      <c r="Q47" s="3473"/>
      <c r="R47" s="3578">
        <f>E47</f>
        <v>0</v>
      </c>
      <c r="S47" s="3578"/>
      <c r="T47" s="3578">
        <f>G47</f>
        <v>0</v>
      </c>
      <c r="U47" s="3578"/>
      <c r="V47" s="3578">
        <f>I47</f>
        <v>0</v>
      </c>
      <c r="W47" s="3578"/>
      <c r="X47" s="1497"/>
      <c r="Y47" s="1516"/>
      <c r="Z47" s="1497"/>
      <c r="AA47" s="1497"/>
      <c r="AB47" s="1497"/>
      <c r="AC47" s="1497"/>
    </row>
    <row r="48" spans="1:29" ht="15.75" thickBot="1">
      <c r="A48" s="609" t="s">
        <v>2741</v>
      </c>
      <c r="B48" s="877"/>
      <c r="C48" s="2476" t="e">
        <f>R49</f>
        <v>#DIV/0!</v>
      </c>
      <c r="D48" s="3014" t="s">
        <v>2968</v>
      </c>
      <c r="E48" s="2477" t="e">
        <f>R48</f>
        <v>#DIV/0!</v>
      </c>
      <c r="F48" s="3015"/>
      <c r="G48" s="2476" t="e">
        <f>T48</f>
        <v>#DIV/0!</v>
      </c>
      <c r="H48" s="3015"/>
      <c r="I48" s="2477" t="e">
        <f>V48</f>
        <v>#DIV/0!</v>
      </c>
      <c r="J48" s="3015"/>
      <c r="K48" s="3023">
        <f>F48+H48+J48</f>
        <v>0</v>
      </c>
      <c r="L48" s="2026"/>
      <c r="M48" s="2027"/>
      <c r="N48" s="2016"/>
      <c r="O48" s="2027"/>
      <c r="P48" s="3473" t="str">
        <f>A48</f>
        <v>比较价格（元/平方米）</v>
      </c>
      <c r="Q48" s="3473"/>
      <c r="R48" s="3578" t="e">
        <f>IF(F1="售价",ROUND(PRODUCT(R47,AA7:AA46),0),ROUND(PRODUCT(R47,AA7:AA46),1))</f>
        <v>#DIV/0!</v>
      </c>
      <c r="S48" s="3578"/>
      <c r="T48" s="3578" t="e">
        <f>IF(F1="售价",ROUND(PRODUCT(T47,AB7:AB46),0),ROUND(PRODUCT(T47,AB7:AB46),1))</f>
        <v>#DIV/0!</v>
      </c>
      <c r="U48" s="3578"/>
      <c r="V48" s="3578" t="e">
        <f>IF(F1="售价",ROUND(PRODUCT(V47,AC7:AC46),0),ROUND(PRODUCT(V47,AC7:AC46),1))</f>
        <v>#DIV/0!</v>
      </c>
      <c r="W48" s="3578"/>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494" t="str">
        <f>A49</f>
        <v>估价对象XX用房的比较价格（楼面单价，元/平方米）</v>
      </c>
      <c r="Q49" s="3495"/>
      <c r="R49" s="3577" t="e">
        <f>IF(F1="售价",ROUND(IF(D48="简单平均",AVERAGE(R48:V48),R48*F48+T48*H48+V48*J48),0),ROUND(IF(D48="简单平均",AVERAGE(R48:V48),R48*F48+T48*H48+V48*J48),1))</f>
        <v>#DIV/0!</v>
      </c>
      <c r="S49" s="3577"/>
      <c r="T49" s="3577"/>
      <c r="U49" s="3577"/>
      <c r="V49" s="3577"/>
      <c r="W49" s="3577"/>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0" priority="21" stopIfTrue="1" operator="containsText" text="超过">
      <formula>NOT(ISERROR(SEARCH("超过",F52)))</formula>
    </cfRule>
  </conditionalFormatting>
  <conditionalFormatting sqref="H54">
    <cfRule type="containsText" dxfId="99" priority="19" stopIfTrue="1" operator="containsText" text="超过">
      <formula>NOT(ISERROR(SEARCH("超过",H54)))</formula>
    </cfRule>
  </conditionalFormatting>
  <conditionalFormatting sqref="F54">
    <cfRule type="containsText" dxfId="98" priority="18" stopIfTrue="1" operator="containsText" text="超过">
      <formula>NOT(ISERROR(SEARCH("超过",F54)))</formula>
    </cfRule>
  </conditionalFormatting>
  <conditionalFormatting sqref="F53 H53">
    <cfRule type="containsText" dxfId="97" priority="17" stopIfTrue="1" operator="containsText" text="超过">
      <formula>NOT(ISERROR(SEARCH("超过",F53)))</formula>
    </cfRule>
  </conditionalFormatting>
  <conditionalFormatting sqref="E52">
    <cfRule type="expression" dxfId="96" priority="16" stopIfTrue="1">
      <formula>$F$52="超过30%"</formula>
    </cfRule>
  </conditionalFormatting>
  <conditionalFormatting sqref="E53">
    <cfRule type="expression" dxfId="95" priority="15" stopIfTrue="1">
      <formula>$F$53="超过20%"</formula>
    </cfRule>
  </conditionalFormatting>
  <conditionalFormatting sqref="E54">
    <cfRule type="expression" dxfId="94" priority="14" stopIfTrue="1">
      <formula>$F$54="超过30%"</formula>
    </cfRule>
  </conditionalFormatting>
  <conditionalFormatting sqref="G54">
    <cfRule type="expression" dxfId="93" priority="13" stopIfTrue="1">
      <formula>$H$54="超过30%"</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J52">
    <cfRule type="containsText" dxfId="90" priority="10" stopIfTrue="1" operator="containsText" text="超过">
      <formula>NOT(ISERROR(SEARCH("超过",J52)))</formula>
    </cfRule>
  </conditionalFormatting>
  <conditionalFormatting sqref="J54">
    <cfRule type="containsText" dxfId="89" priority="9" stopIfTrue="1" operator="containsText" text="超过">
      <formula>NOT(ISERROR(SEARCH("超过",J54)))</formula>
    </cfRule>
  </conditionalFormatting>
  <conditionalFormatting sqref="J53">
    <cfRule type="containsText" dxfId="88" priority="8" stopIfTrue="1" operator="containsText" text="超过">
      <formula>NOT(ISERROR(SEARCH("超过",J53)))</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F48">
    <cfRule type="expression" dxfId="84" priority="4">
      <formula>$D$48="简单平均"</formula>
    </cfRule>
  </conditionalFormatting>
  <conditionalFormatting sqref="H48">
    <cfRule type="expression" dxfId="83" priority="3">
      <formula>$D$48="简单平均"</formula>
    </cfRule>
  </conditionalFormatting>
  <conditionalFormatting sqref="J48">
    <cfRule type="expression" dxfId="82" priority="2">
      <formula>$D$48="简单平均"</formula>
    </cfRule>
  </conditionalFormatting>
  <conditionalFormatting sqref="F7:F46 H7:H46 J7:J46">
    <cfRule type="cellIs" dxfId="81"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79" t="s">
        <v>516</v>
      </c>
      <c r="D4" s="3480"/>
      <c r="E4" s="3504" t="s">
        <v>517</v>
      </c>
      <c r="F4" s="3505"/>
      <c r="G4" s="3479" t="s">
        <v>518</v>
      </c>
      <c r="H4" s="3480"/>
      <c r="I4" s="3479" t="s">
        <v>519</v>
      </c>
      <c r="J4" s="3480"/>
      <c r="K4" s="508" t="s">
        <v>520</v>
      </c>
      <c r="L4" s="2015"/>
      <c r="M4" s="2016"/>
      <c r="N4" s="2016"/>
      <c r="O4" s="2016"/>
      <c r="P4" s="3580" t="s">
        <v>521</v>
      </c>
      <c r="Q4" s="3482"/>
      <c r="R4" s="3467" t="s">
        <v>517</v>
      </c>
      <c r="S4" s="3468"/>
      <c r="T4" s="3467" t="s">
        <v>518</v>
      </c>
      <c r="U4" s="3468"/>
      <c r="V4" s="3487" t="s">
        <v>519</v>
      </c>
      <c r="W4" s="3487"/>
      <c r="X4" s="1502"/>
      <c r="Y4" s="3467" t="s">
        <v>521</v>
      </c>
      <c r="Z4" s="3468"/>
      <c r="AA4" s="3462" t="s">
        <v>517</v>
      </c>
      <c r="AB4" s="3462" t="s">
        <v>518</v>
      </c>
      <c r="AC4" s="3462" t="s">
        <v>519</v>
      </c>
    </row>
    <row r="5" spans="1:29" ht="15">
      <c r="A5" s="509"/>
      <c r="B5" s="510"/>
      <c r="C5" s="3490" t="s">
        <v>2897</v>
      </c>
      <c r="D5" s="3491"/>
      <c r="E5" s="3506" t="s">
        <v>2898</v>
      </c>
      <c r="F5" s="3507"/>
      <c r="G5" s="3490" t="s">
        <v>2899</v>
      </c>
      <c r="H5" s="3491"/>
      <c r="I5" s="3490" t="s">
        <v>2900</v>
      </c>
      <c r="J5" s="3491"/>
      <c r="K5" s="508"/>
      <c r="L5" s="2015"/>
      <c r="M5" s="2016"/>
      <c r="N5" s="2016"/>
      <c r="O5" s="2016"/>
      <c r="P5" s="3581"/>
      <c r="Q5" s="3484"/>
      <c r="R5" s="3469"/>
      <c r="S5" s="3470"/>
      <c r="T5" s="3469"/>
      <c r="U5" s="3470"/>
      <c r="V5" s="3487"/>
      <c r="W5" s="3487"/>
      <c r="X5" s="1502"/>
      <c r="Y5" s="3469"/>
      <c r="Z5" s="3470"/>
      <c r="AA5" s="3463"/>
      <c r="AB5" s="3463"/>
      <c r="AC5" s="3463"/>
    </row>
    <row r="6" spans="1:29" ht="15.75" thickBot="1">
      <c r="A6" s="511"/>
      <c r="B6" s="512"/>
      <c r="C6" s="3488" t="s">
        <v>2901</v>
      </c>
      <c r="D6" s="3489"/>
      <c r="E6" s="3508" t="s">
        <v>2901</v>
      </c>
      <c r="F6" s="3509"/>
      <c r="G6" s="3488" t="s">
        <v>2901</v>
      </c>
      <c r="H6" s="3489"/>
      <c r="I6" s="3488" t="s">
        <v>2901</v>
      </c>
      <c r="J6" s="3489"/>
      <c r="K6" s="508" t="s">
        <v>522</v>
      </c>
      <c r="L6" s="2015"/>
      <c r="M6" s="2016"/>
      <c r="N6" s="2016"/>
      <c r="O6" s="2016"/>
      <c r="P6" s="3582"/>
      <c r="Q6" s="3486"/>
      <c r="R6" s="3469"/>
      <c r="S6" s="3470"/>
      <c r="T6" s="3471"/>
      <c r="U6" s="3472"/>
      <c r="V6" s="3487"/>
      <c r="W6" s="3487"/>
      <c r="X6" s="1502"/>
      <c r="Y6" s="3471"/>
      <c r="Z6" s="3472"/>
      <c r="AA6" s="3464"/>
      <c r="AB6" s="3464"/>
      <c r="AC6" s="3464"/>
    </row>
    <row r="7" spans="1:29" s="1203" customFormat="1" ht="15.75" thickBot="1">
      <c r="A7" s="2629"/>
      <c r="B7" s="2636" t="s">
        <v>523</v>
      </c>
      <c r="C7" s="513">
        <f>'数据-取费表'!B2</f>
        <v>44269</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74" t="s">
        <v>524</v>
      </c>
      <c r="Q7" s="3474"/>
      <c r="R7" s="1503" t="s">
        <v>8</v>
      </c>
      <c r="S7" s="1504">
        <f t="shared" ref="S7:S15" si="0">F7</f>
        <v>0</v>
      </c>
      <c r="T7" s="1503" t="s">
        <v>8</v>
      </c>
      <c r="U7" s="1504">
        <f t="shared" ref="U7:U15" si="1">H7</f>
        <v>0</v>
      </c>
      <c r="V7" s="1503" t="s">
        <v>8</v>
      </c>
      <c r="W7" s="1504">
        <f t="shared" ref="W7:W15" si="2">J7</f>
        <v>0</v>
      </c>
      <c r="X7" s="1505"/>
      <c r="Y7" s="3465" t="s">
        <v>524</v>
      </c>
      <c r="Z7" s="3466"/>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74" t="s">
        <v>527</v>
      </c>
      <c r="Q8" s="3466"/>
      <c r="R8" s="1503" t="s">
        <v>8</v>
      </c>
      <c r="S8" s="1504">
        <f t="shared" si="0"/>
        <v>0</v>
      </c>
      <c r="T8" s="1503" t="s">
        <v>8</v>
      </c>
      <c r="U8" s="1504">
        <f t="shared" si="1"/>
        <v>0</v>
      </c>
      <c r="V8" s="1503" t="s">
        <v>8</v>
      </c>
      <c r="W8" s="1504">
        <f t="shared" si="2"/>
        <v>0</v>
      </c>
      <c r="X8" s="1505"/>
      <c r="Y8" s="3465" t="s">
        <v>527</v>
      </c>
      <c r="Z8" s="3466"/>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73"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73"/>
      <c r="Q11" s="1134" t="str">
        <f t="shared" si="6"/>
        <v>容积率</v>
      </c>
      <c r="R11" s="1503" t="s">
        <v>8</v>
      </c>
      <c r="S11" s="1504" t="e">
        <f t="shared" si="0"/>
        <v>#N/A</v>
      </c>
      <c r="T11" s="1503" t="s">
        <v>8</v>
      </c>
      <c r="U11" s="1504" t="e">
        <f t="shared" si="1"/>
        <v>#N/A</v>
      </c>
      <c r="V11" s="1503" t="s">
        <v>8</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73"/>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475" t="s">
        <v>534</v>
      </c>
      <c r="Q15" s="1507" t="str">
        <f t="shared" si="6"/>
        <v>办公集聚程度</v>
      </c>
      <c r="R15" s="1508" t="s">
        <v>8</v>
      </c>
      <c r="S15" s="1509">
        <f t="shared" si="0"/>
        <v>100</v>
      </c>
      <c r="T15" s="1508" t="s">
        <v>8</v>
      </c>
      <c r="U15" s="1509">
        <f t="shared" si="1"/>
        <v>100</v>
      </c>
      <c r="V15" s="1508" t="s">
        <v>8</v>
      </c>
      <c r="W15" s="1509">
        <f t="shared" si="2"/>
        <v>100</v>
      </c>
      <c r="X15" s="1502"/>
      <c r="Y15" s="3475"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476"/>
      <c r="Q16" s="1507"/>
      <c r="R16" s="1508"/>
      <c r="S16" s="1509"/>
      <c r="T16" s="1508"/>
      <c r="U16" s="1509"/>
      <c r="V16" s="1508"/>
      <c r="W16" s="1509"/>
      <c r="X16" s="1502"/>
      <c r="Y16" s="3476"/>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476"/>
      <c r="Q17" s="1507" t="str">
        <f>B17</f>
        <v>交通便捷度</v>
      </c>
      <c r="R17" s="1508" t="s">
        <v>8</v>
      </c>
      <c r="S17" s="1509">
        <f>F17</f>
        <v>100</v>
      </c>
      <c r="T17" s="1508" t="s">
        <v>8</v>
      </c>
      <c r="U17" s="1509">
        <f>H17</f>
        <v>100</v>
      </c>
      <c r="V17" s="1508" t="s">
        <v>8</v>
      </c>
      <c r="W17" s="1509">
        <f>J17</f>
        <v>100</v>
      </c>
      <c r="X17" s="1502"/>
      <c r="Y17" s="3476"/>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476"/>
      <c r="Q18" s="1507"/>
      <c r="R18" s="1508"/>
      <c r="S18" s="1509"/>
      <c r="T18" s="1508"/>
      <c r="U18" s="1509"/>
      <c r="V18" s="1508"/>
      <c r="W18" s="1509"/>
      <c r="X18" s="1502"/>
      <c r="Y18" s="3476"/>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476"/>
      <c r="Q19" s="1507" t="str">
        <f>B19</f>
        <v>公共配套设施</v>
      </c>
      <c r="R19" s="1508" t="s">
        <v>8</v>
      </c>
      <c r="S19" s="1509">
        <f>F19</f>
        <v>100</v>
      </c>
      <c r="T19" s="1508" t="s">
        <v>8</v>
      </c>
      <c r="U19" s="1509">
        <f>H19</f>
        <v>100</v>
      </c>
      <c r="V19" s="1508" t="s">
        <v>8</v>
      </c>
      <c r="W19" s="1509">
        <f>J19</f>
        <v>100</v>
      </c>
      <c r="X19" s="1502"/>
      <c r="Y19" s="3476"/>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476"/>
      <c r="Q20" s="1507"/>
      <c r="R20" s="1508"/>
      <c r="S20" s="1509"/>
      <c r="T20" s="1508"/>
      <c r="U20" s="1509"/>
      <c r="V20" s="1508"/>
      <c r="W20" s="1509"/>
      <c r="X20" s="1502"/>
      <c r="Y20" s="3476"/>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476"/>
      <c r="Q21" s="2429" t="str">
        <f>B21</f>
        <v>基础设施水平</v>
      </c>
      <c r="R21" s="1508" t="s">
        <v>8</v>
      </c>
      <c r="S21" s="1509">
        <f>F21</f>
        <v>100</v>
      </c>
      <c r="T21" s="1508" t="s">
        <v>8</v>
      </c>
      <c r="U21" s="1509">
        <f>H21</f>
        <v>100</v>
      </c>
      <c r="V21" s="1508" t="s">
        <v>8</v>
      </c>
      <c r="W21" s="1509">
        <f>J21</f>
        <v>100</v>
      </c>
      <c r="X21" s="2431"/>
      <c r="Y21" s="3476"/>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476"/>
      <c r="Q22" s="2429"/>
      <c r="R22" s="1508"/>
      <c r="S22" s="1509"/>
      <c r="T22" s="1508"/>
      <c r="U22" s="1509"/>
      <c r="V22" s="1508"/>
      <c r="W22" s="1509"/>
      <c r="X22" s="2431"/>
      <c r="Y22" s="3476"/>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476"/>
      <c r="Q23" s="1507" t="str">
        <f>B23</f>
        <v>环境质量</v>
      </c>
      <c r="R23" s="1508" t="s">
        <v>8</v>
      </c>
      <c r="S23" s="1509">
        <f>F23</f>
        <v>100</v>
      </c>
      <c r="T23" s="1508" t="s">
        <v>8</v>
      </c>
      <c r="U23" s="1509">
        <f>H23</f>
        <v>100</v>
      </c>
      <c r="V23" s="1508" t="s">
        <v>8</v>
      </c>
      <c r="W23" s="1509">
        <f>J23</f>
        <v>100</v>
      </c>
      <c r="X23" s="1502"/>
      <c r="Y23" s="3476"/>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476"/>
      <c r="Q24" s="1507"/>
      <c r="R24" s="1508"/>
      <c r="S24" s="1509"/>
      <c r="T24" s="1508"/>
      <c r="U24" s="1509"/>
      <c r="V24" s="1508"/>
      <c r="W24" s="1509"/>
      <c r="X24" s="1502"/>
      <c r="Y24" s="3476"/>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476"/>
      <c r="Q25" s="1507" t="str">
        <f>B25</f>
        <v>毗邻道路的类型与等级</v>
      </c>
      <c r="R25" s="1508" t="s">
        <v>8</v>
      </c>
      <c r="S25" s="1509">
        <f>F25</f>
        <v>100</v>
      </c>
      <c r="T25" s="1508" t="s">
        <v>8</v>
      </c>
      <c r="U25" s="1509">
        <f>H25</f>
        <v>100</v>
      </c>
      <c r="V25" s="1508" t="s">
        <v>8</v>
      </c>
      <c r="W25" s="1509">
        <f>J25</f>
        <v>100</v>
      </c>
      <c r="X25" s="1502"/>
      <c r="Y25" s="3476"/>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476"/>
      <c r="Q26" s="1507"/>
      <c r="R26" s="1508"/>
      <c r="S26" s="1509"/>
      <c r="T26" s="1508"/>
      <c r="U26" s="1509"/>
      <c r="V26" s="1508"/>
      <c r="W26" s="1509"/>
      <c r="X26" s="1502"/>
      <c r="Y26" s="3476"/>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76"/>
      <c r="Q27" s="1507" t="str">
        <f t="shared" ref="Q27:Q47" si="11">B27</f>
        <v>楼层</v>
      </c>
      <c r="R27" s="1508" t="s">
        <v>8</v>
      </c>
      <c r="S27" s="1509">
        <f>F27</f>
        <v>100</v>
      </c>
      <c r="T27" s="1508" t="s">
        <v>8</v>
      </c>
      <c r="U27" s="1509">
        <f>H27</f>
        <v>100</v>
      </c>
      <c r="V27" s="1508" t="s">
        <v>8</v>
      </c>
      <c r="W27" s="1509">
        <f>J27</f>
        <v>100</v>
      </c>
      <c r="X27" s="1502"/>
      <c r="Y27" s="3476"/>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476"/>
      <c r="Q28" s="1134" t="str">
        <f t="shared" si="11"/>
        <v>朝向</v>
      </c>
      <c r="R28" s="1503" t="s">
        <v>8</v>
      </c>
      <c r="S28" s="1504">
        <f>F28</f>
        <v>100</v>
      </c>
      <c r="T28" s="1503" t="s">
        <v>8</v>
      </c>
      <c r="U28" s="1504">
        <f>H28</f>
        <v>100</v>
      </c>
      <c r="V28" s="1503" t="s">
        <v>8</v>
      </c>
      <c r="W28" s="1504">
        <f>J28</f>
        <v>100</v>
      </c>
      <c r="X28" s="1505"/>
      <c r="Y28" s="3476"/>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476"/>
      <c r="Q29" s="1507">
        <f t="shared" si="11"/>
        <v>111</v>
      </c>
      <c r="R29" s="1508" t="s">
        <v>8</v>
      </c>
      <c r="S29" s="1509">
        <f t="shared" ref="S29:S47" si="12">F29</f>
        <v>100</v>
      </c>
      <c r="T29" s="1508" t="s">
        <v>8</v>
      </c>
      <c r="U29" s="1509">
        <f t="shared" ref="U29:U47" si="13">H29</f>
        <v>100</v>
      </c>
      <c r="V29" s="1508" t="s">
        <v>8</v>
      </c>
      <c r="W29" s="1509">
        <f t="shared" ref="W29:W47" si="14">J29</f>
        <v>100</v>
      </c>
      <c r="X29" s="1502"/>
      <c r="Y29" s="3476"/>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476"/>
      <c r="Q30" s="1507">
        <f t="shared" si="11"/>
        <v>111</v>
      </c>
      <c r="R30" s="1508" t="s">
        <v>8</v>
      </c>
      <c r="S30" s="1509">
        <f t="shared" si="12"/>
        <v>100</v>
      </c>
      <c r="T30" s="1508" t="s">
        <v>8</v>
      </c>
      <c r="U30" s="1509">
        <f t="shared" si="13"/>
        <v>100</v>
      </c>
      <c r="V30" s="1508" t="s">
        <v>8</v>
      </c>
      <c r="W30" s="1509">
        <f t="shared" si="14"/>
        <v>100</v>
      </c>
      <c r="X30" s="1502"/>
      <c r="Y30" s="3476"/>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476"/>
      <c r="Q31" s="1507">
        <f t="shared" si="11"/>
        <v>111</v>
      </c>
      <c r="R31" s="1508" t="s">
        <v>8</v>
      </c>
      <c r="S31" s="1509">
        <f t="shared" si="12"/>
        <v>100</v>
      </c>
      <c r="T31" s="1508" t="s">
        <v>8</v>
      </c>
      <c r="U31" s="1509">
        <f t="shared" si="13"/>
        <v>100</v>
      </c>
      <c r="V31" s="1508" t="s">
        <v>8</v>
      </c>
      <c r="W31" s="1509">
        <f t="shared" si="14"/>
        <v>100</v>
      </c>
      <c r="X31" s="1502"/>
      <c r="Y31" s="3476"/>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476"/>
      <c r="Q32" s="1507">
        <f t="shared" si="11"/>
        <v>111</v>
      </c>
      <c r="R32" s="1508" t="s">
        <v>8</v>
      </c>
      <c r="S32" s="1509">
        <f t="shared" si="12"/>
        <v>100</v>
      </c>
      <c r="T32" s="1508" t="s">
        <v>8</v>
      </c>
      <c r="U32" s="1509">
        <f t="shared" si="13"/>
        <v>100</v>
      </c>
      <c r="V32" s="1508" t="s">
        <v>8</v>
      </c>
      <c r="W32" s="1509">
        <f t="shared" si="14"/>
        <v>100</v>
      </c>
      <c r="X32" s="1502"/>
      <c r="Y32" s="3476"/>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477" t="s">
        <v>544</v>
      </c>
      <c r="Q33" s="1507" t="str">
        <f t="shared" si="11"/>
        <v>建筑类型</v>
      </c>
      <c r="R33" s="1508" t="s">
        <v>8</v>
      </c>
      <c r="S33" s="1509">
        <f t="shared" si="12"/>
        <v>100</v>
      </c>
      <c r="T33" s="1508" t="s">
        <v>8</v>
      </c>
      <c r="U33" s="1509">
        <f t="shared" si="13"/>
        <v>100</v>
      </c>
      <c r="V33" s="1508" t="s">
        <v>8</v>
      </c>
      <c r="W33" s="1509">
        <f t="shared" si="14"/>
        <v>100</v>
      </c>
      <c r="X33" s="1502"/>
      <c r="Y33" s="3478"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78"/>
      <c r="Q34" s="1536" t="str">
        <f t="shared" si="11"/>
        <v>项目建筑规模</v>
      </c>
      <c r="R34" s="1512" t="s">
        <v>8</v>
      </c>
      <c r="S34" s="1513" t="e">
        <f t="shared" si="12"/>
        <v>#N/A</v>
      </c>
      <c r="T34" s="1512" t="s">
        <v>8</v>
      </c>
      <c r="U34" s="1513" t="e">
        <f t="shared" si="13"/>
        <v>#N/A</v>
      </c>
      <c r="V34" s="1512" t="s">
        <v>8</v>
      </c>
      <c r="W34" s="1513" t="e">
        <f t="shared" si="14"/>
        <v>#N/A</v>
      </c>
      <c r="X34" s="1514"/>
      <c r="Y34" s="3478"/>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78"/>
      <c r="Q35" s="1507" t="str">
        <f t="shared" si="11"/>
        <v>建筑结构</v>
      </c>
      <c r="R35" s="1508" t="s">
        <v>8</v>
      </c>
      <c r="S35" s="1509">
        <f t="shared" si="12"/>
        <v>100</v>
      </c>
      <c r="T35" s="1508" t="s">
        <v>8</v>
      </c>
      <c r="U35" s="1509">
        <f t="shared" si="13"/>
        <v>100</v>
      </c>
      <c r="V35" s="1508" t="s">
        <v>8</v>
      </c>
      <c r="W35" s="1509">
        <f t="shared" si="14"/>
        <v>100</v>
      </c>
      <c r="X35" s="1502"/>
      <c r="Y35" s="3478"/>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78"/>
      <c r="Q36" s="1507" t="str">
        <f t="shared" si="11"/>
        <v>公共部分装修</v>
      </c>
      <c r="R36" s="1508" t="s">
        <v>8</v>
      </c>
      <c r="S36" s="1509">
        <f t="shared" si="12"/>
        <v>100</v>
      </c>
      <c r="T36" s="1508" t="s">
        <v>8</v>
      </c>
      <c r="U36" s="1509">
        <f t="shared" si="13"/>
        <v>100</v>
      </c>
      <c r="V36" s="1508" t="s">
        <v>8</v>
      </c>
      <c r="W36" s="1509">
        <f t="shared" si="14"/>
        <v>100</v>
      </c>
      <c r="X36" s="1502"/>
      <c r="Y36" s="3478"/>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478"/>
      <c r="Q37" s="1507" t="str">
        <f t="shared" si="11"/>
        <v>成新度</v>
      </c>
      <c r="R37" s="1508" t="s">
        <v>8</v>
      </c>
      <c r="S37" s="1509" t="e">
        <f t="shared" si="12"/>
        <v>#N/A</v>
      </c>
      <c r="T37" s="1508" t="s">
        <v>8</v>
      </c>
      <c r="U37" s="1509" t="e">
        <f t="shared" si="13"/>
        <v>#N/A</v>
      </c>
      <c r="V37" s="1508" t="s">
        <v>8</v>
      </c>
      <c r="W37" s="1509" t="e">
        <f t="shared" si="14"/>
        <v>#N/A</v>
      </c>
      <c r="X37" s="1502"/>
      <c r="Y37" s="3478"/>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78"/>
      <c r="Q38" s="1134" t="str">
        <f t="shared" si="11"/>
        <v>写字楼等级</v>
      </c>
      <c r="R38" s="1503" t="s">
        <v>8</v>
      </c>
      <c r="S38" s="1504">
        <f t="shared" si="12"/>
        <v>100</v>
      </c>
      <c r="T38" s="1503" t="s">
        <v>8</v>
      </c>
      <c r="U38" s="1504">
        <f t="shared" si="13"/>
        <v>100</v>
      </c>
      <c r="V38" s="1503" t="s">
        <v>8</v>
      </c>
      <c r="W38" s="1504">
        <f t="shared" si="14"/>
        <v>100</v>
      </c>
      <c r="X38" s="1505"/>
      <c r="Y38" s="3478"/>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78" t="s">
        <v>544</v>
      </c>
      <c r="Q39" s="1507" t="str">
        <f t="shared" si="11"/>
        <v>物业管理</v>
      </c>
      <c r="R39" s="1508" t="s">
        <v>8</v>
      </c>
      <c r="S39" s="1509">
        <f t="shared" si="12"/>
        <v>100</v>
      </c>
      <c r="T39" s="1508" t="s">
        <v>8</v>
      </c>
      <c r="U39" s="1509">
        <f t="shared" si="13"/>
        <v>100</v>
      </c>
      <c r="V39" s="1508" t="s">
        <v>8</v>
      </c>
      <c r="W39" s="1509">
        <f t="shared" si="14"/>
        <v>100</v>
      </c>
      <c r="X39" s="1502"/>
      <c r="Y39" s="3478"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78"/>
      <c r="Q40" s="1507" t="str">
        <f t="shared" si="11"/>
        <v>市政基础设施</v>
      </c>
      <c r="R40" s="1508" t="s">
        <v>8</v>
      </c>
      <c r="S40" s="1509">
        <f t="shared" si="12"/>
        <v>100</v>
      </c>
      <c r="T40" s="1508" t="s">
        <v>8</v>
      </c>
      <c r="U40" s="1509">
        <f t="shared" si="13"/>
        <v>100</v>
      </c>
      <c r="V40" s="1508" t="s">
        <v>8</v>
      </c>
      <c r="W40" s="1509">
        <f t="shared" si="14"/>
        <v>100</v>
      </c>
      <c r="X40" s="1502"/>
      <c r="Y40" s="3478"/>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78"/>
      <c r="Q41" s="1507" t="str">
        <f t="shared" si="11"/>
        <v>层高</v>
      </c>
      <c r="R41" s="1508" t="s">
        <v>8</v>
      </c>
      <c r="S41" s="1509">
        <f t="shared" si="12"/>
        <v>100</v>
      </c>
      <c r="T41" s="1508" t="s">
        <v>8</v>
      </c>
      <c r="U41" s="1509">
        <f t="shared" si="13"/>
        <v>100</v>
      </c>
      <c r="V41" s="1508" t="s">
        <v>8</v>
      </c>
      <c r="W41" s="1509">
        <f t="shared" si="14"/>
        <v>100</v>
      </c>
      <c r="X41" s="1502"/>
      <c r="Y41" s="3478"/>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78"/>
      <c r="Q42" s="1536" t="str">
        <f t="shared" si="11"/>
        <v>单套建筑面积</v>
      </c>
      <c r="R42" s="1512" t="s">
        <v>8</v>
      </c>
      <c r="S42" s="1513">
        <f t="shared" si="12"/>
        <v>100</v>
      </c>
      <c r="T42" s="1512" t="s">
        <v>8</v>
      </c>
      <c r="U42" s="1513">
        <f t="shared" si="13"/>
        <v>100</v>
      </c>
      <c r="V42" s="1512" t="s">
        <v>8</v>
      </c>
      <c r="W42" s="1513">
        <f t="shared" si="14"/>
        <v>100</v>
      </c>
      <c r="X42" s="1514"/>
      <c r="Y42" s="3478"/>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78"/>
      <c r="Q43" s="1507" t="str">
        <f t="shared" si="11"/>
        <v>内部装修</v>
      </c>
      <c r="R43" s="1508" t="s">
        <v>8</v>
      </c>
      <c r="S43" s="1509">
        <f t="shared" si="12"/>
        <v>100</v>
      </c>
      <c r="T43" s="1508" t="s">
        <v>8</v>
      </c>
      <c r="U43" s="1509">
        <f t="shared" si="13"/>
        <v>100</v>
      </c>
      <c r="V43" s="1508" t="s">
        <v>8</v>
      </c>
      <c r="W43" s="1509">
        <f t="shared" si="14"/>
        <v>100</v>
      </c>
      <c r="X43" s="1502"/>
      <c r="Y43" s="3478"/>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78"/>
      <c r="Q44" s="1507" t="str">
        <f t="shared" si="11"/>
        <v>内部装修维护情况</v>
      </c>
      <c r="R44" s="1508" t="s">
        <v>8</v>
      </c>
      <c r="S44" s="1509">
        <f t="shared" si="12"/>
        <v>100</v>
      </c>
      <c r="T44" s="1508" t="s">
        <v>8</v>
      </c>
      <c r="U44" s="1509">
        <f t="shared" si="13"/>
        <v>100</v>
      </c>
      <c r="V44" s="1508" t="s">
        <v>8</v>
      </c>
      <c r="W44" s="1509">
        <f t="shared" si="14"/>
        <v>100</v>
      </c>
      <c r="X44" s="1502"/>
      <c r="Y44" s="3478"/>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78"/>
      <c r="Q45" s="1134">
        <f t="shared" si="11"/>
        <v>111</v>
      </c>
      <c r="R45" s="1503" t="s">
        <v>8</v>
      </c>
      <c r="S45" s="1504">
        <f t="shared" si="12"/>
        <v>100</v>
      </c>
      <c r="T45" s="1503" t="s">
        <v>8</v>
      </c>
      <c r="U45" s="1504">
        <f t="shared" si="13"/>
        <v>100</v>
      </c>
      <c r="V45" s="1503" t="s">
        <v>8</v>
      </c>
      <c r="W45" s="1504">
        <f t="shared" si="14"/>
        <v>100</v>
      </c>
      <c r="X45" s="1505"/>
      <c r="Y45" s="3478"/>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78"/>
      <c r="Q46" s="1507">
        <f t="shared" si="11"/>
        <v>111</v>
      </c>
      <c r="R46" s="1508" t="s">
        <v>8</v>
      </c>
      <c r="S46" s="1509">
        <f t="shared" si="12"/>
        <v>100</v>
      </c>
      <c r="T46" s="1508" t="s">
        <v>8</v>
      </c>
      <c r="U46" s="1509">
        <f t="shared" si="13"/>
        <v>100</v>
      </c>
      <c r="V46" s="1508" t="s">
        <v>8</v>
      </c>
      <c r="W46" s="1509">
        <f t="shared" si="14"/>
        <v>100</v>
      </c>
      <c r="X46" s="1502"/>
      <c r="Y46" s="3478"/>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79"/>
      <c r="Q47" s="1507">
        <f t="shared" si="11"/>
        <v>111</v>
      </c>
      <c r="R47" s="1508" t="s">
        <v>8</v>
      </c>
      <c r="S47" s="1509">
        <f t="shared" si="12"/>
        <v>100</v>
      </c>
      <c r="T47" s="1508" t="s">
        <v>8</v>
      </c>
      <c r="U47" s="1509">
        <f t="shared" si="13"/>
        <v>100</v>
      </c>
      <c r="V47" s="1508" t="s">
        <v>8</v>
      </c>
      <c r="W47" s="1509">
        <f t="shared" si="14"/>
        <v>100</v>
      </c>
      <c r="X47" s="1502"/>
      <c r="Y47" s="3579"/>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95" t="str">
        <f>A48</f>
        <v>成交单价（元/平方米）</v>
      </c>
      <c r="Q48" s="3473"/>
      <c r="R48" s="3578">
        <f>E48</f>
        <v>0</v>
      </c>
      <c r="S48" s="3578"/>
      <c r="T48" s="3578">
        <f>G48</f>
        <v>0</v>
      </c>
      <c r="U48" s="3578"/>
      <c r="V48" s="3578">
        <f>I48</f>
        <v>0</v>
      </c>
      <c r="W48" s="3578"/>
      <c r="X48" s="1497"/>
      <c r="Y48" s="1516"/>
      <c r="Z48" s="1497"/>
      <c r="AA48" s="1497"/>
      <c r="AB48" s="1497"/>
      <c r="AC48" s="1497"/>
    </row>
    <row r="49" spans="1:29" ht="15.75" thickBot="1">
      <c r="A49" s="609" t="s">
        <v>2741</v>
      </c>
      <c r="B49" s="877"/>
      <c r="C49" s="2476" t="e">
        <f>R50</f>
        <v>#DIV/0!</v>
      </c>
      <c r="D49" s="3014" t="s">
        <v>2968</v>
      </c>
      <c r="E49" s="2477" t="e">
        <f>R49</f>
        <v>#DIV/0!</v>
      </c>
      <c r="F49" s="3015"/>
      <c r="G49" s="2476" t="e">
        <f>T49</f>
        <v>#DIV/0!</v>
      </c>
      <c r="H49" s="3015"/>
      <c r="I49" s="2477" t="e">
        <f>V49</f>
        <v>#DIV/0!</v>
      </c>
      <c r="J49" s="3015"/>
      <c r="K49" s="3023">
        <f>F49+H49+J49</f>
        <v>0</v>
      </c>
      <c r="L49" s="2026"/>
      <c r="M49" s="2016"/>
      <c r="N49" s="2016"/>
      <c r="O49" s="2016"/>
      <c r="P49" s="3495" t="str">
        <f>A49</f>
        <v>比较价格（元/平方米）</v>
      </c>
      <c r="Q49" s="3473"/>
      <c r="R49" s="3578" t="e">
        <f>IF(F1="售价",ROUND(PRODUCT(R48,AA7:AA47),0),ROUND(PRODUCT(R48,AA7:AA47),1))</f>
        <v>#DIV/0!</v>
      </c>
      <c r="S49" s="3578"/>
      <c r="T49" s="3578" t="e">
        <f>IF(F1="售价",ROUND(PRODUCT(T48,AB7:AB47),0),ROUND(PRODUCT(T48,AB7:AB47),1))</f>
        <v>#DIV/0!</v>
      </c>
      <c r="U49" s="3578"/>
      <c r="V49" s="3578" t="e">
        <f>IF(F1="售价",ROUND(PRODUCT(V48,AC7:AC47),0),ROUND(PRODUCT(V48,AC7:AC47),1))</f>
        <v>#DIV/0!</v>
      </c>
      <c r="W49" s="3578"/>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583" t="str">
        <f>A50</f>
        <v>估价对象XX用房的比较价格（楼面单价，元/平方米）</v>
      </c>
      <c r="Q50" s="3495"/>
      <c r="R50" s="3577" t="e">
        <f>IF(F1="售价",ROUND(IF(D49="简单平均",AVERAGE(R49:V49),R49*F49+T49*H49+V49*J49),0),ROUND(IF(D49="简单平均",AVERAGE(R49:V49),R49*F49+T49*H49+V49*J49),1))</f>
        <v>#DIV/0!</v>
      </c>
      <c r="S50" s="3577"/>
      <c r="T50" s="3577"/>
      <c r="U50" s="3577"/>
      <c r="V50" s="3577"/>
      <c r="W50" s="3577"/>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20" stopIfTrue="1" operator="containsText" text="超过">
      <formula>NOT(ISERROR(SEARCH("超过",F53)))</formula>
    </cfRule>
  </conditionalFormatting>
  <conditionalFormatting sqref="H55">
    <cfRule type="containsText" dxfId="79" priority="19" stopIfTrue="1" operator="containsText" text="超过">
      <formula>NOT(ISERROR(SEARCH("超过",H55)))</formula>
    </cfRule>
  </conditionalFormatting>
  <conditionalFormatting sqref="F55">
    <cfRule type="containsText" dxfId="78" priority="18" stopIfTrue="1" operator="containsText" text="超过">
      <formula>NOT(ISERROR(SEARCH("超过",F55)))</formula>
    </cfRule>
  </conditionalFormatting>
  <conditionalFormatting sqref="F54 H54">
    <cfRule type="containsText" dxfId="77" priority="17" stopIfTrue="1" operator="containsText" text="超过">
      <formula>NOT(ISERROR(SEARCH("超过",F54)))</formula>
    </cfRule>
  </conditionalFormatting>
  <conditionalFormatting sqref="E53">
    <cfRule type="expression" dxfId="76" priority="16" stopIfTrue="1">
      <formula>$F$53="超过30%"</formula>
    </cfRule>
  </conditionalFormatting>
  <conditionalFormatting sqref="E54">
    <cfRule type="expression" dxfId="75" priority="15" stopIfTrue="1">
      <formula>$F$54="超过20%"</formula>
    </cfRule>
  </conditionalFormatting>
  <conditionalFormatting sqref="E55">
    <cfRule type="expression" dxfId="74" priority="14" stopIfTrue="1">
      <formula>$F$55="超过30%"</formula>
    </cfRule>
  </conditionalFormatting>
  <conditionalFormatting sqref="G55">
    <cfRule type="expression" dxfId="73" priority="13" stopIfTrue="1">
      <formula>$H$55="超过30%"</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J53">
    <cfRule type="containsText" dxfId="70" priority="10" stopIfTrue="1" operator="containsText" text="超过">
      <formula>NOT(ISERROR(SEARCH("超过",J53)))</formula>
    </cfRule>
  </conditionalFormatting>
  <conditionalFormatting sqref="J55">
    <cfRule type="containsText" dxfId="69" priority="9" stopIfTrue="1" operator="containsText" text="超过">
      <formula>NOT(ISERROR(SEARCH("超过",J55)))</formula>
    </cfRule>
  </conditionalFormatting>
  <conditionalFormatting sqref="J54">
    <cfRule type="containsText" dxfId="68" priority="8" stopIfTrue="1" operator="containsText" text="超过">
      <formula>NOT(ISERROR(SEARCH("超过",J54)))</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F49">
    <cfRule type="expression" dxfId="64" priority="4">
      <formula>$D$49="简单平均"</formula>
    </cfRule>
  </conditionalFormatting>
  <conditionalFormatting sqref="H49">
    <cfRule type="expression" dxfId="63" priority="3">
      <formula>$D$49="简单平均"</formula>
    </cfRule>
  </conditionalFormatting>
  <conditionalFormatting sqref="J49">
    <cfRule type="expression" dxfId="62" priority="2">
      <formula>$D$49="简单平均"</formula>
    </cfRule>
  </conditionalFormatting>
  <conditionalFormatting sqref="F7:F47 H7:H47 J7:J47">
    <cfRule type="cellIs" dxfId="61"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79" t="s">
        <v>516</v>
      </c>
      <c r="D4" s="3480"/>
      <c r="E4" s="3504" t="s">
        <v>517</v>
      </c>
      <c r="F4" s="3505"/>
      <c r="G4" s="3479" t="s">
        <v>518</v>
      </c>
      <c r="H4" s="3480"/>
      <c r="I4" s="3479" t="s">
        <v>519</v>
      </c>
      <c r="J4" s="3480"/>
      <c r="K4" s="508" t="s">
        <v>520</v>
      </c>
      <c r="L4" s="2015"/>
      <c r="M4" s="2016"/>
      <c r="N4" s="2016"/>
      <c r="O4" s="2016"/>
      <c r="P4" s="3481" t="s">
        <v>521</v>
      </c>
      <c r="Q4" s="3482"/>
      <c r="R4" s="3467" t="s">
        <v>517</v>
      </c>
      <c r="S4" s="3468"/>
      <c r="T4" s="3467" t="s">
        <v>518</v>
      </c>
      <c r="U4" s="3468"/>
      <c r="V4" s="3487" t="s">
        <v>519</v>
      </c>
      <c r="W4" s="3487"/>
      <c r="X4" s="1502"/>
      <c r="Y4" s="3467" t="s">
        <v>521</v>
      </c>
      <c r="Z4" s="3468"/>
      <c r="AA4" s="3462" t="s">
        <v>517</v>
      </c>
      <c r="AB4" s="3463" t="s">
        <v>518</v>
      </c>
      <c r="AC4" s="3462" t="s">
        <v>519</v>
      </c>
    </row>
    <row r="5" spans="1:29" ht="15">
      <c r="A5" s="509"/>
      <c r="B5" s="510"/>
      <c r="C5" s="3490" t="s">
        <v>2897</v>
      </c>
      <c r="D5" s="3491"/>
      <c r="E5" s="3506" t="s">
        <v>2898</v>
      </c>
      <c r="F5" s="3507"/>
      <c r="G5" s="3490" t="s">
        <v>2899</v>
      </c>
      <c r="H5" s="3491"/>
      <c r="I5" s="3490" t="s">
        <v>2900</v>
      </c>
      <c r="J5" s="3491"/>
      <c r="K5" s="508"/>
      <c r="L5" s="2015"/>
      <c r="M5" s="2016"/>
      <c r="N5" s="2016"/>
      <c r="O5" s="2016"/>
      <c r="P5" s="3483"/>
      <c r="Q5" s="3484"/>
      <c r="R5" s="3469"/>
      <c r="S5" s="3470"/>
      <c r="T5" s="3469"/>
      <c r="U5" s="3470"/>
      <c r="V5" s="3487"/>
      <c r="W5" s="3487"/>
      <c r="X5" s="1502"/>
      <c r="Y5" s="3469"/>
      <c r="Z5" s="3470"/>
      <c r="AA5" s="3463"/>
      <c r="AB5" s="3463"/>
      <c r="AC5" s="3463"/>
    </row>
    <row r="6" spans="1:29" ht="15.75" thickBot="1">
      <c r="A6" s="511"/>
      <c r="B6" s="512"/>
      <c r="C6" s="3488" t="s">
        <v>2901</v>
      </c>
      <c r="D6" s="3489"/>
      <c r="E6" s="3508" t="s">
        <v>2901</v>
      </c>
      <c r="F6" s="3509"/>
      <c r="G6" s="3488" t="s">
        <v>2901</v>
      </c>
      <c r="H6" s="3489"/>
      <c r="I6" s="3488" t="s">
        <v>2901</v>
      </c>
      <c r="J6" s="3489"/>
      <c r="K6" s="508" t="s">
        <v>522</v>
      </c>
      <c r="L6" s="2015"/>
      <c r="M6" s="2016"/>
      <c r="N6" s="2016"/>
      <c r="O6" s="2016"/>
      <c r="P6" s="3485"/>
      <c r="Q6" s="3486"/>
      <c r="R6" s="3469"/>
      <c r="S6" s="3470"/>
      <c r="T6" s="3471"/>
      <c r="U6" s="3472"/>
      <c r="V6" s="3487"/>
      <c r="W6" s="3487"/>
      <c r="X6" s="1502"/>
      <c r="Y6" s="3471"/>
      <c r="Z6" s="3472"/>
      <c r="AA6" s="3464"/>
      <c r="AB6" s="3464"/>
      <c r="AC6" s="3464"/>
    </row>
    <row r="7" spans="1:29" s="1203" customFormat="1" ht="15.75" thickBot="1">
      <c r="A7" s="2629"/>
      <c r="B7" s="2636" t="s">
        <v>523</v>
      </c>
      <c r="C7" s="513">
        <f>'数据-取费表'!B2</f>
        <v>44269</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65" t="s">
        <v>524</v>
      </c>
      <c r="Q7" s="3474"/>
      <c r="R7" s="1503" t="s">
        <v>8</v>
      </c>
      <c r="S7" s="1504">
        <f t="shared" ref="S7:S15" si="0">F7</f>
        <v>0</v>
      </c>
      <c r="T7" s="1503" t="s">
        <v>8</v>
      </c>
      <c r="U7" s="1504">
        <f t="shared" ref="U7:U15" si="1">H7</f>
        <v>0</v>
      </c>
      <c r="V7" s="1503" t="s">
        <v>8</v>
      </c>
      <c r="W7" s="1504">
        <f t="shared" ref="W7:W15" si="2">J7</f>
        <v>0</v>
      </c>
      <c r="X7" s="1505"/>
      <c r="Y7" s="3465" t="s">
        <v>524</v>
      </c>
      <c r="Z7" s="3466"/>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65" t="s">
        <v>527</v>
      </c>
      <c r="Q8" s="3466"/>
      <c r="R8" s="1503" t="s">
        <v>8</v>
      </c>
      <c r="S8" s="1504">
        <f t="shared" si="0"/>
        <v>0</v>
      </c>
      <c r="T8" s="1503" t="s">
        <v>8</v>
      </c>
      <c r="U8" s="1504">
        <f t="shared" si="1"/>
        <v>0</v>
      </c>
      <c r="V8" s="1503" t="s">
        <v>8</v>
      </c>
      <c r="W8" s="1504">
        <f t="shared" si="2"/>
        <v>0</v>
      </c>
      <c r="X8" s="1505"/>
      <c r="Y8" s="3465" t="s">
        <v>527</v>
      </c>
      <c r="Z8" s="3466"/>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73" t="s">
        <v>529</v>
      </c>
      <c r="Q9" s="1134" t="str">
        <f t="shared" ref="Q9:Q15" si="6">B9</f>
        <v>用途</v>
      </c>
      <c r="R9" s="1503" t="s">
        <v>8</v>
      </c>
      <c r="S9" s="1504">
        <f t="shared" si="0"/>
        <v>100</v>
      </c>
      <c r="T9" s="1503" t="s">
        <v>8</v>
      </c>
      <c r="U9" s="1504">
        <f t="shared" si="1"/>
        <v>100</v>
      </c>
      <c r="V9" s="1503" t="s">
        <v>8</v>
      </c>
      <c r="W9" s="1504">
        <f t="shared" si="2"/>
        <v>100</v>
      </c>
      <c r="X9" s="1505"/>
      <c r="Y9" s="3424"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73"/>
      <c r="Q11" s="1134" t="str">
        <f t="shared" si="6"/>
        <v>容积率</v>
      </c>
      <c r="R11" s="1503" t="s">
        <v>8</v>
      </c>
      <c r="S11" s="1504" t="e">
        <f t="shared" si="0"/>
        <v>#N/A</v>
      </c>
      <c r="T11" s="1503" t="s">
        <v>8</v>
      </c>
      <c r="U11" s="1504" t="e">
        <f t="shared" si="1"/>
        <v>#N/A</v>
      </c>
      <c r="V11" s="1503" t="s">
        <v>8</v>
      </c>
      <c r="W11" s="1504" t="e">
        <f t="shared" si="2"/>
        <v>#N/A</v>
      </c>
      <c r="X11" s="1505"/>
      <c r="Y11" s="3424"/>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73"/>
      <c r="Q14" s="1134">
        <f t="shared" si="6"/>
        <v>111</v>
      </c>
      <c r="R14" s="1503" t="s">
        <v>8</v>
      </c>
      <c r="S14" s="1504">
        <f t="shared" si="0"/>
        <v>100</v>
      </c>
      <c r="T14" s="1503" t="s">
        <v>8</v>
      </c>
      <c r="U14" s="1504">
        <f t="shared" si="1"/>
        <v>100</v>
      </c>
      <c r="V14" s="1503" t="s">
        <v>8</v>
      </c>
      <c r="W14" s="1504">
        <f t="shared" si="2"/>
        <v>100</v>
      </c>
      <c r="X14" s="1505"/>
      <c r="Y14" s="3424"/>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475" t="s">
        <v>534</v>
      </c>
      <c r="Q15" s="1507" t="str">
        <f t="shared" si="6"/>
        <v>产业集聚程度</v>
      </c>
      <c r="R15" s="1508" t="s">
        <v>8</v>
      </c>
      <c r="S15" s="1509">
        <f t="shared" si="0"/>
        <v>100</v>
      </c>
      <c r="T15" s="1508" t="s">
        <v>8</v>
      </c>
      <c r="U15" s="1509">
        <f t="shared" si="1"/>
        <v>100</v>
      </c>
      <c r="V15" s="1508" t="s">
        <v>8</v>
      </c>
      <c r="W15" s="1509">
        <f t="shared" si="2"/>
        <v>100</v>
      </c>
      <c r="X15" s="1502"/>
      <c r="Y15" s="3475"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476"/>
      <c r="Q16" s="1507"/>
      <c r="R16" s="1508"/>
      <c r="S16" s="1509"/>
      <c r="T16" s="1508"/>
      <c r="U16" s="1509"/>
      <c r="V16" s="1508"/>
      <c r="W16" s="1509"/>
      <c r="X16" s="1502"/>
      <c r="Y16" s="3476"/>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476"/>
      <c r="Q17" s="1507" t="str">
        <f>B17</f>
        <v>交通便捷度</v>
      </c>
      <c r="R17" s="1508" t="s">
        <v>8</v>
      </c>
      <c r="S17" s="1509">
        <f>F17</f>
        <v>100</v>
      </c>
      <c r="T17" s="1508" t="s">
        <v>8</v>
      </c>
      <c r="U17" s="1509">
        <f>H17</f>
        <v>100</v>
      </c>
      <c r="V17" s="1508" t="s">
        <v>8</v>
      </c>
      <c r="W17" s="1509">
        <f>J17</f>
        <v>100</v>
      </c>
      <c r="X17" s="1502"/>
      <c r="Y17" s="3476"/>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476"/>
      <c r="Q18" s="1507"/>
      <c r="R18" s="1508"/>
      <c r="S18" s="1509"/>
      <c r="T18" s="1508"/>
      <c r="U18" s="1509"/>
      <c r="V18" s="1508"/>
      <c r="W18" s="1509"/>
      <c r="X18" s="1502"/>
      <c r="Y18" s="3476"/>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476"/>
      <c r="Q19" s="1507" t="str">
        <f>B19</f>
        <v>公共配套设施</v>
      </c>
      <c r="R19" s="1508" t="s">
        <v>8</v>
      </c>
      <c r="S19" s="1509">
        <f>F19</f>
        <v>100</v>
      </c>
      <c r="T19" s="1508" t="s">
        <v>8</v>
      </c>
      <c r="U19" s="1509">
        <f>H19</f>
        <v>100</v>
      </c>
      <c r="V19" s="1508" t="s">
        <v>8</v>
      </c>
      <c r="W19" s="1509">
        <f>J19</f>
        <v>100</v>
      </c>
      <c r="X19" s="1502"/>
      <c r="Y19" s="3476"/>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476"/>
      <c r="Q20" s="1507"/>
      <c r="R20" s="1508"/>
      <c r="S20" s="1509"/>
      <c r="T20" s="1508"/>
      <c r="U20" s="1509"/>
      <c r="V20" s="1508"/>
      <c r="W20" s="1509"/>
      <c r="X20" s="1502"/>
      <c r="Y20" s="3476"/>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476"/>
      <c r="Q21" s="2429" t="str">
        <f>B21</f>
        <v>基础设施水平</v>
      </c>
      <c r="R21" s="1508" t="s">
        <v>8</v>
      </c>
      <c r="S21" s="1509">
        <f>F21</f>
        <v>100</v>
      </c>
      <c r="T21" s="1508" t="s">
        <v>8</v>
      </c>
      <c r="U21" s="1509">
        <f>H21</f>
        <v>100</v>
      </c>
      <c r="V21" s="1508" t="s">
        <v>8</v>
      </c>
      <c r="W21" s="1509">
        <f>J21</f>
        <v>100</v>
      </c>
      <c r="X21" s="2431"/>
      <c r="Y21" s="3476"/>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476"/>
      <c r="Q22" s="2429"/>
      <c r="R22" s="1508"/>
      <c r="S22" s="1509"/>
      <c r="T22" s="1508"/>
      <c r="U22" s="1509"/>
      <c r="V22" s="1508"/>
      <c r="W22" s="1509"/>
      <c r="X22" s="2431"/>
      <c r="Y22" s="3476"/>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476"/>
      <c r="Q23" s="1507" t="str">
        <f>B23</f>
        <v>环境质量</v>
      </c>
      <c r="R23" s="1508" t="s">
        <v>8</v>
      </c>
      <c r="S23" s="1509">
        <f>F23</f>
        <v>100</v>
      </c>
      <c r="T23" s="1508" t="s">
        <v>8</v>
      </c>
      <c r="U23" s="1509">
        <f>H23</f>
        <v>100</v>
      </c>
      <c r="V23" s="1508" t="s">
        <v>8</v>
      </c>
      <c r="W23" s="1509">
        <f>J23</f>
        <v>100</v>
      </c>
      <c r="X23" s="1502"/>
      <c r="Y23" s="3476"/>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476"/>
      <c r="Q24" s="1507"/>
      <c r="R24" s="1508"/>
      <c r="S24" s="1509"/>
      <c r="T24" s="1508"/>
      <c r="U24" s="1509"/>
      <c r="V24" s="1508"/>
      <c r="W24" s="1509"/>
      <c r="X24" s="1502"/>
      <c r="Y24" s="3476"/>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76"/>
      <c r="Q25" s="1507">
        <f>B25</f>
        <v>111</v>
      </c>
      <c r="R25" s="1508" t="s">
        <v>8</v>
      </c>
      <c r="S25" s="1509">
        <f>F25</f>
        <v>100</v>
      </c>
      <c r="T25" s="1508" t="s">
        <v>8</v>
      </c>
      <c r="U25" s="1509">
        <f>H25</f>
        <v>100</v>
      </c>
      <c r="V25" s="1508" t="s">
        <v>8</v>
      </c>
      <c r="W25" s="1509">
        <f>J25</f>
        <v>100</v>
      </c>
      <c r="X25" s="1502"/>
      <c r="Y25" s="3476"/>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76"/>
      <c r="Q26" s="1507">
        <f t="shared" ref="Q26:Q40" si="11">B26</f>
        <v>111</v>
      </c>
      <c r="R26" s="1508" t="s">
        <v>8</v>
      </c>
      <c r="S26" s="1509">
        <f>F26</f>
        <v>100</v>
      </c>
      <c r="T26" s="1508" t="s">
        <v>8</v>
      </c>
      <c r="U26" s="1509">
        <f>H26</f>
        <v>100</v>
      </c>
      <c r="V26" s="1508" t="s">
        <v>8</v>
      </c>
      <c r="W26" s="1509">
        <f>J26</f>
        <v>100</v>
      </c>
      <c r="X26" s="1502"/>
      <c r="Y26" s="3476"/>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76"/>
      <c r="Q27" s="1134">
        <f t="shared" si="11"/>
        <v>111</v>
      </c>
      <c r="R27" s="1503" t="s">
        <v>8</v>
      </c>
      <c r="S27" s="1504">
        <f>F27</f>
        <v>100</v>
      </c>
      <c r="T27" s="1503" t="s">
        <v>8</v>
      </c>
      <c r="U27" s="1504">
        <f>H27</f>
        <v>100</v>
      </c>
      <c r="V27" s="1503" t="s">
        <v>8</v>
      </c>
      <c r="W27" s="1504">
        <f>J27</f>
        <v>100</v>
      </c>
      <c r="X27" s="1505"/>
      <c r="Y27" s="3476"/>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476"/>
      <c r="Q28" s="1507">
        <f t="shared" si="11"/>
        <v>111</v>
      </c>
      <c r="R28" s="1508" t="s">
        <v>8</v>
      </c>
      <c r="S28" s="1509">
        <f t="shared" ref="S28:S40" si="12">F28</f>
        <v>100</v>
      </c>
      <c r="T28" s="1508" t="s">
        <v>8</v>
      </c>
      <c r="U28" s="1509">
        <f t="shared" ref="U28:U40" si="13">H28</f>
        <v>100</v>
      </c>
      <c r="V28" s="1508" t="s">
        <v>8</v>
      </c>
      <c r="W28" s="1509">
        <f t="shared" ref="W28:W40" si="14">J28</f>
        <v>100</v>
      </c>
      <c r="X28" s="1502"/>
      <c r="Y28" s="3476"/>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477" t="s">
        <v>544</v>
      </c>
      <c r="Q29" s="1507" t="str">
        <f t="shared" si="11"/>
        <v>建筑类型</v>
      </c>
      <c r="R29" s="1508" t="s">
        <v>8</v>
      </c>
      <c r="S29" s="1509">
        <f t="shared" si="12"/>
        <v>100</v>
      </c>
      <c r="T29" s="1508" t="s">
        <v>8</v>
      </c>
      <c r="U29" s="1509">
        <f t="shared" si="13"/>
        <v>100</v>
      </c>
      <c r="V29" s="1508" t="s">
        <v>8</v>
      </c>
      <c r="W29" s="1509">
        <f t="shared" si="14"/>
        <v>100</v>
      </c>
      <c r="X29" s="1502"/>
      <c r="Y29" s="3478"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78"/>
      <c r="Q30" s="1536" t="str">
        <f t="shared" si="11"/>
        <v>项目建筑规模</v>
      </c>
      <c r="R30" s="1512" t="s">
        <v>8</v>
      </c>
      <c r="S30" s="1513" t="e">
        <f t="shared" si="12"/>
        <v>#N/A</v>
      </c>
      <c r="T30" s="1512" t="s">
        <v>8</v>
      </c>
      <c r="U30" s="1513" t="e">
        <f t="shared" si="13"/>
        <v>#N/A</v>
      </c>
      <c r="V30" s="1512" t="s">
        <v>8</v>
      </c>
      <c r="W30" s="1513" t="e">
        <f t="shared" si="14"/>
        <v>#N/A</v>
      </c>
      <c r="X30" s="1514"/>
      <c r="Y30" s="3478"/>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78"/>
      <c r="Q31" s="1507" t="str">
        <f t="shared" si="11"/>
        <v>建筑结构</v>
      </c>
      <c r="R31" s="1508" t="s">
        <v>8</v>
      </c>
      <c r="S31" s="1509">
        <f t="shared" si="12"/>
        <v>100</v>
      </c>
      <c r="T31" s="1508" t="s">
        <v>8</v>
      </c>
      <c r="U31" s="1509">
        <f t="shared" si="13"/>
        <v>100</v>
      </c>
      <c r="V31" s="1508" t="s">
        <v>8</v>
      </c>
      <c r="W31" s="1509">
        <f t="shared" si="14"/>
        <v>100</v>
      </c>
      <c r="X31" s="1502"/>
      <c r="Y31" s="3478"/>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78"/>
      <c r="Q32" s="1507" t="str">
        <f t="shared" si="11"/>
        <v>公共部分装修</v>
      </c>
      <c r="R32" s="1508" t="s">
        <v>8</v>
      </c>
      <c r="S32" s="1509">
        <f t="shared" si="12"/>
        <v>100</v>
      </c>
      <c r="T32" s="1508" t="s">
        <v>8</v>
      </c>
      <c r="U32" s="1509">
        <f t="shared" si="13"/>
        <v>100</v>
      </c>
      <c r="V32" s="1508" t="s">
        <v>8</v>
      </c>
      <c r="W32" s="1509">
        <f t="shared" si="14"/>
        <v>100</v>
      </c>
      <c r="X32" s="1502"/>
      <c r="Y32" s="3478"/>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478"/>
      <c r="Q33" s="1507" t="str">
        <f t="shared" si="11"/>
        <v>成新度</v>
      </c>
      <c r="R33" s="1508" t="s">
        <v>8</v>
      </c>
      <c r="S33" s="1509" t="e">
        <f t="shared" si="12"/>
        <v>#N/A</v>
      </c>
      <c r="T33" s="1508" t="s">
        <v>8</v>
      </c>
      <c r="U33" s="1509" t="e">
        <f t="shared" si="13"/>
        <v>#N/A</v>
      </c>
      <c r="V33" s="1508" t="s">
        <v>8</v>
      </c>
      <c r="W33" s="1509" t="e">
        <f t="shared" si="14"/>
        <v>#N/A</v>
      </c>
      <c r="X33" s="1502"/>
      <c r="Y33" s="3478"/>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78"/>
      <c r="Q34" s="1134" t="str">
        <f t="shared" si="11"/>
        <v>物业管理</v>
      </c>
      <c r="R34" s="1503" t="s">
        <v>8</v>
      </c>
      <c r="S34" s="1504">
        <f t="shared" si="12"/>
        <v>100</v>
      </c>
      <c r="T34" s="1503" t="s">
        <v>8</v>
      </c>
      <c r="U34" s="1504">
        <f t="shared" si="13"/>
        <v>100</v>
      </c>
      <c r="V34" s="1503" t="s">
        <v>8</v>
      </c>
      <c r="W34" s="1504">
        <f t="shared" si="14"/>
        <v>100</v>
      </c>
      <c r="X34" s="1505"/>
      <c r="Y34" s="3478"/>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78" t="s">
        <v>544</v>
      </c>
      <c r="Q35" s="1507" t="str">
        <f t="shared" si="11"/>
        <v>市政基础设施</v>
      </c>
      <c r="R35" s="1508" t="s">
        <v>8</v>
      </c>
      <c r="S35" s="1509">
        <f t="shared" si="12"/>
        <v>100</v>
      </c>
      <c r="T35" s="1508" t="s">
        <v>8</v>
      </c>
      <c r="U35" s="1509">
        <f t="shared" si="13"/>
        <v>100</v>
      </c>
      <c r="V35" s="1508" t="s">
        <v>8</v>
      </c>
      <c r="W35" s="1509">
        <f t="shared" si="14"/>
        <v>100</v>
      </c>
      <c r="X35" s="1502"/>
      <c r="Y35" s="3478"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78"/>
      <c r="Q36" s="1507" t="str">
        <f t="shared" si="11"/>
        <v>内部装修</v>
      </c>
      <c r="R36" s="1508" t="s">
        <v>8</v>
      </c>
      <c r="S36" s="1509">
        <f t="shared" si="12"/>
        <v>100</v>
      </c>
      <c r="T36" s="1508" t="s">
        <v>8</v>
      </c>
      <c r="U36" s="1509">
        <f t="shared" si="13"/>
        <v>100</v>
      </c>
      <c r="V36" s="1508" t="s">
        <v>8</v>
      </c>
      <c r="W36" s="1509">
        <f t="shared" si="14"/>
        <v>100</v>
      </c>
      <c r="X36" s="1502"/>
      <c r="Y36" s="3478"/>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78"/>
      <c r="Q37" s="1507" t="str">
        <f t="shared" si="11"/>
        <v>内部装修状况</v>
      </c>
      <c r="R37" s="1508" t="s">
        <v>8</v>
      </c>
      <c r="S37" s="1509">
        <f t="shared" si="12"/>
        <v>100</v>
      </c>
      <c r="T37" s="1508" t="s">
        <v>8</v>
      </c>
      <c r="U37" s="1509">
        <f t="shared" si="13"/>
        <v>100</v>
      </c>
      <c r="V37" s="1508" t="s">
        <v>8</v>
      </c>
      <c r="W37" s="1509">
        <f t="shared" si="14"/>
        <v>100</v>
      </c>
      <c r="X37" s="1502"/>
      <c r="Y37" s="3478"/>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478"/>
      <c r="Q38" s="1536">
        <f t="shared" si="11"/>
        <v>111</v>
      </c>
      <c r="R38" s="1512" t="s">
        <v>8</v>
      </c>
      <c r="S38" s="1513">
        <f t="shared" si="12"/>
        <v>100</v>
      </c>
      <c r="T38" s="1512" t="s">
        <v>8</v>
      </c>
      <c r="U38" s="1513">
        <f t="shared" si="13"/>
        <v>100</v>
      </c>
      <c r="V38" s="1512" t="s">
        <v>8</v>
      </c>
      <c r="W38" s="1513">
        <f t="shared" si="14"/>
        <v>100</v>
      </c>
      <c r="X38" s="1514"/>
      <c r="Y38" s="3478"/>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478"/>
      <c r="Q39" s="1507">
        <f t="shared" si="11"/>
        <v>111</v>
      </c>
      <c r="R39" s="1508" t="s">
        <v>8</v>
      </c>
      <c r="S39" s="1509">
        <f t="shared" si="12"/>
        <v>100</v>
      </c>
      <c r="T39" s="1508" t="s">
        <v>8</v>
      </c>
      <c r="U39" s="1509">
        <f t="shared" si="13"/>
        <v>100</v>
      </c>
      <c r="V39" s="1508" t="s">
        <v>8</v>
      </c>
      <c r="W39" s="1509">
        <f t="shared" si="14"/>
        <v>100</v>
      </c>
      <c r="X39" s="1502"/>
      <c r="Y39" s="3478"/>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79"/>
      <c r="Q40" s="1507">
        <f t="shared" si="11"/>
        <v>111</v>
      </c>
      <c r="R40" s="1508" t="s">
        <v>8</v>
      </c>
      <c r="S40" s="1509">
        <f t="shared" si="12"/>
        <v>100</v>
      </c>
      <c r="T40" s="1508" t="s">
        <v>8</v>
      </c>
      <c r="U40" s="1509">
        <f t="shared" si="13"/>
        <v>100</v>
      </c>
      <c r="V40" s="1508" t="s">
        <v>8</v>
      </c>
      <c r="W40" s="1509">
        <f t="shared" si="14"/>
        <v>100</v>
      </c>
      <c r="X40" s="1502"/>
      <c r="Y40" s="3579"/>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73" t="str">
        <f>A41</f>
        <v>成交单价（元/平方米）</v>
      </c>
      <c r="Q41" s="3473"/>
      <c r="R41" s="3578">
        <f>E41</f>
        <v>0</v>
      </c>
      <c r="S41" s="3578"/>
      <c r="T41" s="3578">
        <f>G41</f>
        <v>0</v>
      </c>
      <c r="U41" s="3578"/>
      <c r="V41" s="3578">
        <f>I41</f>
        <v>0</v>
      </c>
      <c r="W41" s="3578"/>
      <c r="X41" s="1497"/>
      <c r="Y41" s="1516"/>
      <c r="Z41" s="1497"/>
      <c r="AA41" s="1497"/>
      <c r="AB41" s="1497"/>
      <c r="AC41" s="1497"/>
    </row>
    <row r="42" spans="1:29" ht="15.75" thickBot="1">
      <c r="A42" s="609" t="s">
        <v>2741</v>
      </c>
      <c r="B42" s="877"/>
      <c r="C42" s="2476" t="e">
        <f>R43</f>
        <v>#DIV/0!</v>
      </c>
      <c r="D42" s="3014" t="s">
        <v>2968</v>
      </c>
      <c r="E42" s="2477" t="e">
        <f>R42</f>
        <v>#DIV/0!</v>
      </c>
      <c r="F42" s="3015"/>
      <c r="G42" s="2476" t="e">
        <f>T42</f>
        <v>#DIV/0!</v>
      </c>
      <c r="H42" s="3015"/>
      <c r="I42" s="2477" t="e">
        <f>V42</f>
        <v>#DIV/0!</v>
      </c>
      <c r="J42" s="3015"/>
      <c r="K42" s="3023">
        <f>F42+H42+J42</f>
        <v>0</v>
      </c>
      <c r="L42" s="2026"/>
      <c r="M42" s="2027"/>
      <c r="N42" s="2016"/>
      <c r="O42" s="2027"/>
      <c r="P42" s="3473" t="str">
        <f>A42</f>
        <v>比较价格（元/平方米）</v>
      </c>
      <c r="Q42" s="3473"/>
      <c r="R42" s="3578" t="e">
        <f>IF(F1="售价",ROUND(PRODUCT(R41,AA7:AA40),0),ROUND(PRODUCT(R41,AA7:AA40),1))</f>
        <v>#DIV/0!</v>
      </c>
      <c r="S42" s="3578"/>
      <c r="T42" s="3578" t="e">
        <f>IF(F1="售价",ROUND(PRODUCT(T41,AB7:AB40),0),ROUND(PRODUCT(T41,AB7:AB40),1))</f>
        <v>#DIV/0!</v>
      </c>
      <c r="U42" s="3578"/>
      <c r="V42" s="3578" t="e">
        <f>IF(F1="售价",ROUND(PRODUCT(V41,AC7:AC40),0),ROUND(PRODUCT(V41,AC7:AC40),1))</f>
        <v>#DIV/0!</v>
      </c>
      <c r="W42" s="3578"/>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494" t="str">
        <f>A43</f>
        <v>估价对象XX用房的比较价格（楼面单价，元/平方米）</v>
      </c>
      <c r="Q43" s="3495"/>
      <c r="R43" s="3577" t="e">
        <f>IF(F1="售价",ROUND(IF(D42="简单平均",AVERAGE(R42:V42),R42*F42+T42*H42+V42*J42),0),ROUND(IF(D42="简单平均",AVERAGE(R42:V42),R42*F42+T42*H42+V42*J42),1))</f>
        <v>#DIV/0!</v>
      </c>
      <c r="S43" s="3577"/>
      <c r="T43" s="3577"/>
      <c r="U43" s="3577"/>
      <c r="V43" s="3577"/>
      <c r="W43" s="3577"/>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0" priority="20" stopIfTrue="1" operator="containsText" text="超过">
      <formula>NOT(ISERROR(SEARCH("超过",F46)))</formula>
    </cfRule>
  </conditionalFormatting>
  <conditionalFormatting sqref="H48">
    <cfRule type="containsText" dxfId="59" priority="19" stopIfTrue="1" operator="containsText" text="超过">
      <formula>NOT(ISERROR(SEARCH("超过",H48)))</formula>
    </cfRule>
  </conditionalFormatting>
  <conditionalFormatting sqref="F48">
    <cfRule type="containsText" dxfId="58" priority="18" stopIfTrue="1" operator="containsText" text="超过">
      <formula>NOT(ISERROR(SEARCH("超过",F48)))</formula>
    </cfRule>
  </conditionalFormatting>
  <conditionalFormatting sqref="F47 H47">
    <cfRule type="containsText" dxfId="57" priority="17" stopIfTrue="1" operator="containsText" text="超过">
      <formula>NOT(ISERROR(SEARCH("超过",F47)))</formula>
    </cfRule>
  </conditionalFormatting>
  <conditionalFormatting sqref="E46">
    <cfRule type="expression" dxfId="56" priority="16" stopIfTrue="1">
      <formula>$F$46="超过30%"</formula>
    </cfRule>
  </conditionalFormatting>
  <conditionalFormatting sqref="E47">
    <cfRule type="expression" dxfId="55" priority="15" stopIfTrue="1">
      <formula>$F$47="超过20%"</formula>
    </cfRule>
  </conditionalFormatting>
  <conditionalFormatting sqref="E48">
    <cfRule type="expression" dxfId="54" priority="14" stopIfTrue="1">
      <formula>$F$48="超过30%"</formula>
    </cfRule>
  </conditionalFormatting>
  <conditionalFormatting sqref="G48">
    <cfRule type="expression" dxfId="53" priority="13" stopIfTrue="1">
      <formula>$H$48="超过30%"</formula>
    </cfRule>
  </conditionalFormatting>
  <conditionalFormatting sqref="G46">
    <cfRule type="expression" dxfId="52" priority="12" stopIfTrue="1">
      <formula>$H$46="超过30%"</formula>
    </cfRule>
  </conditionalFormatting>
  <conditionalFormatting sqref="G47">
    <cfRule type="expression" dxfId="51" priority="11" stopIfTrue="1">
      <formula>$H$47="超过20%"</formula>
    </cfRule>
  </conditionalFormatting>
  <conditionalFormatting sqref="J46">
    <cfRule type="containsText" dxfId="50" priority="10" stopIfTrue="1" operator="containsText" text="超过">
      <formula>NOT(ISERROR(SEARCH("超过",J46)))</formula>
    </cfRule>
  </conditionalFormatting>
  <conditionalFormatting sqref="J48">
    <cfRule type="containsText" dxfId="49" priority="9" stopIfTrue="1" operator="containsText" text="超过">
      <formula>NOT(ISERROR(SEARCH("超过",J48)))</formula>
    </cfRule>
  </conditionalFormatting>
  <conditionalFormatting sqref="J47">
    <cfRule type="containsText" dxfId="48" priority="8" stopIfTrue="1" operator="containsText" text="超过">
      <formula>NOT(ISERROR(SEARCH("超过",J47)))</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F7:F40 H7:H40 J7:J40">
    <cfRule type="cellIs" dxfId="41"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79" t="s">
        <v>792</v>
      </c>
      <c r="D4" s="3480"/>
      <c r="E4" s="3479" t="s">
        <v>793</v>
      </c>
      <c r="F4" s="3480"/>
      <c r="G4" s="3479" t="s">
        <v>794</v>
      </c>
      <c r="H4" s="3480"/>
      <c r="I4" s="3479" t="s">
        <v>795</v>
      </c>
      <c r="J4" s="3480"/>
      <c r="K4" s="508" t="s">
        <v>796</v>
      </c>
      <c r="L4" s="2015"/>
      <c r="M4" s="2016"/>
      <c r="N4" s="2016"/>
      <c r="O4" s="2016"/>
      <c r="P4" s="3481" t="s">
        <v>797</v>
      </c>
      <c r="Q4" s="3482"/>
      <c r="R4" s="3467" t="s">
        <v>793</v>
      </c>
      <c r="S4" s="3468"/>
      <c r="T4" s="3467" t="s">
        <v>794</v>
      </c>
      <c r="U4" s="3468"/>
      <c r="V4" s="3487" t="s">
        <v>795</v>
      </c>
      <c r="W4" s="3487"/>
      <c r="X4" s="1502"/>
      <c r="Y4" s="3467" t="s">
        <v>797</v>
      </c>
      <c r="Z4" s="3468"/>
      <c r="AA4" s="3462" t="s">
        <v>793</v>
      </c>
      <c r="AB4" s="3463" t="s">
        <v>794</v>
      </c>
      <c r="AC4" s="3462" t="s">
        <v>795</v>
      </c>
    </row>
    <row r="5" spans="1:29" ht="15">
      <c r="A5" s="509"/>
      <c r="B5" s="510"/>
      <c r="C5" s="3490" t="s">
        <v>2897</v>
      </c>
      <c r="D5" s="3491"/>
      <c r="E5" s="3490" t="s">
        <v>2898</v>
      </c>
      <c r="F5" s="3491"/>
      <c r="G5" s="3490" t="s">
        <v>2899</v>
      </c>
      <c r="H5" s="3491"/>
      <c r="I5" s="3490" t="s">
        <v>2900</v>
      </c>
      <c r="J5" s="3491"/>
      <c r="K5" s="508"/>
      <c r="L5" s="2015"/>
      <c r="M5" s="2016"/>
      <c r="N5" s="2016"/>
      <c r="O5" s="2016"/>
      <c r="P5" s="3483"/>
      <c r="Q5" s="3484"/>
      <c r="R5" s="3469"/>
      <c r="S5" s="3470"/>
      <c r="T5" s="3469"/>
      <c r="U5" s="3470"/>
      <c r="V5" s="3487"/>
      <c r="W5" s="3487"/>
      <c r="X5" s="1502"/>
      <c r="Y5" s="3469"/>
      <c r="Z5" s="3470"/>
      <c r="AA5" s="3463"/>
      <c r="AB5" s="3463"/>
      <c r="AC5" s="3463"/>
    </row>
    <row r="6" spans="1:29" ht="15.75" thickBot="1">
      <c r="A6" s="511"/>
      <c r="B6" s="512"/>
      <c r="C6" s="3488" t="s">
        <v>2901</v>
      </c>
      <c r="D6" s="3489"/>
      <c r="E6" s="3492" t="s">
        <v>2901</v>
      </c>
      <c r="F6" s="3493"/>
      <c r="G6" s="3488" t="s">
        <v>2901</v>
      </c>
      <c r="H6" s="3489"/>
      <c r="I6" s="3488" t="s">
        <v>2901</v>
      </c>
      <c r="J6" s="3489"/>
      <c r="K6" s="508" t="s">
        <v>522</v>
      </c>
      <c r="L6" s="2015"/>
      <c r="M6" s="2016"/>
      <c r="N6" s="2016"/>
      <c r="O6" s="2016"/>
      <c r="P6" s="3485"/>
      <c r="Q6" s="3486"/>
      <c r="R6" s="3469"/>
      <c r="S6" s="3470"/>
      <c r="T6" s="3471"/>
      <c r="U6" s="3472"/>
      <c r="V6" s="3487"/>
      <c r="W6" s="3487"/>
      <c r="X6" s="1502"/>
      <c r="Y6" s="3471"/>
      <c r="Z6" s="3472"/>
      <c r="AA6" s="3464"/>
      <c r="AB6" s="3464"/>
      <c r="AC6" s="3464"/>
    </row>
    <row r="7" spans="1:29" s="1203" customFormat="1" ht="15.75" thickBot="1">
      <c r="A7" s="2629"/>
      <c r="B7" s="2636" t="s">
        <v>523</v>
      </c>
      <c r="C7" s="513">
        <f>'数据-取费表'!B2</f>
        <v>44269</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65" t="s">
        <v>524</v>
      </c>
      <c r="Q7" s="3474"/>
      <c r="R7" s="1503" t="s">
        <v>8</v>
      </c>
      <c r="S7" s="1504">
        <f t="shared" ref="S7:S14" si="0">F7</f>
        <v>0</v>
      </c>
      <c r="T7" s="1503" t="s">
        <v>8</v>
      </c>
      <c r="U7" s="1504">
        <f t="shared" ref="U7:U14" si="1">H7</f>
        <v>0</v>
      </c>
      <c r="V7" s="1503" t="s">
        <v>8</v>
      </c>
      <c r="W7" s="1504">
        <f t="shared" ref="W7:W14" si="2">J7</f>
        <v>0</v>
      </c>
      <c r="X7" s="1505"/>
      <c r="Y7" s="3465" t="s">
        <v>524</v>
      </c>
      <c r="Z7" s="3466"/>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65" t="s">
        <v>527</v>
      </c>
      <c r="Q8" s="3466"/>
      <c r="R8" s="1503" t="s">
        <v>8</v>
      </c>
      <c r="S8" s="1504">
        <f t="shared" si="0"/>
        <v>0</v>
      </c>
      <c r="T8" s="1503" t="s">
        <v>8</v>
      </c>
      <c r="U8" s="1504">
        <f t="shared" si="1"/>
        <v>0</v>
      </c>
      <c r="V8" s="1503" t="s">
        <v>8</v>
      </c>
      <c r="W8" s="1504">
        <f t="shared" si="2"/>
        <v>0</v>
      </c>
      <c r="X8" s="1505"/>
      <c r="Y8" s="3465" t="s">
        <v>527</v>
      </c>
      <c r="Z8" s="3466"/>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73" t="s">
        <v>529</v>
      </c>
      <c r="Q9" s="1134" t="str">
        <f t="shared" ref="Q9:Q14" si="6">B9</f>
        <v>用途</v>
      </c>
      <c r="R9" s="1503" t="s">
        <v>8</v>
      </c>
      <c r="S9" s="1504">
        <f t="shared" si="0"/>
        <v>100</v>
      </c>
      <c r="T9" s="1503" t="s">
        <v>8</v>
      </c>
      <c r="U9" s="1504">
        <f t="shared" si="1"/>
        <v>100</v>
      </c>
      <c r="V9" s="1503" t="s">
        <v>8</v>
      </c>
      <c r="W9" s="1504">
        <f t="shared" si="2"/>
        <v>100</v>
      </c>
      <c r="X9" s="1505"/>
      <c r="Y9" s="3424"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73"/>
      <c r="Q11" s="1134">
        <f t="shared" si="6"/>
        <v>111</v>
      </c>
      <c r="R11" s="1503" t="s">
        <v>8</v>
      </c>
      <c r="S11" s="1504">
        <f t="shared" si="0"/>
        <v>100</v>
      </c>
      <c r="T11" s="1503" t="s">
        <v>8</v>
      </c>
      <c r="U11" s="1504">
        <f t="shared" si="1"/>
        <v>100</v>
      </c>
      <c r="V11" s="1503" t="s">
        <v>8</v>
      </c>
      <c r="W11" s="1504">
        <f t="shared" si="2"/>
        <v>100</v>
      </c>
      <c r="X11" s="1505"/>
      <c r="Y11" s="3424"/>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475" t="s">
        <v>534</v>
      </c>
      <c r="Q14" s="1507" t="str">
        <f t="shared" si="6"/>
        <v>交通便捷度</v>
      </c>
      <c r="R14" s="1508" t="s">
        <v>8</v>
      </c>
      <c r="S14" s="1509">
        <f t="shared" si="0"/>
        <v>100</v>
      </c>
      <c r="T14" s="1508" t="s">
        <v>8</v>
      </c>
      <c r="U14" s="1509">
        <f t="shared" si="1"/>
        <v>100</v>
      </c>
      <c r="V14" s="1508" t="s">
        <v>8</v>
      </c>
      <c r="W14" s="1509">
        <f t="shared" si="2"/>
        <v>100</v>
      </c>
      <c r="X14" s="1502"/>
      <c r="Y14" s="3475"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476"/>
      <c r="Q15" s="1507"/>
      <c r="R15" s="1508"/>
      <c r="S15" s="1509"/>
      <c r="T15" s="1508"/>
      <c r="U15" s="1509"/>
      <c r="V15" s="1508"/>
      <c r="W15" s="1509"/>
      <c r="X15" s="1502"/>
      <c r="Y15" s="3476"/>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476"/>
      <c r="Q16" s="1507" t="str">
        <f>B16</f>
        <v>公共配套设施</v>
      </c>
      <c r="R16" s="1508" t="s">
        <v>8</v>
      </c>
      <c r="S16" s="1509">
        <f>F16</f>
        <v>100</v>
      </c>
      <c r="T16" s="1508" t="s">
        <v>8</v>
      </c>
      <c r="U16" s="1509">
        <f>H16</f>
        <v>100</v>
      </c>
      <c r="V16" s="1508" t="s">
        <v>8</v>
      </c>
      <c r="W16" s="1509">
        <f>J16</f>
        <v>100</v>
      </c>
      <c r="X16" s="1502"/>
      <c r="Y16" s="3476"/>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476"/>
      <c r="Q17" s="1507"/>
      <c r="R17" s="1508"/>
      <c r="S17" s="1509"/>
      <c r="T17" s="1508"/>
      <c r="U17" s="1509"/>
      <c r="V17" s="1508"/>
      <c r="W17" s="1509"/>
      <c r="X17" s="1502"/>
      <c r="Y17" s="3476"/>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476"/>
      <c r="Q18" s="2429" t="str">
        <f>B18</f>
        <v>基础设施水平</v>
      </c>
      <c r="R18" s="1508" t="s">
        <v>8</v>
      </c>
      <c r="S18" s="1509">
        <f>F18</f>
        <v>100</v>
      </c>
      <c r="T18" s="1508" t="s">
        <v>8</v>
      </c>
      <c r="U18" s="1509">
        <f>H18</f>
        <v>100</v>
      </c>
      <c r="V18" s="1508" t="s">
        <v>8</v>
      </c>
      <c r="W18" s="1509">
        <f>J18</f>
        <v>100</v>
      </c>
      <c r="X18" s="2431"/>
      <c r="Y18" s="3476"/>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476"/>
      <c r="Q19" s="2429"/>
      <c r="R19" s="1508"/>
      <c r="S19" s="1509"/>
      <c r="T19" s="1508"/>
      <c r="U19" s="1509"/>
      <c r="V19" s="1508"/>
      <c r="W19" s="1509"/>
      <c r="X19" s="2431"/>
      <c r="Y19" s="3476"/>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476"/>
      <c r="Q20" s="1507" t="str">
        <f>B20</f>
        <v>自然及人文环境</v>
      </c>
      <c r="R20" s="1508" t="s">
        <v>8</v>
      </c>
      <c r="S20" s="1509">
        <f>F20</f>
        <v>100</v>
      </c>
      <c r="T20" s="1508" t="s">
        <v>8</v>
      </c>
      <c r="U20" s="1509">
        <f>H20</f>
        <v>100</v>
      </c>
      <c r="V20" s="1508" t="s">
        <v>8</v>
      </c>
      <c r="W20" s="1509">
        <f>J20</f>
        <v>100</v>
      </c>
      <c r="X20" s="1502"/>
      <c r="Y20" s="3476"/>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476"/>
      <c r="Q21" s="1507"/>
      <c r="R21" s="1508"/>
      <c r="S21" s="1509"/>
      <c r="T21" s="1508"/>
      <c r="U21" s="1509"/>
      <c r="V21" s="1508"/>
      <c r="W21" s="1509"/>
      <c r="X21" s="1502"/>
      <c r="Y21" s="3476"/>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76"/>
      <c r="Q22" s="1507" t="str">
        <f>B22</f>
        <v>楼层</v>
      </c>
      <c r="R22" s="1508" t="s">
        <v>8</v>
      </c>
      <c r="S22" s="1509">
        <f>F22</f>
        <v>100</v>
      </c>
      <c r="T22" s="1508" t="s">
        <v>8</v>
      </c>
      <c r="U22" s="1509">
        <f>H22</f>
        <v>100</v>
      </c>
      <c r="V22" s="1508" t="s">
        <v>8</v>
      </c>
      <c r="W22" s="1509">
        <f>J22</f>
        <v>100</v>
      </c>
      <c r="X22" s="1502"/>
      <c r="Y22" s="3476"/>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76"/>
      <c r="Q23" s="1507">
        <f>B23</f>
        <v>111</v>
      </c>
      <c r="R23" s="1508" t="s">
        <v>8</v>
      </c>
      <c r="S23" s="1509">
        <f>F23</f>
        <v>100</v>
      </c>
      <c r="T23" s="1508" t="s">
        <v>8</v>
      </c>
      <c r="U23" s="1509">
        <f>H23</f>
        <v>100</v>
      </c>
      <c r="V23" s="1508" t="s">
        <v>8</v>
      </c>
      <c r="W23" s="1509">
        <f>J23</f>
        <v>100</v>
      </c>
      <c r="X23" s="1502"/>
      <c r="Y23" s="3476"/>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76"/>
      <c r="Q24" s="1507">
        <f t="shared" ref="Q24:Q36" si="11">B24</f>
        <v>111</v>
      </c>
      <c r="R24" s="1508" t="s">
        <v>8</v>
      </c>
      <c r="S24" s="1509">
        <f>F24</f>
        <v>100</v>
      </c>
      <c r="T24" s="1508" t="s">
        <v>8</v>
      </c>
      <c r="U24" s="1509">
        <f>H24</f>
        <v>100</v>
      </c>
      <c r="V24" s="1508" t="s">
        <v>8</v>
      </c>
      <c r="W24" s="1509">
        <f>J24</f>
        <v>100</v>
      </c>
      <c r="X24" s="1502"/>
      <c r="Y24" s="3476"/>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476"/>
      <c r="Q25" s="1134">
        <f t="shared" si="11"/>
        <v>111</v>
      </c>
      <c r="R25" s="1503" t="s">
        <v>8</v>
      </c>
      <c r="S25" s="1504">
        <f>F25</f>
        <v>100</v>
      </c>
      <c r="T25" s="1503" t="s">
        <v>8</v>
      </c>
      <c r="U25" s="1504">
        <f>H25</f>
        <v>100</v>
      </c>
      <c r="V25" s="1503" t="s">
        <v>8</v>
      </c>
      <c r="W25" s="1504">
        <f>J25</f>
        <v>100</v>
      </c>
      <c r="X25" s="1505"/>
      <c r="Y25" s="3476"/>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77"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78"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478"/>
      <c r="Q27" s="1536" t="str">
        <f t="shared" si="11"/>
        <v>项目停车位配比</v>
      </c>
      <c r="R27" s="1512" t="s">
        <v>8</v>
      </c>
      <c r="S27" s="1513">
        <f t="shared" si="12"/>
        <v>100</v>
      </c>
      <c r="T27" s="1512" t="s">
        <v>8</v>
      </c>
      <c r="U27" s="1513">
        <f t="shared" si="13"/>
        <v>100</v>
      </c>
      <c r="V27" s="1512" t="s">
        <v>8</v>
      </c>
      <c r="W27" s="1513">
        <f t="shared" si="14"/>
        <v>100</v>
      </c>
      <c r="X27" s="1514"/>
      <c r="Y27" s="3478"/>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78"/>
      <c r="Q28" s="1507" t="str">
        <f t="shared" si="11"/>
        <v>公共部分装修</v>
      </c>
      <c r="R28" s="1508" t="s">
        <v>8</v>
      </c>
      <c r="S28" s="1509">
        <f t="shared" si="12"/>
        <v>100</v>
      </c>
      <c r="T28" s="1508" t="s">
        <v>8</v>
      </c>
      <c r="U28" s="1509">
        <f t="shared" si="13"/>
        <v>100</v>
      </c>
      <c r="V28" s="1508" t="s">
        <v>8</v>
      </c>
      <c r="W28" s="1509">
        <f t="shared" si="14"/>
        <v>100</v>
      </c>
      <c r="X28" s="1502"/>
      <c r="Y28" s="3478"/>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478"/>
      <c r="Q29" s="1507" t="str">
        <f t="shared" si="11"/>
        <v>成新率</v>
      </c>
      <c r="R29" s="1508" t="s">
        <v>8</v>
      </c>
      <c r="S29" s="1509" t="e">
        <f t="shared" si="12"/>
        <v>#N/A</v>
      </c>
      <c r="T29" s="1508" t="s">
        <v>8</v>
      </c>
      <c r="U29" s="1509" t="e">
        <f t="shared" si="13"/>
        <v>#N/A</v>
      </c>
      <c r="V29" s="1508" t="s">
        <v>8</v>
      </c>
      <c r="W29" s="1509" t="e">
        <f t="shared" si="14"/>
        <v>#N/A</v>
      </c>
      <c r="X29" s="1502"/>
      <c r="Y29" s="3478"/>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478"/>
      <c r="Q30" s="1507" t="str">
        <f t="shared" si="11"/>
        <v>物业等级</v>
      </c>
      <c r="R30" s="1508" t="s">
        <v>8</v>
      </c>
      <c r="S30" s="1509">
        <f t="shared" si="12"/>
        <v>100</v>
      </c>
      <c r="T30" s="1508" t="s">
        <v>8</v>
      </c>
      <c r="U30" s="1509">
        <f t="shared" si="13"/>
        <v>100</v>
      </c>
      <c r="V30" s="1508" t="s">
        <v>8</v>
      </c>
      <c r="W30" s="1509">
        <f t="shared" si="14"/>
        <v>100</v>
      </c>
      <c r="X30" s="1502"/>
      <c r="Y30" s="3478"/>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478"/>
      <c r="Q31" s="1134" t="str">
        <f t="shared" si="11"/>
        <v>停车位面积</v>
      </c>
      <c r="R31" s="1503" t="s">
        <v>8</v>
      </c>
      <c r="S31" s="1504" t="e">
        <f t="shared" si="12"/>
        <v>#N/A</v>
      </c>
      <c r="T31" s="1503" t="s">
        <v>8</v>
      </c>
      <c r="U31" s="1504" t="e">
        <f t="shared" si="13"/>
        <v>#N/A</v>
      </c>
      <c r="V31" s="1503" t="s">
        <v>8</v>
      </c>
      <c r="W31" s="1504" t="e">
        <f t="shared" si="14"/>
        <v>#N/A</v>
      </c>
      <c r="X31" s="1505"/>
      <c r="Y31" s="3478"/>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78" t="s">
        <v>544</v>
      </c>
      <c r="Q32" s="1507" t="str">
        <f t="shared" si="11"/>
        <v>车位类型</v>
      </c>
      <c r="R32" s="1508" t="s">
        <v>8</v>
      </c>
      <c r="S32" s="1509">
        <f t="shared" si="12"/>
        <v>100</v>
      </c>
      <c r="T32" s="1508" t="s">
        <v>8</v>
      </c>
      <c r="U32" s="1509">
        <f t="shared" si="13"/>
        <v>100</v>
      </c>
      <c r="V32" s="1508" t="s">
        <v>8</v>
      </c>
      <c r="W32" s="1509">
        <f t="shared" si="14"/>
        <v>100</v>
      </c>
      <c r="X32" s="1502"/>
      <c r="Y32" s="3478"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78"/>
      <c r="Q33" s="1507" t="str">
        <f t="shared" si="11"/>
        <v>是否直接入户</v>
      </c>
      <c r="R33" s="1508" t="s">
        <v>8</v>
      </c>
      <c r="S33" s="1509">
        <f t="shared" si="12"/>
        <v>100</v>
      </c>
      <c r="T33" s="1508" t="s">
        <v>8</v>
      </c>
      <c r="U33" s="1509">
        <f t="shared" si="13"/>
        <v>100</v>
      </c>
      <c r="V33" s="1508" t="s">
        <v>8</v>
      </c>
      <c r="W33" s="1509">
        <f t="shared" si="14"/>
        <v>100</v>
      </c>
      <c r="X33" s="1502"/>
      <c r="Y33" s="3478"/>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78"/>
      <c r="Q34" s="1507">
        <f t="shared" si="11"/>
        <v>111</v>
      </c>
      <c r="R34" s="1508" t="s">
        <v>8</v>
      </c>
      <c r="S34" s="1509">
        <f t="shared" si="12"/>
        <v>100</v>
      </c>
      <c r="T34" s="1508" t="s">
        <v>8</v>
      </c>
      <c r="U34" s="1509">
        <f t="shared" si="13"/>
        <v>100</v>
      </c>
      <c r="V34" s="1508" t="s">
        <v>8</v>
      </c>
      <c r="W34" s="1509">
        <f t="shared" si="14"/>
        <v>100</v>
      </c>
      <c r="X34" s="1502"/>
      <c r="Y34" s="3478"/>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78"/>
      <c r="Q35" s="1536">
        <f t="shared" si="11"/>
        <v>111</v>
      </c>
      <c r="R35" s="1512" t="s">
        <v>8</v>
      </c>
      <c r="S35" s="1513">
        <f t="shared" si="12"/>
        <v>100</v>
      </c>
      <c r="T35" s="1512" t="s">
        <v>8</v>
      </c>
      <c r="U35" s="1513">
        <f t="shared" si="13"/>
        <v>100</v>
      </c>
      <c r="V35" s="1512" t="s">
        <v>8</v>
      </c>
      <c r="W35" s="1513">
        <f t="shared" si="14"/>
        <v>100</v>
      </c>
      <c r="X35" s="1514"/>
      <c r="Y35" s="3478"/>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78"/>
      <c r="Q36" s="1507">
        <f t="shared" si="11"/>
        <v>111</v>
      </c>
      <c r="R36" s="1508" t="s">
        <v>8</v>
      </c>
      <c r="S36" s="1509">
        <f t="shared" si="12"/>
        <v>100</v>
      </c>
      <c r="T36" s="1508" t="s">
        <v>8</v>
      </c>
      <c r="U36" s="1509">
        <f t="shared" si="13"/>
        <v>100</v>
      </c>
      <c r="V36" s="1508" t="s">
        <v>8</v>
      </c>
      <c r="W36" s="1509">
        <f t="shared" si="14"/>
        <v>100</v>
      </c>
      <c r="X36" s="1502"/>
      <c r="Y36" s="3478"/>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73" t="str">
        <f>A37</f>
        <v>成交单价</v>
      </c>
      <c r="Q37" s="3473"/>
      <c r="R37" s="3578">
        <f>E37</f>
        <v>0</v>
      </c>
      <c r="S37" s="3578"/>
      <c r="T37" s="3578">
        <f>G37</f>
        <v>0</v>
      </c>
      <c r="U37" s="3578"/>
      <c r="V37" s="3578">
        <f>I37</f>
        <v>0</v>
      </c>
      <c r="W37" s="3578"/>
      <c r="X37" s="1497"/>
      <c r="Y37" s="1516"/>
      <c r="Z37" s="1497"/>
      <c r="AA37" s="1497"/>
      <c r="AB37" s="1497"/>
      <c r="AC37" s="1497"/>
    </row>
    <row r="38" spans="1:29" ht="15.75" thickBot="1">
      <c r="A38" s="609" t="s">
        <v>2741</v>
      </c>
      <c r="B38" s="877"/>
      <c r="C38" s="2476" t="e">
        <f>R39</f>
        <v>#DIV/0!</v>
      </c>
      <c r="D38" s="3014" t="s">
        <v>2968</v>
      </c>
      <c r="E38" s="2477" t="e">
        <f>R38</f>
        <v>#DIV/0!</v>
      </c>
      <c r="F38" s="3015"/>
      <c r="G38" s="2476" t="e">
        <f>T38</f>
        <v>#DIV/0!</v>
      </c>
      <c r="H38" s="3015"/>
      <c r="I38" s="2477" t="e">
        <f>V38</f>
        <v>#DIV/0!</v>
      </c>
      <c r="J38" s="3015"/>
      <c r="K38" s="3023">
        <f>F38+H38+J38</f>
        <v>0</v>
      </c>
      <c r="L38" s="2026"/>
      <c r="M38" s="2027"/>
      <c r="N38" s="2027"/>
      <c r="O38" s="2027"/>
      <c r="P38" s="3473" t="str">
        <f>A38</f>
        <v>比较价格（元/平方米）</v>
      </c>
      <c r="Q38" s="3473"/>
      <c r="R38" s="3578" t="e">
        <f>IF(F1="售价",ROUND(PRODUCT(R37,AA7:AA36),0),ROUND(PRODUCT(R37,AA7:AA36),1))</f>
        <v>#DIV/0!</v>
      </c>
      <c r="S38" s="3578"/>
      <c r="T38" s="3578" t="e">
        <f>IF(F1="售价",ROUND(PRODUCT(T37,AB7:AB36),0),ROUND(PRODUCT(T37,AB7:AB36),1))</f>
        <v>#DIV/0!</v>
      </c>
      <c r="U38" s="3578"/>
      <c r="V38" s="3578" t="e">
        <f>IF(F1="售价",ROUND(PRODUCT(V37,AC7:AC36),0),ROUND(PRODUCT(V37,AC7:AC36),1))</f>
        <v>#DIV/0!</v>
      </c>
      <c r="W38" s="3578"/>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494" t="str">
        <f>A39</f>
        <v>估价对象XX用房的比较价格（楼面单价，元/平方米）</v>
      </c>
      <c r="Q39" s="3495"/>
      <c r="R39" s="3577" t="e">
        <f>IF(F1="售价",ROUND(IF(D38="简单平均",AVERAGE(R38:W38),R38*F38+T38*H38+V38*J38),0),ROUND(IF(D38="简单平均",AVERAGE(R38:V38),R38*F38+T38*H38+V38*J38),1))</f>
        <v>#DIV/0!</v>
      </c>
      <c r="S39" s="3577"/>
      <c r="T39" s="3577"/>
      <c r="U39" s="3577"/>
      <c r="V39" s="3577"/>
      <c r="W39" s="3577"/>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0" priority="18" stopIfTrue="1" operator="containsText" text="超过">
      <formula>NOT(ISERROR(SEARCH("超过",F42)))</formula>
    </cfRule>
  </conditionalFormatting>
  <conditionalFormatting sqref="J44">
    <cfRule type="containsText" dxfId="39" priority="17" stopIfTrue="1" operator="containsText" text="超过">
      <formula>NOT(ISERROR(SEARCH("超过",J44)))</formula>
    </cfRule>
  </conditionalFormatting>
  <conditionalFormatting sqref="H44">
    <cfRule type="containsText" dxfId="38" priority="16" stopIfTrue="1" operator="containsText" text="超过">
      <formula>NOT(ISERROR(SEARCH("超过",H44)))</formula>
    </cfRule>
  </conditionalFormatting>
  <conditionalFormatting sqref="F44">
    <cfRule type="containsText" dxfId="37" priority="15" stopIfTrue="1" operator="containsText" text="超过">
      <formula>NOT(ISERROR(SEARCH("超过",F44)))</formula>
    </cfRule>
  </conditionalFormatting>
  <conditionalFormatting sqref="F43 H43 J43">
    <cfRule type="containsText" dxfId="36" priority="14" stopIfTrue="1" operator="containsText" text="超过">
      <formula>NOT(ISERROR(SEARCH("超过",F43)))</formula>
    </cfRule>
  </conditionalFormatting>
  <conditionalFormatting sqref="E42">
    <cfRule type="expression" dxfId="35" priority="13" stopIfTrue="1">
      <formula>$F$42="超过30%"</formula>
    </cfRule>
  </conditionalFormatting>
  <conditionalFormatting sqref="G44">
    <cfRule type="expression" dxfId="34" priority="12" stopIfTrue="1">
      <formula>$H$54+$H$44="超过30%"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G42">
    <cfRule type="expression" dxfId="31" priority="9" stopIfTrue="1">
      <formula>$H$52+$H$42="超过30%"</formula>
    </cfRule>
  </conditionalFormatting>
  <conditionalFormatting sqref="G43">
    <cfRule type="expression" dxfId="30" priority="8" stopIfTrue="1">
      <formula>$H$43="超过20%"</formula>
    </cfRule>
  </conditionalFormatting>
  <conditionalFormatting sqref="I42">
    <cfRule type="expression" dxfId="29" priority="7" stopIfTrue="1">
      <formula>$J$52+$J$42="超过30%"</formula>
    </cfRule>
  </conditionalFormatting>
  <conditionalFormatting sqref="I43">
    <cfRule type="expression" dxfId="28" priority="6" stopIfTrue="1">
      <formula>$J$53+$J$43="超过20%"</formula>
    </cfRule>
  </conditionalFormatting>
  <conditionalFormatting sqref="I44">
    <cfRule type="expression" dxfId="27" priority="5" stopIfTrue="1">
      <formula>$J$44="超过30%"</formula>
    </cfRule>
  </conditionalFormatting>
  <conditionalFormatting sqref="F38">
    <cfRule type="expression" dxfId="26" priority="4">
      <formula>$D$38="简单平均"</formula>
    </cfRule>
  </conditionalFormatting>
  <conditionalFormatting sqref="H38">
    <cfRule type="expression" dxfId="25" priority="3">
      <formula>$D$38="简单平均"</formula>
    </cfRule>
  </conditionalFormatting>
  <conditionalFormatting sqref="J38">
    <cfRule type="expression" dxfId="24" priority="2">
      <formula>$D$38="简单平均"</formula>
    </cfRule>
  </conditionalFormatting>
  <conditionalFormatting sqref="F7:F36 H7:H36 J7:J36">
    <cfRule type="cellIs" dxfId="23"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K37" sqref="K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79" t="s">
        <v>792</v>
      </c>
      <c r="D4" s="3480"/>
      <c r="E4" s="3504" t="s">
        <v>793</v>
      </c>
      <c r="F4" s="3505"/>
      <c r="G4" s="3479" t="s">
        <v>794</v>
      </c>
      <c r="H4" s="3480"/>
      <c r="I4" s="3479" t="s">
        <v>795</v>
      </c>
      <c r="J4" s="3480"/>
      <c r="K4" s="508" t="s">
        <v>796</v>
      </c>
      <c r="L4" s="2015"/>
      <c r="M4" s="2016"/>
      <c r="N4" s="2016"/>
      <c r="O4" s="2016"/>
      <c r="P4" s="3481" t="s">
        <v>797</v>
      </c>
      <c r="Q4" s="3482"/>
      <c r="R4" s="3467" t="s">
        <v>793</v>
      </c>
      <c r="S4" s="3468"/>
      <c r="T4" s="3467" t="s">
        <v>794</v>
      </c>
      <c r="U4" s="3468"/>
      <c r="V4" s="3487" t="s">
        <v>795</v>
      </c>
      <c r="W4" s="3487"/>
      <c r="X4" s="1502"/>
      <c r="Y4" s="3467" t="s">
        <v>797</v>
      </c>
      <c r="Z4" s="3468"/>
      <c r="AA4" s="3462" t="s">
        <v>793</v>
      </c>
      <c r="AB4" s="3463" t="s">
        <v>794</v>
      </c>
      <c r="AC4" s="3462" t="s">
        <v>795</v>
      </c>
    </row>
    <row r="5" spans="1:29" ht="15">
      <c r="A5" s="509"/>
      <c r="B5" s="510"/>
      <c r="C5" s="3490" t="s">
        <v>2897</v>
      </c>
      <c r="D5" s="3491"/>
      <c r="E5" s="3506" t="s">
        <v>2898</v>
      </c>
      <c r="F5" s="3507"/>
      <c r="G5" s="3490" t="s">
        <v>2899</v>
      </c>
      <c r="H5" s="3491"/>
      <c r="I5" s="3490" t="s">
        <v>2900</v>
      </c>
      <c r="J5" s="3491"/>
      <c r="K5" s="508"/>
      <c r="L5" s="2015"/>
      <c r="M5" s="2016"/>
      <c r="N5" s="2016"/>
      <c r="O5" s="2016"/>
      <c r="P5" s="3483"/>
      <c r="Q5" s="3484"/>
      <c r="R5" s="3469"/>
      <c r="S5" s="3470"/>
      <c r="T5" s="3469"/>
      <c r="U5" s="3470"/>
      <c r="V5" s="3487"/>
      <c r="W5" s="3487"/>
      <c r="X5" s="1502"/>
      <c r="Y5" s="3469"/>
      <c r="Z5" s="3470"/>
      <c r="AA5" s="3463"/>
      <c r="AB5" s="3463"/>
      <c r="AC5" s="3463"/>
    </row>
    <row r="6" spans="1:29" ht="15.75" thickBot="1">
      <c r="A6" s="511"/>
      <c r="B6" s="512"/>
      <c r="C6" s="3488" t="s">
        <v>2901</v>
      </c>
      <c r="D6" s="3489"/>
      <c r="E6" s="3508" t="s">
        <v>2901</v>
      </c>
      <c r="F6" s="3509"/>
      <c r="G6" s="3488" t="s">
        <v>2901</v>
      </c>
      <c r="H6" s="3489"/>
      <c r="I6" s="3488" t="s">
        <v>2901</v>
      </c>
      <c r="J6" s="3489"/>
      <c r="K6" s="508" t="s">
        <v>522</v>
      </c>
      <c r="L6" s="2015"/>
      <c r="M6" s="2016"/>
      <c r="N6" s="2016"/>
      <c r="O6" s="2016"/>
      <c r="P6" s="3485"/>
      <c r="Q6" s="3486"/>
      <c r="R6" s="3469"/>
      <c r="S6" s="3470"/>
      <c r="T6" s="3471"/>
      <c r="U6" s="3472"/>
      <c r="V6" s="3487"/>
      <c r="W6" s="3487"/>
      <c r="X6" s="1502"/>
      <c r="Y6" s="3471"/>
      <c r="Z6" s="3472"/>
      <c r="AA6" s="3464"/>
      <c r="AB6" s="3464"/>
      <c r="AC6" s="3464"/>
    </row>
    <row r="7" spans="1:29" s="1203" customFormat="1" ht="15.75" thickBot="1">
      <c r="A7" s="2629"/>
      <c r="B7" s="2636" t="s">
        <v>523</v>
      </c>
      <c r="C7" s="513">
        <f>'数据-取费表'!B2</f>
        <v>44269</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65" t="s">
        <v>524</v>
      </c>
      <c r="Q7" s="3474"/>
      <c r="R7" s="1503" t="s">
        <v>8</v>
      </c>
      <c r="S7" s="1504">
        <f t="shared" ref="S7:S14" si="0">F7</f>
        <v>0</v>
      </c>
      <c r="T7" s="1503" t="s">
        <v>8</v>
      </c>
      <c r="U7" s="1504">
        <f t="shared" ref="U7:U14" si="1">H7</f>
        <v>0</v>
      </c>
      <c r="V7" s="1503" t="s">
        <v>8</v>
      </c>
      <c r="W7" s="1504">
        <f t="shared" ref="W7:W14" si="2">J7</f>
        <v>0</v>
      </c>
      <c r="X7" s="1505"/>
      <c r="Y7" s="3465" t="s">
        <v>524</v>
      </c>
      <c r="Z7" s="3466"/>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65" t="s">
        <v>527</v>
      </c>
      <c r="Q8" s="3466"/>
      <c r="R8" s="1503" t="s">
        <v>8</v>
      </c>
      <c r="S8" s="1504">
        <f t="shared" si="0"/>
        <v>0</v>
      </c>
      <c r="T8" s="1503" t="s">
        <v>8</v>
      </c>
      <c r="U8" s="1504">
        <f t="shared" si="1"/>
        <v>0</v>
      </c>
      <c r="V8" s="1503" t="s">
        <v>8</v>
      </c>
      <c r="W8" s="1504">
        <f t="shared" si="2"/>
        <v>0</v>
      </c>
      <c r="X8" s="1505"/>
      <c r="Y8" s="3465" t="s">
        <v>527</v>
      </c>
      <c r="Z8" s="3466"/>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73" t="s">
        <v>529</v>
      </c>
      <c r="Q9" s="1134" t="str">
        <f t="shared" ref="Q9:Q14" si="6">B9</f>
        <v>用途</v>
      </c>
      <c r="R9" s="1503" t="s">
        <v>8</v>
      </c>
      <c r="S9" s="1504">
        <f t="shared" si="0"/>
        <v>100</v>
      </c>
      <c r="T9" s="1503" t="s">
        <v>8</v>
      </c>
      <c r="U9" s="1504">
        <f t="shared" si="1"/>
        <v>100</v>
      </c>
      <c r="V9" s="1503" t="s">
        <v>8</v>
      </c>
      <c r="W9" s="1504">
        <f t="shared" si="2"/>
        <v>100</v>
      </c>
      <c r="X9" s="1505"/>
      <c r="Y9" s="3424"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73"/>
      <c r="Q10" s="1134" t="str">
        <f t="shared" si="6"/>
        <v>土地使用年限（年）</v>
      </c>
      <c r="R10" s="1503" t="s">
        <v>8</v>
      </c>
      <c r="S10" s="1504">
        <f t="shared" si="0"/>
        <v>100</v>
      </c>
      <c r="T10" s="1503" t="s">
        <v>8</v>
      </c>
      <c r="U10" s="1504">
        <f t="shared" si="1"/>
        <v>100</v>
      </c>
      <c r="V10" s="1503" t="s">
        <v>8</v>
      </c>
      <c r="W10" s="1504">
        <f t="shared" si="2"/>
        <v>100</v>
      </c>
      <c r="X10" s="1505"/>
      <c r="Y10" s="3424"/>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73"/>
      <c r="Q11" s="1134">
        <f t="shared" si="6"/>
        <v>111</v>
      </c>
      <c r="R11" s="1503" t="s">
        <v>8</v>
      </c>
      <c r="S11" s="1504">
        <f t="shared" si="0"/>
        <v>100</v>
      </c>
      <c r="T11" s="1503" t="s">
        <v>8</v>
      </c>
      <c r="U11" s="1504">
        <f t="shared" si="1"/>
        <v>100</v>
      </c>
      <c r="V11" s="1503" t="s">
        <v>8</v>
      </c>
      <c r="W11" s="1504">
        <f t="shared" si="2"/>
        <v>100</v>
      </c>
      <c r="X11" s="1505"/>
      <c r="Y11" s="3424"/>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73"/>
      <c r="Q12" s="1134">
        <f t="shared" si="6"/>
        <v>111</v>
      </c>
      <c r="R12" s="1503" t="s">
        <v>8</v>
      </c>
      <c r="S12" s="1504">
        <f t="shared" si="0"/>
        <v>100</v>
      </c>
      <c r="T12" s="1503" t="s">
        <v>8</v>
      </c>
      <c r="U12" s="1504">
        <f t="shared" si="1"/>
        <v>100</v>
      </c>
      <c r="V12" s="1503" t="s">
        <v>8</v>
      </c>
      <c r="W12" s="1504">
        <f t="shared" si="2"/>
        <v>100</v>
      </c>
      <c r="X12" s="1505"/>
      <c r="Y12" s="3424"/>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73"/>
      <c r="Q13" s="1134">
        <f t="shared" si="6"/>
        <v>111</v>
      </c>
      <c r="R13" s="1503" t="s">
        <v>8</v>
      </c>
      <c r="S13" s="1504">
        <f t="shared" si="0"/>
        <v>100</v>
      </c>
      <c r="T13" s="1503" t="s">
        <v>8</v>
      </c>
      <c r="U13" s="1504">
        <f t="shared" si="1"/>
        <v>100</v>
      </c>
      <c r="V13" s="1503" t="s">
        <v>8</v>
      </c>
      <c r="W13" s="1504">
        <f t="shared" si="2"/>
        <v>100</v>
      </c>
      <c r="X13" s="1505"/>
      <c r="Y13" s="3424"/>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475" t="s">
        <v>534</v>
      </c>
      <c r="Q14" s="1507" t="str">
        <f t="shared" si="6"/>
        <v>交通便捷度</v>
      </c>
      <c r="R14" s="1508" t="s">
        <v>8</v>
      </c>
      <c r="S14" s="1509">
        <f t="shared" si="0"/>
        <v>100</v>
      </c>
      <c r="T14" s="1508" t="s">
        <v>8</v>
      </c>
      <c r="U14" s="1509">
        <f t="shared" si="1"/>
        <v>100</v>
      </c>
      <c r="V14" s="1508" t="s">
        <v>8</v>
      </c>
      <c r="W14" s="1509">
        <f t="shared" si="2"/>
        <v>100</v>
      </c>
      <c r="X14" s="1502"/>
      <c r="Y14" s="3475"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476"/>
      <c r="Q15" s="1507"/>
      <c r="R15" s="1508"/>
      <c r="S15" s="1509"/>
      <c r="T15" s="1508"/>
      <c r="U15" s="1509"/>
      <c r="V15" s="1508"/>
      <c r="W15" s="1509"/>
      <c r="X15" s="1502"/>
      <c r="Y15" s="3476"/>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476"/>
      <c r="Q16" s="1507" t="str">
        <f>B16</f>
        <v>公共配套设施</v>
      </c>
      <c r="R16" s="1508" t="s">
        <v>8</v>
      </c>
      <c r="S16" s="1509">
        <f>F16</f>
        <v>100</v>
      </c>
      <c r="T16" s="1508" t="s">
        <v>8</v>
      </c>
      <c r="U16" s="1509">
        <f>H16</f>
        <v>100</v>
      </c>
      <c r="V16" s="1508" t="s">
        <v>8</v>
      </c>
      <c r="W16" s="1509">
        <f>J16</f>
        <v>100</v>
      </c>
      <c r="X16" s="1502"/>
      <c r="Y16" s="3476"/>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476"/>
      <c r="Q17" s="1507"/>
      <c r="R17" s="1508"/>
      <c r="S17" s="1509"/>
      <c r="T17" s="1508"/>
      <c r="U17" s="1509"/>
      <c r="V17" s="1508"/>
      <c r="W17" s="1509"/>
      <c r="X17" s="1502"/>
      <c r="Y17" s="3476"/>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476"/>
      <c r="Q18" s="2429" t="str">
        <f>B18</f>
        <v>基础设施水平</v>
      </c>
      <c r="R18" s="1508" t="s">
        <v>8</v>
      </c>
      <c r="S18" s="1509">
        <f>F18</f>
        <v>100</v>
      </c>
      <c r="T18" s="1508" t="s">
        <v>8</v>
      </c>
      <c r="U18" s="1509">
        <f>H18</f>
        <v>100</v>
      </c>
      <c r="V18" s="1508" t="s">
        <v>8</v>
      </c>
      <c r="W18" s="1509">
        <f>J18</f>
        <v>100</v>
      </c>
      <c r="X18" s="2431"/>
      <c r="Y18" s="3476"/>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476"/>
      <c r="Q19" s="2429"/>
      <c r="R19" s="1508"/>
      <c r="S19" s="1509"/>
      <c r="T19" s="1508"/>
      <c r="U19" s="1509"/>
      <c r="V19" s="1508"/>
      <c r="W19" s="1509"/>
      <c r="X19" s="2431"/>
      <c r="Y19" s="3476"/>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476"/>
      <c r="Q20" s="1507" t="str">
        <f>B20</f>
        <v>自然及人文环境</v>
      </c>
      <c r="R20" s="1508" t="s">
        <v>8</v>
      </c>
      <c r="S20" s="1509">
        <f>F20</f>
        <v>100</v>
      </c>
      <c r="T20" s="1508" t="s">
        <v>8</v>
      </c>
      <c r="U20" s="1509">
        <f>H20</f>
        <v>100</v>
      </c>
      <c r="V20" s="1508" t="s">
        <v>8</v>
      </c>
      <c r="W20" s="1509">
        <f>J20</f>
        <v>100</v>
      </c>
      <c r="X20" s="1502"/>
      <c r="Y20" s="3476"/>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476"/>
      <c r="Q21" s="1507"/>
      <c r="R21" s="1508"/>
      <c r="S21" s="1509"/>
      <c r="T21" s="1508"/>
      <c r="U21" s="1509"/>
      <c r="V21" s="1508"/>
      <c r="W21" s="1509"/>
      <c r="X21" s="1502"/>
      <c r="Y21" s="3476"/>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76"/>
      <c r="Q22" s="1507" t="str">
        <f>B22</f>
        <v>楼层</v>
      </c>
      <c r="R22" s="1508" t="s">
        <v>8</v>
      </c>
      <c r="S22" s="1509">
        <f>F22</f>
        <v>100</v>
      </c>
      <c r="T22" s="1508" t="s">
        <v>8</v>
      </c>
      <c r="U22" s="1509">
        <f>H22</f>
        <v>100</v>
      </c>
      <c r="V22" s="1508" t="s">
        <v>8</v>
      </c>
      <c r="W22" s="1509">
        <f>J22</f>
        <v>100</v>
      </c>
      <c r="X22" s="1502"/>
      <c r="Y22" s="3476"/>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76"/>
      <c r="Q23" s="1507">
        <f>B23</f>
        <v>111</v>
      </c>
      <c r="R23" s="1508" t="s">
        <v>8</v>
      </c>
      <c r="S23" s="1509">
        <f>F23</f>
        <v>100</v>
      </c>
      <c r="T23" s="1508" t="s">
        <v>8</v>
      </c>
      <c r="U23" s="1509">
        <f>H23</f>
        <v>100</v>
      </c>
      <c r="V23" s="1508" t="s">
        <v>8</v>
      </c>
      <c r="W23" s="1509">
        <f>J23</f>
        <v>100</v>
      </c>
      <c r="X23" s="1502"/>
      <c r="Y23" s="3476"/>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76"/>
      <c r="Q24" s="1507">
        <f t="shared" ref="Q24:Q34" si="11">B24</f>
        <v>111</v>
      </c>
      <c r="R24" s="1508" t="s">
        <v>8</v>
      </c>
      <c r="S24" s="1509">
        <f>F24</f>
        <v>100</v>
      </c>
      <c r="T24" s="1508" t="s">
        <v>8</v>
      </c>
      <c r="U24" s="1509">
        <f>H24</f>
        <v>100</v>
      </c>
      <c r="V24" s="1508" t="s">
        <v>8</v>
      </c>
      <c r="W24" s="1509">
        <f>J24</f>
        <v>100</v>
      </c>
      <c r="X24" s="1502"/>
      <c r="Y24" s="3476"/>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476"/>
      <c r="Q25" s="1134">
        <f t="shared" si="11"/>
        <v>111</v>
      </c>
      <c r="R25" s="1503" t="s">
        <v>8</v>
      </c>
      <c r="S25" s="1504">
        <f>F25</f>
        <v>100</v>
      </c>
      <c r="T25" s="1503" t="s">
        <v>8</v>
      </c>
      <c r="U25" s="1504">
        <f>H25</f>
        <v>100</v>
      </c>
      <c r="V25" s="1503" t="s">
        <v>8</v>
      </c>
      <c r="W25" s="1504">
        <f>J25</f>
        <v>100</v>
      </c>
      <c r="X25" s="1505"/>
      <c r="Y25" s="3476"/>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477"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78"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478"/>
      <c r="Q27" s="1536" t="str">
        <f t="shared" si="11"/>
        <v>成新率</v>
      </c>
      <c r="R27" s="1512" t="s">
        <v>8</v>
      </c>
      <c r="S27" s="1513" t="e">
        <f t="shared" si="12"/>
        <v>#N/A</v>
      </c>
      <c r="T27" s="1512" t="s">
        <v>8</v>
      </c>
      <c r="U27" s="1513" t="e">
        <f t="shared" si="13"/>
        <v>#N/A</v>
      </c>
      <c r="V27" s="1512" t="s">
        <v>8</v>
      </c>
      <c r="W27" s="1513" t="e">
        <f t="shared" si="14"/>
        <v>#N/A</v>
      </c>
      <c r="X27" s="1514"/>
      <c r="Y27" s="3478"/>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78"/>
      <c r="Q28" s="1507" t="str">
        <f t="shared" si="11"/>
        <v>物业等级</v>
      </c>
      <c r="R28" s="1508" t="s">
        <v>8</v>
      </c>
      <c r="S28" s="1509">
        <f t="shared" si="12"/>
        <v>100</v>
      </c>
      <c r="T28" s="1508" t="s">
        <v>8</v>
      </c>
      <c r="U28" s="1509">
        <f t="shared" si="13"/>
        <v>100</v>
      </c>
      <c r="V28" s="1508" t="s">
        <v>8</v>
      </c>
      <c r="W28" s="1509">
        <f t="shared" si="14"/>
        <v>100</v>
      </c>
      <c r="X28" s="1502"/>
      <c r="Y28" s="3478"/>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478"/>
      <c r="Q29" s="1507" t="str">
        <f t="shared" si="11"/>
        <v>有无电梯</v>
      </c>
      <c r="R29" s="1508" t="s">
        <v>8</v>
      </c>
      <c r="S29" s="1509">
        <f t="shared" si="12"/>
        <v>100</v>
      </c>
      <c r="T29" s="1508" t="s">
        <v>8</v>
      </c>
      <c r="U29" s="1509">
        <f t="shared" si="13"/>
        <v>100</v>
      </c>
      <c r="V29" s="1508" t="s">
        <v>8</v>
      </c>
      <c r="W29" s="1509">
        <f t="shared" si="14"/>
        <v>100</v>
      </c>
      <c r="X29" s="1502"/>
      <c r="Y29" s="3478"/>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478"/>
      <c r="Q30" s="1507" t="str">
        <f t="shared" si="11"/>
        <v>建筑面积</v>
      </c>
      <c r="R30" s="1508" t="s">
        <v>8</v>
      </c>
      <c r="S30" s="1509" t="e">
        <f t="shared" si="12"/>
        <v>#N/A</v>
      </c>
      <c r="T30" s="1508" t="s">
        <v>8</v>
      </c>
      <c r="U30" s="1509" t="e">
        <f t="shared" si="13"/>
        <v>#N/A</v>
      </c>
      <c r="V30" s="1508" t="s">
        <v>8</v>
      </c>
      <c r="W30" s="1509" t="e">
        <f t="shared" si="14"/>
        <v>#N/A</v>
      </c>
      <c r="X30" s="1502"/>
      <c r="Y30" s="3478"/>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478"/>
      <c r="Q31" s="1134" t="str">
        <f t="shared" si="11"/>
        <v>是否封闭</v>
      </c>
      <c r="R31" s="1503" t="s">
        <v>8</v>
      </c>
      <c r="S31" s="1504">
        <f t="shared" si="12"/>
        <v>100</v>
      </c>
      <c r="T31" s="1503" t="s">
        <v>8</v>
      </c>
      <c r="U31" s="1504">
        <f t="shared" si="13"/>
        <v>100</v>
      </c>
      <c r="V31" s="1503" t="s">
        <v>8</v>
      </c>
      <c r="W31" s="1504">
        <f t="shared" si="14"/>
        <v>100</v>
      </c>
      <c r="X31" s="1505"/>
      <c r="Y31" s="3478"/>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478" t="s">
        <v>544</v>
      </c>
      <c r="Q32" s="1507">
        <f t="shared" si="11"/>
        <v>111</v>
      </c>
      <c r="R32" s="1508" t="s">
        <v>8</v>
      </c>
      <c r="S32" s="1509">
        <f t="shared" si="12"/>
        <v>100</v>
      </c>
      <c r="T32" s="1508" t="s">
        <v>8</v>
      </c>
      <c r="U32" s="1509">
        <f t="shared" si="13"/>
        <v>100</v>
      </c>
      <c r="V32" s="1508" t="s">
        <v>8</v>
      </c>
      <c r="W32" s="1509">
        <f t="shared" si="14"/>
        <v>100</v>
      </c>
      <c r="X32" s="1502"/>
      <c r="Y32" s="3478"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478"/>
      <c r="Q33" s="1507">
        <f t="shared" si="11"/>
        <v>111</v>
      </c>
      <c r="R33" s="1508" t="s">
        <v>8</v>
      </c>
      <c r="S33" s="1509">
        <f t="shared" si="12"/>
        <v>100</v>
      </c>
      <c r="T33" s="1508" t="s">
        <v>8</v>
      </c>
      <c r="U33" s="1509">
        <f t="shared" si="13"/>
        <v>100</v>
      </c>
      <c r="V33" s="1508" t="s">
        <v>8</v>
      </c>
      <c r="W33" s="1509">
        <f t="shared" si="14"/>
        <v>100</v>
      </c>
      <c r="X33" s="1502"/>
      <c r="Y33" s="3478"/>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478"/>
      <c r="Q34" s="1507">
        <f t="shared" si="11"/>
        <v>111</v>
      </c>
      <c r="R34" s="1508" t="s">
        <v>8</v>
      </c>
      <c r="S34" s="1509">
        <f t="shared" si="12"/>
        <v>100</v>
      </c>
      <c r="T34" s="1508" t="s">
        <v>8</v>
      </c>
      <c r="U34" s="1509">
        <f t="shared" si="13"/>
        <v>100</v>
      </c>
      <c r="V34" s="1508" t="s">
        <v>8</v>
      </c>
      <c r="W34" s="1509">
        <f t="shared" si="14"/>
        <v>100</v>
      </c>
      <c r="X34" s="1502"/>
      <c r="Y34" s="3478"/>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73" t="str">
        <f>A35</f>
        <v>成交单价（元/平方米）</v>
      </c>
      <c r="Q35" s="3473"/>
      <c r="R35" s="3578">
        <f>E35</f>
        <v>0</v>
      </c>
      <c r="S35" s="3578"/>
      <c r="T35" s="3578">
        <f>G35</f>
        <v>0</v>
      </c>
      <c r="U35" s="3578"/>
      <c r="V35" s="3578">
        <f>I35</f>
        <v>0</v>
      </c>
      <c r="W35" s="3578"/>
      <c r="X35" s="1497"/>
      <c r="Y35" s="1516"/>
      <c r="Z35" s="1497"/>
      <c r="AA35" s="1497"/>
      <c r="AB35" s="1497"/>
      <c r="AC35" s="1497"/>
    </row>
    <row r="36" spans="1:29" ht="15.75" thickBot="1">
      <c r="A36" s="609" t="s">
        <v>2741</v>
      </c>
      <c r="B36" s="877"/>
      <c r="C36" s="2476" t="e">
        <f>R37</f>
        <v>#DIV/0!</v>
      </c>
      <c r="D36" s="3014" t="s">
        <v>2969</v>
      </c>
      <c r="E36" s="2477" t="e">
        <f>R36</f>
        <v>#DIV/0!</v>
      </c>
      <c r="F36" s="3015"/>
      <c r="G36" s="2476" t="e">
        <f>T36</f>
        <v>#DIV/0!</v>
      </c>
      <c r="H36" s="3015"/>
      <c r="I36" s="2477" t="e">
        <f>V36</f>
        <v>#DIV/0!</v>
      </c>
      <c r="J36" s="3015"/>
      <c r="K36" s="3023">
        <f>F36+H36+J36</f>
        <v>0</v>
      </c>
      <c r="L36" s="2026"/>
      <c r="M36" s="2027"/>
      <c r="N36" s="2016"/>
      <c r="O36" s="2027"/>
      <c r="P36" s="3473" t="str">
        <f>A36</f>
        <v>比较价格（元/平方米）</v>
      </c>
      <c r="Q36" s="3473"/>
      <c r="R36" s="3578" t="e">
        <f>IF(F1="售价",ROUND(PRODUCT(R35,AA7:AA34),0),ROUND(PRODUCT(R35,AA7:AA34),1))</f>
        <v>#DIV/0!</v>
      </c>
      <c r="S36" s="3578"/>
      <c r="T36" s="3578" t="e">
        <f>IF(F1="售价",ROUND(PRODUCT(T35,AB7:AB34),0),ROUND(PRODUCT(T35,AB7:AB34),1))</f>
        <v>#DIV/0!</v>
      </c>
      <c r="U36" s="3578"/>
      <c r="V36" s="3578" t="e">
        <f>IF(F1="售价",ROUND(PRODUCT(V35,AC7:AC34),0),ROUND(PRODUCT(V35,AC7:AC34),1))</f>
        <v>#DIV/0!</v>
      </c>
      <c r="W36" s="3578"/>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494" t="str">
        <f>A37</f>
        <v>估价对象XX用房的比较价格（楼面单价，元/平方米）</v>
      </c>
      <c r="Q37" s="3495"/>
      <c r="R37" s="3577" t="e">
        <f>IF(F1="售价",ROUND(IF(D36="简单平均",AVERAGE(R36:W36),R36*F36+T36*H36+V36*J36),0),ROUND(IF(D36="简单平均",AVERAGE(R36:V36),R36*F36+T36*H36+V36*J36),1))</f>
        <v>#DIV/0!</v>
      </c>
      <c r="S37" s="3577"/>
      <c r="T37" s="3577"/>
      <c r="U37" s="3577"/>
      <c r="V37" s="3577"/>
      <c r="W37" s="3577"/>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2" priority="18" stopIfTrue="1" operator="containsText" text="超过">
      <formula>NOT(ISERROR(SEARCH("超过",F40)))</formula>
    </cfRule>
  </conditionalFormatting>
  <conditionalFormatting sqref="J42">
    <cfRule type="containsText" dxfId="21" priority="17" stopIfTrue="1" operator="containsText" text="超过">
      <formula>NOT(ISERROR(SEARCH("超过",J42)))</formula>
    </cfRule>
  </conditionalFormatting>
  <conditionalFormatting sqref="H42">
    <cfRule type="containsText" dxfId="20" priority="16" stopIfTrue="1" operator="containsText" text="超过">
      <formula>NOT(ISERROR(SEARCH("超过",H42)))</formula>
    </cfRule>
  </conditionalFormatting>
  <conditionalFormatting sqref="F42">
    <cfRule type="containsText" dxfId="19" priority="15" stopIfTrue="1" operator="containsText" text="超过">
      <formula>NOT(ISERROR(SEARCH("超过",F42)))</formula>
    </cfRule>
  </conditionalFormatting>
  <conditionalFormatting sqref="F41 H41 J41">
    <cfRule type="containsText" dxfId="18" priority="14" stopIfTrue="1" operator="containsText" text="超过">
      <formula>NOT(ISERROR(SEARCH("超过",F41)))</formula>
    </cfRule>
  </conditionalFormatting>
  <conditionalFormatting sqref="E40">
    <cfRule type="expression" dxfId="17" priority="13" stopIfTrue="1">
      <formula>$F$40="超过30%"</formula>
    </cfRule>
  </conditionalFormatting>
  <conditionalFormatting sqref="G42">
    <cfRule type="expression" dxfId="16" priority="12" stopIfTrue="1">
      <formula>$H$54+$H$42="超过30%"</formula>
    </cfRule>
  </conditionalFormatting>
  <conditionalFormatting sqref="E41">
    <cfRule type="expression" dxfId="15" priority="11" stopIfTrue="1">
      <formula>$F$41="超过20%"</formula>
    </cfRule>
  </conditionalFormatting>
  <conditionalFormatting sqref="E42">
    <cfRule type="expression" dxfId="14" priority="10" stopIfTrue="1">
      <formula>$F$42="超过30%"</formula>
    </cfRule>
  </conditionalFormatting>
  <conditionalFormatting sqref="G40">
    <cfRule type="expression" dxfId="13" priority="9" stopIfTrue="1">
      <formula>$H$52+$H$40="超过30%"</formula>
    </cfRule>
  </conditionalFormatting>
  <conditionalFormatting sqref="G41">
    <cfRule type="expression" dxfId="12" priority="8" stopIfTrue="1">
      <formula>$H$53+$H$41="超过20%"</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F36">
    <cfRule type="expression" dxfId="8" priority="4">
      <formula>$D$36="简单平均"</formula>
    </cfRule>
  </conditionalFormatting>
  <conditionalFormatting sqref="H36">
    <cfRule type="expression" dxfId="7" priority="3">
      <formula>$D$36="简单平均"</formula>
    </cfRule>
  </conditionalFormatting>
  <conditionalFormatting sqref="J36">
    <cfRule type="expression" dxfId="6" priority="2">
      <formula>$D$36="简单平均"</formula>
    </cfRule>
  </conditionalFormatting>
  <conditionalFormatting sqref="F7:F34 H7:H34 J7:J34">
    <cfRule type="cellIs" dxfId="5"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18.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18.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8928.57平方米。根据《建设工程规划许可证》[]、《出让合同》[]，估价对象规划建筑面积为25000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2021年3月14日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18.7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根据《国有土地使用证》[]，估价对象（分摊）出让国有建设用地使用权面积为8928.57平方米。根据《建设工程规划许可证》[]、《出让合同》[]，估价对象规划建筑面积为25000平方米。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150">
      <c r="A25" s="1706" t="str">
        <f>定义!C53</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K37" sqref="K37"/>
      <selection pane="bottomLeft" activeCell="K37" sqref="K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587" t="s">
        <v>2292</v>
      </c>
      <c r="D1" s="3588"/>
      <c r="E1" s="3588"/>
      <c r="F1" s="3588"/>
      <c r="G1" s="3588"/>
      <c r="H1" s="3588"/>
      <c r="I1" s="3588"/>
      <c r="J1" s="3588"/>
      <c r="K1" s="3588"/>
      <c r="L1" s="3588"/>
      <c r="M1" s="3588"/>
      <c r="N1" s="3588"/>
      <c r="O1" s="3588"/>
      <c r="P1" s="3588"/>
      <c r="Q1" s="3588"/>
      <c r="R1" s="3588"/>
      <c r="S1" s="3589"/>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584" t="s">
        <v>20</v>
      </c>
      <c r="D22" s="3585"/>
      <c r="E22" s="3585"/>
      <c r="F22" s="3585"/>
      <c r="G22" s="3585"/>
      <c r="H22" s="3585"/>
      <c r="I22" s="3585"/>
      <c r="J22" s="3585"/>
      <c r="K22" s="3585"/>
      <c r="L22" s="3585"/>
      <c r="M22" s="3585"/>
      <c r="N22" s="3585"/>
      <c r="O22" s="3585"/>
      <c r="P22" s="3585"/>
      <c r="Q22" s="3586"/>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44269</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8" t="s">
        <v>2027</v>
      </c>
      <c r="B1" s="3288"/>
      <c r="C1" s="3288"/>
      <c r="D1" s="3288"/>
      <c r="E1" s="3288"/>
      <c r="F1" s="3288"/>
      <c r="G1" s="3288"/>
      <c r="H1" s="3288"/>
      <c r="I1" s="3288"/>
      <c r="J1" s="3288"/>
      <c r="K1" s="3288"/>
      <c r="L1" s="3288"/>
      <c r="M1" s="3288"/>
      <c r="N1" s="3288"/>
      <c r="O1" s="3288"/>
      <c r="P1" s="3288"/>
      <c r="Q1" s="3288"/>
      <c r="R1" s="3288"/>
    </row>
    <row r="2" spans="1:18">
      <c r="A2" s="1722" t="s">
        <v>2029</v>
      </c>
      <c r="B2" s="1722"/>
      <c r="C2" s="1722"/>
      <c r="D2" s="1722"/>
      <c r="E2" s="1722"/>
      <c r="F2" s="1722"/>
      <c r="G2" s="1722"/>
      <c r="H2" s="1722"/>
      <c r="I2" s="1723"/>
      <c r="J2" s="1723"/>
      <c r="K2" s="1724" t="str">
        <f>"估价期日："&amp;TEXT(项目基本情况!D3,"yyyy年m月d日;;")</f>
        <v>估价期日：2021年3月14日</v>
      </c>
      <c r="L2" s="1722"/>
      <c r="M2" s="1722"/>
      <c r="N2" s="1722"/>
      <c r="O2" s="1722"/>
      <c r="P2" s="1722"/>
      <c r="Q2" s="1722"/>
      <c r="R2" s="1724" t="str">
        <f>"估价期日的国有建设用地使用权性质："&amp;项目基本情况!B16</f>
        <v>估价期日的国有建设用地使用权性质：出让</v>
      </c>
    </row>
    <row r="3" spans="1:18" ht="23.25" customHeight="1">
      <c r="A3" s="3289" t="s">
        <v>2018</v>
      </c>
      <c r="B3" s="3289" t="s">
        <v>2712</v>
      </c>
      <c r="C3" s="3290" t="s">
        <v>2019</v>
      </c>
      <c r="D3" s="3289" t="s">
        <v>2716</v>
      </c>
      <c r="E3" s="3292" t="s">
        <v>2020</v>
      </c>
      <c r="F3" s="3292"/>
      <c r="G3" s="3292"/>
      <c r="H3" s="3292" t="s">
        <v>2021</v>
      </c>
      <c r="I3" s="3292"/>
      <c r="J3" s="3292"/>
      <c r="K3" s="3290" t="s">
        <v>2022</v>
      </c>
      <c r="L3" s="3290" t="s">
        <v>2023</v>
      </c>
      <c r="M3" s="3289" t="s">
        <v>2713</v>
      </c>
      <c r="N3" s="3291" t="str">
        <f>"（分摊）"&amp;项目基本情况!B16&amp;"国有建设用地使用权面积/㎡"</f>
        <v>（分摊）出让国有建设用地使用权面积/㎡</v>
      </c>
      <c r="O3" s="3289" t="s">
        <v>2052</v>
      </c>
      <c r="P3" s="3290" t="s">
        <v>2032</v>
      </c>
      <c r="Q3" s="3290" t="s">
        <v>2053</v>
      </c>
      <c r="R3" s="3290" t="s">
        <v>2024</v>
      </c>
    </row>
    <row r="4" spans="1:18" ht="36.75" customHeight="1">
      <c r="A4" s="3289"/>
      <c r="B4" s="3289"/>
      <c r="C4" s="3290"/>
      <c r="D4" s="3289"/>
      <c r="E4" s="2491" t="s">
        <v>2031</v>
      </c>
      <c r="F4" s="2491" t="s">
        <v>2725</v>
      </c>
      <c r="G4" s="2491" t="s">
        <v>2025</v>
      </c>
      <c r="H4" s="2491" t="s">
        <v>2026</v>
      </c>
      <c r="I4" s="2491" t="s">
        <v>2726</v>
      </c>
      <c r="J4" s="2491" t="s">
        <v>2025</v>
      </c>
      <c r="K4" s="3290"/>
      <c r="L4" s="3290"/>
      <c r="M4" s="3289"/>
      <c r="N4" s="3291"/>
      <c r="O4" s="3289"/>
      <c r="P4" s="3290"/>
      <c r="Q4" s="3290"/>
      <c r="R4" s="3290"/>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8928.57</v>
      </c>
      <c r="O5" s="1725">
        <f>项目基本情况!C21</f>
        <v>25000</v>
      </c>
      <c r="P5" s="1725" t="e">
        <f ca="1">结果表!E42</f>
        <v>#DIV/0!</v>
      </c>
      <c r="Q5" s="1725" t="e">
        <f ca="1">结果表!D42</f>
        <v>#DIV/0!</v>
      </c>
      <c r="R5" s="1726" t="e">
        <f ca="1">结果表!C42</f>
        <v>#DIV/0!</v>
      </c>
    </row>
    <row r="6" spans="1:18">
      <c r="A6" s="3285" t="str">
        <f>IF(项目基本情况!B9="市场价格","——","抵押价格")</f>
        <v>——</v>
      </c>
      <c r="B6" s="3286"/>
      <c r="C6" s="3286"/>
      <c r="D6" s="3286"/>
      <c r="E6" s="3286"/>
      <c r="F6" s="3286"/>
      <c r="G6" s="3286"/>
      <c r="H6" s="3286"/>
      <c r="I6" s="3286"/>
      <c r="J6" s="3286"/>
      <c r="K6" s="3286"/>
      <c r="L6" s="3286"/>
      <c r="M6" s="3286"/>
      <c r="N6" s="3286"/>
      <c r="O6" s="3286"/>
      <c r="P6" s="3286"/>
      <c r="Q6" s="3287"/>
      <c r="R6" s="1727" t="str">
        <f>结果表!O39</f>
        <v>——</v>
      </c>
    </row>
    <row r="7" spans="1:18">
      <c r="A7" s="3285" t="str">
        <f>IF(项目基本情况!B9="市场价格","——",IF(项目基本情况!E8="已注销及未注销","抵押担保权已注销时的抵押价格","——"))</f>
        <v>——</v>
      </c>
      <c r="B7" s="3286"/>
      <c r="C7" s="3286"/>
      <c r="D7" s="3286"/>
      <c r="E7" s="3286"/>
      <c r="F7" s="3286"/>
      <c r="G7" s="3286"/>
      <c r="H7" s="3286"/>
      <c r="I7" s="3286"/>
      <c r="J7" s="3286"/>
      <c r="K7" s="3286"/>
      <c r="L7" s="3286"/>
      <c r="M7" s="3286"/>
      <c r="N7" s="3286"/>
      <c r="O7" s="3286"/>
      <c r="P7" s="3286"/>
      <c r="Q7" s="3287"/>
      <c r="R7" s="1727" t="str">
        <f>结果表!O40</f>
        <v>——</v>
      </c>
    </row>
    <row r="8" spans="1:18">
      <c r="A8" s="3285" t="str">
        <f>IF(项目基本情况!B9="市场价格","——",项目基本情况!E9)</f>
        <v>——</v>
      </c>
      <c r="B8" s="3286"/>
      <c r="C8" s="3286"/>
      <c r="D8" s="3286"/>
      <c r="E8" s="3286"/>
      <c r="F8" s="3286"/>
      <c r="G8" s="3286"/>
      <c r="H8" s="3286"/>
      <c r="I8" s="3286"/>
      <c r="J8" s="3286"/>
      <c r="K8" s="3286"/>
      <c r="L8" s="3286"/>
      <c r="M8" s="3286"/>
      <c r="N8" s="3286"/>
      <c r="O8" s="3286"/>
      <c r="P8" s="3286"/>
      <c r="Q8" s="3287"/>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293" t="s">
        <v>2054</v>
      </c>
      <c r="B1" s="3293"/>
      <c r="C1" s="3293"/>
      <c r="D1" s="3293"/>
    </row>
    <row r="2" spans="1:4" ht="47.25" customHeight="1">
      <c r="A2" s="3297" t="str">
        <f>"1.权利限制："&amp;项目基本情况!L24&amp;"未设定租赁等其他他项权利。"</f>
        <v>1.权利限制：根据估价对象《不动产权证书》原件、《国有土地使用权》复印件，截至估价期日，估价对象抵押权未见登记。未设定租赁等其他他项权利。</v>
      </c>
      <c r="B2" s="3297"/>
      <c r="C2" s="3297"/>
      <c r="D2" s="3297"/>
    </row>
    <row r="3" spans="1:4" ht="48" customHeight="1">
      <c r="A3" s="329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3"/>
      <c r="C3" s="3293"/>
      <c r="D3" s="3293"/>
    </row>
    <row r="4" spans="1:4" ht="36.75" customHeight="1">
      <c r="A4" s="3293" t="str">
        <f>"3.估价规划限制条件：详见"&amp;项目基本情况!E21&amp;"。"</f>
        <v>3.估价规划限制条件：详见《建设工程规划许可证》[]、《出让合同》[]。</v>
      </c>
      <c r="B4" s="3293"/>
      <c r="C4" s="3293"/>
      <c r="D4" s="3293"/>
    </row>
    <row r="5" spans="1:4">
      <c r="A5" s="3296" t="s">
        <v>2055</v>
      </c>
      <c r="B5" s="3296"/>
      <c r="C5" s="3296"/>
      <c r="D5" s="3296"/>
    </row>
    <row r="6" spans="1:4">
      <c r="A6" s="3293" t="s">
        <v>2033</v>
      </c>
      <c r="B6" s="3293"/>
      <c r="C6" s="3293"/>
      <c r="D6" s="3293"/>
    </row>
    <row r="7" spans="1:4" ht="33" customHeight="1">
      <c r="A7" s="3293" t="s">
        <v>2556</v>
      </c>
      <c r="B7" s="3293"/>
      <c r="C7" s="3293"/>
      <c r="D7" s="3293"/>
    </row>
    <row r="8" spans="1:4" ht="32.25" customHeight="1">
      <c r="A8" s="32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93"/>
      <c r="C8" s="3293"/>
      <c r="D8" s="3293"/>
    </row>
    <row r="9" spans="1:4" ht="33.75" customHeight="1">
      <c r="A9" s="3293" t="str">
        <f>IF(项目基本情况!B8="抵押","3.抵押双方在办理抵押登记手续时，应使用本公司出具的正式《土地估价报告》，特提请报告使用者注意。","——")</f>
        <v>——</v>
      </c>
      <c r="B9" s="3293"/>
      <c r="C9" s="3293"/>
      <c r="D9" s="3293"/>
    </row>
    <row r="10" spans="1:4">
      <c r="A10" s="3293" t="str">
        <f>IF(项目基本情况!B8="抵押","4.估价师所知悉的法定优先受偿款情况为：","——")</f>
        <v>——</v>
      </c>
      <c r="B10" s="3293"/>
      <c r="C10" s="3293"/>
      <c r="D10" s="3293"/>
    </row>
    <row r="11" spans="1:4" ht="37.5" customHeight="1">
      <c r="A11" s="3295" t="str">
        <f>IF(项目基本情况!B8="抵押","（1）"&amp;CONCATENATE(项目基本情况!L24,项目基本情况!L25,项目基本情况!L26),"——")</f>
        <v>——</v>
      </c>
      <c r="B11" s="3295"/>
      <c r="C11" s="3295"/>
      <c r="D11" s="3295"/>
    </row>
    <row r="12" spans="1:4" ht="168" customHeight="1">
      <c r="A12" s="3296" t="s">
        <v>2057</v>
      </c>
      <c r="B12" s="3296"/>
      <c r="C12" s="3296"/>
      <c r="D12" s="3296"/>
    </row>
    <row r="13" spans="1:4">
      <c r="A13" s="3294" t="s">
        <v>2727</v>
      </c>
      <c r="B13" s="3294"/>
      <c r="C13" s="3294"/>
      <c r="D13" s="3294"/>
    </row>
    <row r="14" spans="1:4">
      <c r="A14" s="3295" t="str">
        <f>IF(项目基本情况!B8="抵押","综上，"&amp;结果表!K47,"——")</f>
        <v>——</v>
      </c>
      <c r="B14" s="3295"/>
      <c r="C14" s="3295"/>
      <c r="D14" s="3295"/>
    </row>
    <row r="15" spans="1:4" ht="58.5" customHeight="1">
      <c r="A15" s="32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3"/>
      <c r="C15" s="3293"/>
      <c r="D15" s="3293"/>
    </row>
    <row r="16" spans="1:4" ht="70.5" customHeight="1">
      <c r="A16" s="32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3"/>
      <c r="C16" s="3293"/>
      <c r="D16" s="3293"/>
    </row>
    <row r="17" spans="1:4">
      <c r="A17" s="3293" t="s">
        <v>2683</v>
      </c>
      <c r="B17" s="3293"/>
      <c r="C17" s="3293"/>
      <c r="D17" s="3293"/>
    </row>
    <row r="18" spans="1:4">
      <c r="A18" s="3293" t="s">
        <v>2675</v>
      </c>
      <c r="B18" s="3293"/>
      <c r="C18" s="3293"/>
      <c r="D18" s="3293"/>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293" t="s">
        <v>2680</v>
      </c>
      <c r="B23" s="3293"/>
      <c r="C23" s="3293"/>
      <c r="D23" s="3293"/>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05" t="s">
        <v>53</v>
      </c>
      <c r="B15" s="3306" t="s">
        <v>838</v>
      </c>
      <c r="C15" s="3302"/>
    </row>
    <row r="16" spans="1:7" ht="14.25">
      <c r="A16" s="3305"/>
      <c r="B16" s="3303" t="s">
        <v>54</v>
      </c>
      <c r="C16" s="1155" t="s">
        <v>53</v>
      </c>
    </row>
    <row r="17" spans="1:3" ht="14.25">
      <c r="A17" s="3305"/>
      <c r="B17" s="3303"/>
      <c r="C17" s="1155" t="s">
        <v>55</v>
      </c>
    </row>
    <row r="18" spans="1:3" ht="14.25">
      <c r="A18" s="3305"/>
      <c r="B18" s="3303"/>
      <c r="C18" s="1155" t="s">
        <v>56</v>
      </c>
    </row>
    <row r="19" spans="1:3" ht="14.25">
      <c r="A19" s="3305"/>
      <c r="B19" s="3301" t="s">
        <v>57</v>
      </c>
      <c r="C19" s="3302"/>
    </row>
    <row r="20" spans="1:3" ht="14.25">
      <c r="A20" s="1156" t="s">
        <v>58</v>
      </c>
      <c r="B20" s="1157"/>
      <c r="C20" s="1158"/>
    </row>
    <row r="21" spans="1:3" ht="14.25">
      <c r="A21" s="3304" t="s">
        <v>59</v>
      </c>
      <c r="B21" s="3301" t="s">
        <v>60</v>
      </c>
      <c r="C21" s="3302"/>
    </row>
    <row r="22" spans="1:3" ht="14.25">
      <c r="A22" s="3304"/>
      <c r="B22" s="3301" t="s">
        <v>61</v>
      </c>
      <c r="C22" s="3302"/>
    </row>
    <row r="23" spans="1:3" ht="14.25">
      <c r="A23" s="3304"/>
      <c r="B23" s="3301" t="s">
        <v>62</v>
      </c>
      <c r="C23" s="3302"/>
    </row>
    <row r="24" spans="1:3" ht="14.25">
      <c r="A24" s="3304"/>
      <c r="B24" s="3307" t="s">
        <v>63</v>
      </c>
      <c r="C24" s="1159" t="s">
        <v>829</v>
      </c>
    </row>
    <row r="25" spans="1:3" ht="14.25">
      <c r="A25" s="3304"/>
      <c r="B25" s="3308"/>
      <c r="C25" s="1159" t="s">
        <v>830</v>
      </c>
    </row>
    <row r="26" spans="1:3" ht="14.25">
      <c r="A26" s="3304"/>
      <c r="B26" s="3308"/>
      <c r="C26" s="1159" t="s">
        <v>831</v>
      </c>
    </row>
    <row r="27" spans="1:3" ht="14.25">
      <c r="A27" s="3304"/>
      <c r="B27" s="3308"/>
      <c r="C27" s="1159" t="s">
        <v>832</v>
      </c>
    </row>
    <row r="28" spans="1:3" ht="14.25">
      <c r="A28" s="3304"/>
      <c r="B28" s="3308"/>
      <c r="C28" s="1159" t="s">
        <v>833</v>
      </c>
    </row>
    <row r="29" spans="1:3" ht="14.25">
      <c r="A29" s="3304"/>
      <c r="B29" s="3308"/>
      <c r="C29" s="1159" t="s">
        <v>834</v>
      </c>
    </row>
    <row r="30" spans="1:3" ht="14.25">
      <c r="A30" s="3304"/>
      <c r="B30" s="3308"/>
      <c r="C30" s="1159" t="s">
        <v>835</v>
      </c>
    </row>
    <row r="31" spans="1:3" ht="14.25">
      <c r="A31" s="3304"/>
      <c r="B31" s="3308"/>
      <c r="C31" s="1159" t="s">
        <v>836</v>
      </c>
    </row>
    <row r="32" spans="1:3" ht="14.25">
      <c r="A32" s="3304"/>
      <c r="B32" s="3308"/>
      <c r="C32" s="1159" t="s">
        <v>1637</v>
      </c>
    </row>
    <row r="33" spans="1:3" ht="14.25">
      <c r="A33" s="3304"/>
      <c r="B33" s="3298" t="s">
        <v>1643</v>
      </c>
      <c r="C33" s="1159" t="s">
        <v>1638</v>
      </c>
    </row>
    <row r="34" spans="1:3" ht="14.25">
      <c r="A34" s="3304"/>
      <c r="B34" s="3299"/>
      <c r="C34" s="1164" t="s">
        <v>1639</v>
      </c>
    </row>
    <row r="35" spans="1:3" ht="14.25">
      <c r="A35" s="3304"/>
      <c r="B35" s="3299"/>
      <c r="C35" s="1165" t="s">
        <v>1640</v>
      </c>
    </row>
    <row r="36" spans="1:3" ht="14.25">
      <c r="A36" s="3304"/>
      <c r="B36" s="3299"/>
      <c r="C36" s="1165" t="s">
        <v>1641</v>
      </c>
    </row>
    <row r="37" spans="1:3" ht="14.25">
      <c r="A37" s="3304"/>
      <c r="B37" s="3300"/>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44300</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2" t="s">
        <v>1915</v>
      </c>
      <c r="B17" s="3313"/>
      <c r="C17" s="3313"/>
      <c r="D17" s="3313"/>
      <c r="E17" s="3313"/>
      <c r="F17" s="3313"/>
      <c r="G17" s="3034"/>
    </row>
    <row r="18" spans="1:7" ht="20.25" customHeight="1">
      <c r="A18" s="3309" t="s">
        <v>1916</v>
      </c>
      <c r="B18" s="3309"/>
      <c r="C18" s="3310"/>
      <c r="D18" s="3311" t="s">
        <v>1917</v>
      </c>
      <c r="E18" s="3309"/>
      <c r="F18" s="3309"/>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2970</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8" priority="149">
      <formula>AND($C5-TODAY()&lt;30,TODAY()&lt;$C5)</formula>
    </cfRule>
  </conditionalFormatting>
  <conditionalFormatting sqref="C20">
    <cfRule type="expression" dxfId="227" priority="148">
      <formula>AND($C20-TODAY()&lt;30,TODAY()&lt;$C20)</formula>
    </cfRule>
  </conditionalFormatting>
  <conditionalFormatting sqref="C20 F4 C5 C13">
    <cfRule type="cellIs" dxfId="226" priority="150" stopIfTrue="1" operator="lessThan">
      <formula>$B$2</formula>
    </cfRule>
  </conditionalFormatting>
  <conditionalFormatting sqref="F5 F7 F9">
    <cfRule type="cellIs" dxfId="225" priority="144" stopIfTrue="1" operator="lessThan">
      <formula>$B$2</formula>
    </cfRule>
  </conditionalFormatting>
  <conditionalFormatting sqref="C16:D16">
    <cfRule type="expression" dxfId="224" priority="142">
      <formula>AND($C16-TODAY()&lt;30,TODAY()&lt;$C16)</formula>
    </cfRule>
  </conditionalFormatting>
  <conditionalFormatting sqref="F6 F8 F10 C16:D16">
    <cfRule type="cellIs" dxfId="223" priority="143" stopIfTrue="1" operator="lessThan">
      <formula>$B$2</formula>
    </cfRule>
  </conditionalFormatting>
  <conditionalFormatting sqref="F14">
    <cfRule type="cellIs" dxfId="222" priority="114" stopIfTrue="1" operator="lessThan">
      <formula>$B$2</formula>
    </cfRule>
  </conditionalFormatting>
  <conditionalFormatting sqref="F13">
    <cfRule type="cellIs" dxfId="221" priority="113" stopIfTrue="1" operator="lessThan">
      <formula>$B$2</formula>
    </cfRule>
  </conditionalFormatting>
  <conditionalFormatting sqref="B4:B11 E4:E11 E13:E15 B13:B15">
    <cfRule type="cellIs" dxfId="220" priority="111" stopIfTrue="1" operator="equal">
      <formula>"已过期"</formula>
    </cfRule>
  </conditionalFormatting>
  <conditionalFormatting sqref="F20">
    <cfRule type="cellIs" dxfId="219" priority="108" stopIfTrue="1" operator="lessThan">
      <formula>$B$2</formula>
    </cfRule>
  </conditionalFormatting>
  <conditionalFormatting sqref="F20">
    <cfRule type="expression" dxfId="218" priority="152">
      <formula>AND($E20-TODAY()&lt;30,TODAY()&lt;$E20)</formula>
    </cfRule>
  </conditionalFormatting>
  <conditionalFormatting sqref="C6">
    <cfRule type="expression" dxfId="217" priority="82">
      <formula>AND($C6-TODAY()&lt;30,TODAY()&lt;$C6)</formula>
    </cfRule>
  </conditionalFormatting>
  <conditionalFormatting sqref="C6">
    <cfRule type="cellIs" dxfId="216" priority="83" stopIfTrue="1" operator="lessThan">
      <formula>$B$2</formula>
    </cfRule>
  </conditionalFormatting>
  <conditionalFormatting sqref="C11 C15">
    <cfRule type="expression" dxfId="215" priority="80">
      <formula>AND($C11-TODAY()&lt;30,TODAY()&lt;$C11)</formula>
    </cfRule>
  </conditionalFormatting>
  <conditionalFormatting sqref="C11 C15">
    <cfRule type="cellIs" dxfId="214" priority="81" stopIfTrue="1" operator="lessThan">
      <formula>$B$2</formula>
    </cfRule>
  </conditionalFormatting>
  <conditionalFormatting sqref="F11">
    <cfRule type="cellIs" dxfId="213" priority="79" stopIfTrue="1" operator="lessThan">
      <formula>$B$2</formula>
    </cfRule>
  </conditionalFormatting>
  <conditionalFormatting sqref="C14">
    <cfRule type="expression" dxfId="212" priority="60">
      <formula>AND($C14-TODAY()&lt;30,TODAY()&lt;$C14)</formula>
    </cfRule>
  </conditionalFormatting>
  <conditionalFormatting sqref="C14">
    <cfRule type="cellIs" dxfId="211" priority="61" stopIfTrue="1" operator="lessThan">
      <formula>$B$2</formula>
    </cfRule>
  </conditionalFormatting>
  <conditionalFormatting sqref="C12">
    <cfRule type="cellIs" dxfId="210" priority="54" stopIfTrue="1" operator="lessThan">
      <formula>$B$2</formula>
    </cfRule>
  </conditionalFormatting>
  <conditionalFormatting sqref="C12">
    <cfRule type="expression" dxfId="209" priority="51">
      <formula>AND($C12-TODAY()&lt;30,TODAY()&lt;$C12)</formula>
    </cfRule>
  </conditionalFormatting>
  <conditionalFormatting sqref="C12">
    <cfRule type="cellIs" dxfId="208" priority="52" stopIfTrue="1" operator="lessThan">
      <formula>$B$2</formula>
    </cfRule>
  </conditionalFormatting>
  <conditionalFormatting sqref="B12">
    <cfRule type="cellIs" dxfId="207" priority="48" stopIfTrue="1" operator="equal">
      <formula>"已过期"</formula>
    </cfRule>
  </conditionalFormatting>
  <conditionalFormatting sqref="E12">
    <cfRule type="cellIs" dxfId="206" priority="38" stopIfTrue="1" operator="equal">
      <formula>"已过期"</formula>
    </cfRule>
  </conditionalFormatting>
  <conditionalFormatting sqref="F12">
    <cfRule type="cellIs" dxfId="205" priority="37" stopIfTrue="1" operator="lessThan">
      <formula>$B$2</formula>
    </cfRule>
  </conditionalFormatting>
  <conditionalFormatting sqref="C9:C10">
    <cfRule type="expression" dxfId="204" priority="33">
      <formula>AND($C9-TODAY()&lt;30,TODAY()&lt;$C9)</formula>
    </cfRule>
  </conditionalFormatting>
  <conditionalFormatting sqref="C9:C10">
    <cfRule type="cellIs" dxfId="203" priority="34" stopIfTrue="1" operator="lessThan">
      <formula>$B$2</formula>
    </cfRule>
  </conditionalFormatting>
  <conditionalFormatting sqref="F21">
    <cfRule type="cellIs" dxfId="202" priority="13" stopIfTrue="1" operator="lessThan">
      <formula>$B$2</formula>
    </cfRule>
  </conditionalFormatting>
  <conditionalFormatting sqref="F21">
    <cfRule type="expression" dxfId="201" priority="14">
      <formula>AND($E21-TODAY()&lt;30,TODAY()&lt;$E21)</formula>
    </cfRule>
  </conditionalFormatting>
  <conditionalFormatting sqref="C7:C8">
    <cfRule type="expression" dxfId="200" priority="5">
      <formula>AND($C7-TODAY()&lt;30,TODAY()&lt;$C7)</formula>
    </cfRule>
  </conditionalFormatting>
  <conditionalFormatting sqref="C7:C8">
    <cfRule type="cellIs" dxfId="199" priority="6" stopIfTrue="1" operator="lessThan">
      <formula>$B$2</formula>
    </cfRule>
  </conditionalFormatting>
  <conditionalFormatting sqref="C7:C8">
    <cfRule type="expression" dxfId="198" priority="3">
      <formula>AND($C7-TODAY()&lt;30,TODAY()&lt;$C7)</formula>
    </cfRule>
  </conditionalFormatting>
  <conditionalFormatting sqref="C7:C8">
    <cfRule type="cellIs" dxfId="197" priority="4" stopIfTrue="1" operator="lessThan">
      <formula>$B$2</formula>
    </cfRule>
  </conditionalFormatting>
  <conditionalFormatting sqref="C4">
    <cfRule type="expression" dxfId="196" priority="1">
      <formula>AND($C4-TODAY()&lt;30,TODAY()&lt;$C4)</formula>
    </cfRule>
  </conditionalFormatting>
  <conditionalFormatting sqref="C4">
    <cfRule type="cellIs" dxfId="19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2971</v>
      </c>
      <c r="C20" s="1493"/>
    </row>
    <row r="21" spans="1:3">
      <c r="A21" s="8" t="s">
        <v>122</v>
      </c>
      <c r="B21" s="8" t="s">
        <v>3020</v>
      </c>
      <c r="C21" s="1493"/>
    </row>
    <row r="22" spans="1:3">
      <c r="A22" s="8" t="s">
        <v>123</v>
      </c>
      <c r="B22" s="8" t="s">
        <v>3021</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14"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14日，在规划利用条件下、设定土地开发程度为红线外“七通”、宗地内场地，设定用途为，剩余土地使用年限为的出让国有建设用地使用权价格。</v>
      </c>
      <c r="D53" s="1685"/>
      <c r="E53" s="1685"/>
    </row>
    <row r="54" spans="1:5">
      <c r="A54" s="3314"/>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14"/>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14"/>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14"/>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154</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基准地价-商业</vt:lpstr>
      <vt:lpstr>修正</vt:lpstr>
      <vt:lpstr>区片价</vt:lpstr>
      <vt:lpstr>容积率修正</vt:lpstr>
      <vt:lpstr>因素修正幅度</vt:lpstr>
      <vt:lpstr>基准地价-办公</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2021-04-14T07:37:32Z</dcterms:modified>
</cp:coreProperties>
</file>