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案例" sheetId="8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仓储)" sheetId="81" r:id="rId35"/>
    <sheet name="收益法(车库)" sheetId="82"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34">'收益法(仓储)'!$A$1:$F$43,'收益法(仓储)'!$H$3:$M$29,'收益法(仓储)'!$A$46:$F$71,'收益法(仓储)'!$I$46:$N$65</definedName>
    <definedName name="_xlnm.Print_Area" localSheetId="35">'收益法(车库)'!$A$1:$F$43,'收益法(车库)'!$H$3:$M$29,'收益法(车库)'!$A$46:$F$71,'收益法(车库)'!$I$46:$N$65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14" i="74" l="1"/>
  <c r="B14" i="74"/>
  <c r="Q72" i="82" l="1"/>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F21" i="81"/>
  <c r="M20" i="81"/>
  <c r="F20" i="81"/>
  <c r="M19" i="81"/>
  <c r="M18" i="81"/>
  <c r="F18" i="81"/>
  <c r="M17" i="81"/>
  <c r="F17" i="81"/>
  <c r="F15" i="81"/>
  <c r="G1" i="81"/>
  <c r="I41" i="40"/>
  <c r="G41" i="40"/>
  <c r="E41" i="40"/>
  <c r="I34" i="40"/>
  <c r="G34" i="40"/>
  <c r="E34" i="40"/>
  <c r="C34" i="40"/>
  <c r="P66" i="40"/>
  <c r="Q66" i="40" s="1"/>
  <c r="R66" i="40" s="1"/>
  <c r="S66" i="40" s="1"/>
  <c r="T66" i="40" s="1"/>
  <c r="U66" i="40" s="1"/>
  <c r="E66" i="40"/>
  <c r="F66" i="40" s="1"/>
  <c r="G66" i="40" s="1"/>
  <c r="H66" i="40" s="1"/>
  <c r="I66" i="40" s="1"/>
  <c r="J66" i="40" s="1"/>
  <c r="K66" i="40" s="1"/>
  <c r="L66" i="40" s="1"/>
  <c r="M66" i="40" s="1"/>
  <c r="N66" i="40" s="1"/>
  <c r="O66" i="40" s="1"/>
  <c r="D66" i="40"/>
  <c r="C11" i="40"/>
  <c r="C10" i="40"/>
  <c r="I7" i="40"/>
  <c r="G7" i="40"/>
  <c r="E7" i="40"/>
  <c r="I5" i="40"/>
  <c r="G5" i="40"/>
  <c r="E5" i="40"/>
  <c r="G44" i="43"/>
  <c r="D33" i="43"/>
  <c r="G84" i="43"/>
  <c r="G85" i="43"/>
  <c r="G86" i="43"/>
  <c r="G87" i="43"/>
  <c r="G88" i="43"/>
  <c r="G89" i="43"/>
  <c r="G90" i="43"/>
  <c r="G83" i="43"/>
  <c r="AM8" i="1"/>
  <c r="AM7" i="1"/>
  <c r="AL8" i="1"/>
  <c r="AL7" i="1"/>
  <c r="AK8" i="1"/>
  <c r="AK7" i="1"/>
  <c r="AH8" i="1"/>
  <c r="N14" i="1"/>
  <c r="N8" i="1"/>
  <c r="N7" i="1"/>
  <c r="L14" i="1"/>
  <c r="L8" i="1"/>
  <c r="L7" i="1"/>
  <c r="B59" i="1"/>
  <c r="G21" i="6"/>
  <c r="G20" i="6"/>
  <c r="G19" i="6"/>
  <c r="C76" i="82"/>
  <c r="Q71" i="82" l="1"/>
  <c r="D24" i="82"/>
  <c r="P61" i="82"/>
  <c r="D22" i="82"/>
  <c r="D23" i="81"/>
  <c r="D22" i="81"/>
  <c r="D24" i="81"/>
  <c r="P61" i="81"/>
  <c r="F43" i="81"/>
  <c r="M29" i="82"/>
  <c r="M6" i="82"/>
  <c r="M24" i="82"/>
  <c r="F8" i="81"/>
  <c r="C76" i="81"/>
  <c r="J15" i="81"/>
  <c r="F6" i="82"/>
  <c r="F7" i="82"/>
  <c r="M23" i="82"/>
  <c r="L48" i="82"/>
  <c r="M26" i="81"/>
  <c r="M28" i="81"/>
  <c r="F6" i="81"/>
  <c r="J15" i="82"/>
  <c r="F42" i="82"/>
  <c r="F8" i="82"/>
  <c r="F40" i="81"/>
  <c r="F16" i="81"/>
  <c r="F7" i="81"/>
  <c r="F37" i="81"/>
  <c r="F36" i="82"/>
  <c r="M9" i="82"/>
  <c r="F40" i="82"/>
  <c r="M6" i="81"/>
  <c r="L47" i="81"/>
  <c r="M29" i="81"/>
  <c r="M8" i="82"/>
  <c r="F9" i="82"/>
  <c r="M27" i="82"/>
  <c r="L48" i="81"/>
  <c r="F36" i="81"/>
  <c r="M22" i="81"/>
  <c r="M23" i="81"/>
  <c r="M26" i="82"/>
  <c r="L47" i="82"/>
  <c r="M22" i="82"/>
  <c r="M24" i="81"/>
  <c r="F26" i="81"/>
  <c r="M8" i="81"/>
  <c r="F26" i="82"/>
  <c r="F38" i="82"/>
  <c r="F16" i="82"/>
  <c r="F43" i="82"/>
  <c r="F13" i="81"/>
  <c r="F42" i="81"/>
  <c r="F38" i="81"/>
  <c r="F13" i="82"/>
  <c r="M28" i="82"/>
  <c r="F37" i="82"/>
  <c r="M9" i="81"/>
  <c r="F9" i="81"/>
  <c r="M27" i="81"/>
  <c r="L57" i="82" l="1"/>
  <c r="L56" i="82"/>
  <c r="I54" i="82"/>
  <c r="L60" i="82"/>
  <c r="J57" i="82"/>
  <c r="J55" i="82" s="1"/>
  <c r="J58" i="82" s="1"/>
  <c r="Q50" i="82" s="1"/>
  <c r="F71" i="82"/>
  <c r="F68" i="82"/>
  <c r="F51" i="82"/>
  <c r="F65" i="82"/>
  <c r="N59" i="82"/>
  <c r="L58" i="82"/>
  <c r="F50" i="82"/>
  <c r="M7" i="82"/>
  <c r="J6" i="82" s="1"/>
  <c r="F66" i="82"/>
  <c r="F64" i="82"/>
  <c r="C6" i="82"/>
  <c r="C27" i="82"/>
  <c r="F65" i="81"/>
  <c r="C6" i="81"/>
  <c r="F66" i="81"/>
  <c r="F50" i="81"/>
  <c r="M7" i="81"/>
  <c r="J6" i="81" s="1"/>
  <c r="N59" i="81"/>
  <c r="L58" i="81"/>
  <c r="Q71" i="81"/>
  <c r="C27" i="81"/>
  <c r="F64" i="81"/>
  <c r="F51" i="81"/>
  <c r="F68" i="81"/>
  <c r="F71" i="81"/>
  <c r="L57" i="81"/>
  <c r="L56" i="81"/>
  <c r="J57" i="81"/>
  <c r="J55" i="81" s="1"/>
  <c r="J58" i="81" s="1"/>
  <c r="Q50" i="81" s="1"/>
  <c r="L60" i="81"/>
  <c r="I54" i="81"/>
  <c r="C17" i="81"/>
  <c r="C17" i="82"/>
  <c r="C33" i="82" l="1"/>
  <c r="C32" i="82"/>
  <c r="Q60" i="82"/>
  <c r="Q73" i="82"/>
  <c r="J19" i="82"/>
  <c r="J18" i="82"/>
  <c r="C49" i="82"/>
  <c r="Q66" i="82"/>
  <c r="Q57" i="82"/>
  <c r="C49" i="81"/>
  <c r="C61" i="81" s="1"/>
  <c r="J19" i="81"/>
  <c r="J18" i="81"/>
  <c r="Q66" i="81"/>
  <c r="Q57" i="81"/>
  <c r="Q60" i="81"/>
  <c r="Q73" i="81"/>
  <c r="C33" i="81"/>
  <c r="C32" i="81"/>
  <c r="C61" i="82" l="1"/>
  <c r="F13" i="4" l="1"/>
  <c r="G13" i="4"/>
  <c r="C11" i="4"/>
  <c r="B6" i="4"/>
  <c r="D3" i="4"/>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Q21" i="3"/>
  <c r="BP21" i="3"/>
  <c r="BO21" i="3"/>
  <c r="BN21" i="3"/>
  <c r="BM21" i="3"/>
  <c r="BK21" i="3"/>
  <c r="BJ21" i="3"/>
  <c r="BI21" i="3"/>
  <c r="BH21" i="3"/>
  <c r="BG21" i="3"/>
  <c r="BF21" i="3"/>
  <c r="BE21" i="3"/>
  <c r="BD21" i="3"/>
  <c r="BC21" i="3"/>
  <c r="BB21" i="3"/>
  <c r="BA21" i="3" s="1"/>
  <c r="AX21" i="3"/>
  <c r="AW21" i="3"/>
  <c r="AV21" i="3"/>
  <c r="AC21" i="3"/>
  <c r="AO21" i="3" s="1"/>
  <c r="BR21" i="3" s="1"/>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J15" i="40"/>
  <c r="W15" i="40" s="1"/>
  <c r="J11" i="40"/>
  <c r="W11"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c r="H28" i="40"/>
  <c r="U28"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B17" i="3" s="1"/>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U35" i="40"/>
  <c r="W38" i="40"/>
  <c r="AA32" i="40"/>
  <c r="AC15"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U32" i="40"/>
  <c r="AB31" i="40"/>
  <c r="AB28" i="40"/>
  <c r="W28" i="40"/>
  <c r="W34" i="40"/>
  <c r="S36" i="40"/>
  <c r="W37"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1"/>
  <c r="F20" i="31"/>
  <c r="E10" i="76"/>
  <c r="F8" i="15"/>
  <c r="F26" i="67"/>
  <c r="F7" i="15"/>
  <c r="D7" i="73"/>
  <c r="E11" i="76"/>
  <c r="B12" i="76"/>
  <c r="C76" i="15"/>
  <c r="F9" i="15"/>
  <c r="B7" i="76"/>
  <c r="F42" i="67"/>
  <c r="F37" i="15"/>
  <c r="F13" i="15"/>
  <c r="M8" i="15"/>
  <c r="M28" i="15"/>
  <c r="F5" i="73"/>
  <c r="F43" i="15"/>
  <c r="F43" i="67"/>
  <c r="F3" i="73"/>
  <c r="F7" i="73"/>
  <c r="M6" i="15"/>
  <c r="E9" i="76"/>
  <c r="M22" i="67"/>
  <c r="D4" i="73"/>
  <c r="M24" i="67"/>
  <c r="B8" i="76"/>
  <c r="L47" i="15"/>
  <c r="M24" i="15"/>
  <c r="C76" i="67"/>
  <c r="L48" i="15"/>
  <c r="F40" i="67"/>
  <c r="M9" i="67"/>
  <c r="F36" i="15"/>
  <c r="E2" i="68"/>
  <c r="M8" i="67"/>
  <c r="M26" i="67"/>
  <c r="M22" i="15"/>
  <c r="F13" i="67"/>
  <c r="M23" i="67"/>
  <c r="B9" i="76"/>
  <c r="F6" i="67"/>
  <c r="E7" i="76"/>
  <c r="F6" i="15"/>
  <c r="F26" i="15"/>
  <c r="F7" i="67"/>
  <c r="L47" i="67"/>
  <c r="F37" i="67"/>
  <c r="F38" i="67"/>
  <c r="B11" i="76"/>
  <c r="D5" i="73"/>
  <c r="M29" i="67"/>
  <c r="M29" i="15"/>
  <c r="D3" i="73"/>
  <c r="D6" i="73"/>
  <c r="B10" i="76"/>
  <c r="M9" i="15"/>
  <c r="F36" i="67"/>
  <c r="L48" i="67"/>
  <c r="F42" i="15"/>
  <c r="F8" i="67"/>
  <c r="E2" i="69"/>
  <c r="F16" i="15"/>
  <c r="F40" i="15"/>
  <c r="M23" i="15"/>
  <c r="E13" i="76"/>
  <c r="F4" i="73"/>
  <c r="E12" i="76"/>
  <c r="F6" i="73"/>
  <c r="J15" i="15"/>
  <c r="C16" i="82"/>
  <c r="F16" i="67"/>
  <c r="E8" i="76"/>
  <c r="F9" i="67"/>
  <c r="AO13" i="1"/>
  <c r="F38" i="15"/>
  <c r="M26" i="15"/>
  <c r="J15" i="67"/>
  <c r="M6" i="67"/>
  <c r="M28" i="67"/>
  <c r="B13" i="76"/>
  <c r="O7" i="1" l="1"/>
  <c r="P7" i="1" s="1"/>
  <c r="S37" i="40"/>
  <c r="AC36" i="40"/>
  <c r="AB37" i="40"/>
  <c r="U36" i="40"/>
  <c r="S35" i="40"/>
  <c r="W35" i="40"/>
  <c r="U34" i="40"/>
  <c r="AC32" i="40"/>
  <c r="W32" i="40"/>
  <c r="W30" i="40"/>
  <c r="W27" i="40"/>
  <c r="AB27" i="40"/>
  <c r="U25" i="40"/>
  <c r="W25" i="40"/>
  <c r="S25" i="40"/>
  <c r="F92" i="40"/>
  <c r="G92" i="40" s="1"/>
  <c r="J23" i="40"/>
  <c r="H23" i="40"/>
  <c r="AB23" i="40" s="1"/>
  <c r="F23" i="40"/>
  <c r="U23" i="40"/>
  <c r="AC21" i="40"/>
  <c r="S21" i="40"/>
  <c r="F19" i="40"/>
  <c r="S19" i="40" s="1"/>
  <c r="W19" i="40"/>
  <c r="AB19" i="40"/>
  <c r="AA19" i="40"/>
  <c r="J17" i="40"/>
  <c r="F86" i="40"/>
  <c r="G86" i="40" s="1"/>
  <c r="H17" i="40"/>
  <c r="U17" i="40" s="1"/>
  <c r="F17" i="40"/>
  <c r="AB17" i="40"/>
  <c r="AC11" i="40"/>
  <c r="U11" i="40"/>
  <c r="AC9" i="40"/>
  <c r="S9" i="40"/>
  <c r="D88" i="43"/>
  <c r="F54" i="9"/>
  <c r="F28" i="15"/>
  <c r="F32" i="15"/>
  <c r="F60" i="15" s="1"/>
  <c r="F32" i="67"/>
  <c r="F60" i="67" s="1"/>
  <c r="F52" i="9"/>
  <c r="F28" i="67"/>
  <c r="C28" i="67" s="1"/>
  <c r="F30" i="68"/>
  <c r="F48" i="68" s="1"/>
  <c r="C21" i="68"/>
  <c r="C40" i="69"/>
  <c r="BL21" i="3"/>
  <c r="BR5" i="3"/>
  <c r="AZ21" i="3"/>
  <c r="BA19" i="3"/>
  <c r="AZ19" i="3" s="1"/>
  <c r="BB5" i="3"/>
  <c r="BA17" i="3"/>
  <c r="AZ17" i="3" s="1"/>
  <c r="J5" i="3"/>
  <c r="F19" i="6" s="1"/>
  <c r="E19" i="6" s="1"/>
  <c r="K6" i="1" s="1"/>
  <c r="AP6" i="1" s="1"/>
  <c r="C36" i="69" s="1"/>
  <c r="G5" i="3"/>
  <c r="B3" i="3" s="1"/>
  <c r="BL5" i="3"/>
  <c r="BA5" i="3"/>
  <c r="G28" i="6"/>
  <c r="E28" i="6" s="1"/>
  <c r="K14" i="1" s="1"/>
  <c r="F29" i="6"/>
  <c r="D19" i="53"/>
  <c r="B38" i="72" s="1"/>
  <c r="D21" i="53"/>
  <c r="B39"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99" i="3"/>
  <c r="E45" i="3"/>
  <c r="E193" i="3"/>
  <c r="E519" i="3"/>
  <c r="E573" i="3"/>
  <c r="E458" i="3"/>
  <c r="E527" i="3"/>
  <c r="E438"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D9" i="68"/>
  <c r="G1" i="73"/>
  <c r="C16" i="15"/>
  <c r="C16" i="67"/>
  <c r="F11" i="82" l="1"/>
  <c r="M11" i="82"/>
  <c r="J10" i="82" s="1"/>
  <c r="J5" i="82" s="1"/>
  <c r="F11" i="81"/>
  <c r="M11" i="81"/>
  <c r="J10" i="81" s="1"/>
  <c r="J5" i="81" s="1"/>
  <c r="AA23" i="40"/>
  <c r="S23" i="40"/>
  <c r="AC23" i="40"/>
  <c r="W23" i="40"/>
  <c r="AA17" i="40"/>
  <c r="S17" i="40"/>
  <c r="W17" i="40"/>
  <c r="AC17" i="40"/>
  <c r="C30" i="68"/>
  <c r="E77" i="3"/>
  <c r="AT6" i="3"/>
  <c r="E314" i="3"/>
  <c r="E453" i="3"/>
  <c r="E424" i="3"/>
  <c r="E406" i="3"/>
  <c r="E474" i="3"/>
  <c r="E529" i="3"/>
  <c r="E532" i="3"/>
  <c r="E313" i="3"/>
  <c r="E224" i="3"/>
  <c r="E157" i="3"/>
  <c r="E306" i="3"/>
  <c r="E352" i="3"/>
  <c r="E136" i="3"/>
  <c r="E461" i="3"/>
  <c r="E122"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44" i="3"/>
  <c r="E167" i="3"/>
  <c r="E312" i="3"/>
  <c r="E542" i="3"/>
  <c r="E421" i="3"/>
  <c r="E487" i="3"/>
  <c r="E416" i="3"/>
  <c r="E374" i="3"/>
  <c r="E500" i="3"/>
  <c r="E413" i="3"/>
  <c r="E520" i="3"/>
  <c r="E39" i="3"/>
  <c r="E57" i="3"/>
  <c r="E187" i="3"/>
  <c r="E240" i="3"/>
  <c r="E259" i="3"/>
  <c r="E378" i="3"/>
  <c r="E504" i="3"/>
  <c r="E110" i="3"/>
  <c r="E462" i="3"/>
  <c r="E412" i="3"/>
  <c r="E96" i="3"/>
  <c r="E78" i="3"/>
  <c r="E129" i="3"/>
  <c r="E190" i="3"/>
  <c r="E174" i="3"/>
  <c r="E220" i="3"/>
  <c r="E275" i="3"/>
  <c r="E235" i="3"/>
  <c r="E383" i="3"/>
  <c r="E522" i="3"/>
  <c r="E35" i="3"/>
  <c r="E34" i="3"/>
  <c r="E206" i="3"/>
  <c r="E251" i="3"/>
  <c r="E381" i="3"/>
  <c r="E51" i="3"/>
  <c r="E19" i="3"/>
  <c r="E154" i="3"/>
  <c r="E179" i="3"/>
  <c r="E222" i="3"/>
  <c r="E323" i="3"/>
  <c r="E513" i="3"/>
  <c r="E21"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18" i="3"/>
  <c r="E324" i="3"/>
  <c r="E342" i="3"/>
  <c r="E86" i="3"/>
  <c r="E49" i="3"/>
  <c r="E232" i="3"/>
  <c r="E370" i="3"/>
  <c r="Y6" i="3"/>
  <c r="E68" i="3"/>
  <c r="E63" i="3"/>
  <c r="E81" i="3"/>
  <c r="E118" i="3"/>
  <c r="E264" i="3"/>
  <c r="E283" i="3"/>
  <c r="E309" i="3"/>
  <c r="E373" i="3"/>
  <c r="E82" i="3"/>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J26" i="82" l="1"/>
  <c r="J24" i="82"/>
  <c r="C24" i="82"/>
  <c r="C53" i="82"/>
  <c r="C48" i="82" s="1"/>
  <c r="C10" i="82"/>
  <c r="C5" i="82" s="1"/>
  <c r="L36" i="43"/>
  <c r="P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38" i="82" l="1"/>
  <c r="C66" i="82"/>
  <c r="C60" i="82"/>
  <c r="N36" i="43"/>
  <c r="O36" i="43"/>
  <c r="L37" i="43"/>
  <c r="P37" i="43" s="1"/>
  <c r="C38" i="81"/>
  <c r="M36" i="43"/>
  <c r="Q36" i="43"/>
  <c r="C66" i="81"/>
  <c r="C60" i="81"/>
  <c r="C24"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11"/>
  <c r="D41" i="11" s="1"/>
  <c r="C66" i="67"/>
  <c r="C60" i="67"/>
  <c r="D10" i="69"/>
  <c r="C34" i="69"/>
  <c r="D10" i="68"/>
  <c r="C14" i="82"/>
  <c r="C14" i="67"/>
  <c r="C17" i="67"/>
  <c r="C17" i="15"/>
  <c r="C18" i="82" l="1"/>
  <c r="C15" i="82"/>
  <c r="O37" i="43"/>
  <c r="M37" i="43"/>
  <c r="N37" i="43"/>
  <c r="Q37" i="43"/>
  <c r="C24" i="11"/>
  <c r="B23" i="1"/>
  <c r="B24" i="1"/>
  <c r="C29" i="68"/>
  <c r="D27" i="68" s="1"/>
  <c r="C29" i="11"/>
  <c r="D27" i="11" s="1"/>
  <c r="C28" i="11"/>
  <c r="C27"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81"/>
  <c r="F35" i="82"/>
  <c r="M21" i="82"/>
  <c r="B6" i="76"/>
  <c r="C14" i="15"/>
  <c r="C19" i="82" l="1"/>
  <c r="C18" i="81"/>
  <c r="C15" i="81"/>
  <c r="J53" i="82"/>
  <c r="M59" i="82"/>
  <c r="L59" i="82" s="1"/>
  <c r="M59" i="81"/>
  <c r="L59" i="81" s="1"/>
  <c r="J53" i="81"/>
  <c r="J53" i="15"/>
  <c r="C20" i="82"/>
  <c r="C26" i="82" s="1"/>
  <c r="J20" i="82"/>
  <c r="J17" i="82" s="1"/>
  <c r="F63" i="82"/>
  <c r="C62" i="82" s="1"/>
  <c r="C59" i="82" s="1"/>
  <c r="C34" i="82"/>
  <c r="C31" i="82" s="1"/>
  <c r="F34" i="68"/>
  <c r="M59" i="15"/>
  <c r="L59" i="15" s="1"/>
  <c r="M59" i="67"/>
  <c r="C29" i="12"/>
  <c r="D28" i="12" s="1"/>
  <c r="C26" i="12"/>
  <c r="D25" i="12" s="1"/>
  <c r="C26" i="11"/>
  <c r="D22" i="11" s="1"/>
  <c r="C23" i="11"/>
  <c r="C25" i="11"/>
  <c r="C26" i="68"/>
  <c r="D22" i="68"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19" i="81" l="1"/>
  <c r="C20" i="81" s="1"/>
  <c r="C26" i="81" s="1"/>
  <c r="C23" i="82"/>
  <c r="C29" i="82" s="1"/>
  <c r="L56" i="15"/>
  <c r="Q52" i="15"/>
  <c r="F1" i="15"/>
  <c r="Q74" i="81"/>
  <c r="Q61" i="81"/>
  <c r="Q52" i="82"/>
  <c r="F1" i="82"/>
  <c r="Q52" i="81"/>
  <c r="F1" i="81"/>
  <c r="Q74" i="82"/>
  <c r="Q61" i="82"/>
  <c r="Q61" i="15"/>
  <c r="Q74" i="15"/>
  <c r="C22" i="11"/>
  <c r="C31" i="11" s="1"/>
  <c r="C37" i="68"/>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8" i="1"/>
  <c r="AE6" i="1"/>
  <c r="AE7" i="1"/>
  <c r="F41" i="81"/>
  <c r="C23" i="81" l="1"/>
  <c r="C29" i="81" s="1"/>
  <c r="C13" i="81" s="1"/>
  <c r="F69" i="81"/>
  <c r="J29" i="81"/>
  <c r="C36" i="82"/>
  <c r="Q49" i="82"/>
  <c r="J59" i="82"/>
  <c r="J60" i="82" s="1"/>
  <c r="C57" i="82"/>
  <c r="C64" i="82" s="1"/>
  <c r="J14" i="82"/>
  <c r="C13" i="82"/>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F41" i="15"/>
  <c r="F41" i="82"/>
  <c r="M21" i="81"/>
  <c r="F35" i="81"/>
  <c r="F69" i="15" l="1"/>
  <c r="J29" i="82"/>
  <c r="F69" i="82"/>
  <c r="C36" i="81"/>
  <c r="J14" i="81"/>
  <c r="J13" i="81" s="1"/>
  <c r="J23" i="81" s="1"/>
  <c r="J59" i="81"/>
  <c r="J60" i="81" s="1"/>
  <c r="L46" i="81" s="1"/>
  <c r="Q49" i="81"/>
  <c r="C57" i="81"/>
  <c r="C64" i="81" s="1"/>
  <c r="J22" i="82"/>
  <c r="J13" i="82"/>
  <c r="J23" i="82" s="1"/>
  <c r="L46" i="82"/>
  <c r="Q48" i="82"/>
  <c r="J22" i="81"/>
  <c r="Q70" i="82"/>
  <c r="C75" i="82"/>
  <c r="C37" i="82"/>
  <c r="C30" i="82" s="1"/>
  <c r="C39" i="82" s="1"/>
  <c r="C56" i="82"/>
  <c r="C65" i="82" s="1"/>
  <c r="C58" i="82" s="1"/>
  <c r="C67" i="82" s="1"/>
  <c r="Q70" i="81"/>
  <c r="C56" i="81"/>
  <c r="C65" i="81" s="1"/>
  <c r="C75" i="81"/>
  <c r="C37" i="81"/>
  <c r="J20" i="81"/>
  <c r="J17" i="81" s="1"/>
  <c r="F63" i="81"/>
  <c r="C62" i="81" s="1"/>
  <c r="C59" i="81" s="1"/>
  <c r="C34" i="81"/>
  <c r="C31"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48" i="81" l="1"/>
  <c r="C68" i="82"/>
  <c r="C71" i="82" s="1"/>
  <c r="C58" i="81"/>
  <c r="C67" i="81" s="1"/>
  <c r="C68" i="81" s="1"/>
  <c r="Q67" i="82"/>
  <c r="C80" i="82"/>
  <c r="C79" i="82" s="1"/>
  <c r="C40" i="82"/>
  <c r="Q69" i="82"/>
  <c r="Q68" i="82" s="1"/>
  <c r="C30" i="81"/>
  <c r="C39" i="81" s="1"/>
  <c r="C40" i="81" s="1"/>
  <c r="J16" i="81"/>
  <c r="J25" i="81" s="1"/>
  <c r="J16" i="82"/>
  <c r="J25" i="82" s="1"/>
  <c r="C71" i="8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9" i="81" l="1"/>
  <c r="Q68" i="81" s="1"/>
  <c r="C46" i="82"/>
  <c r="C80" i="81"/>
  <c r="C79" i="81" s="1"/>
  <c r="Q47" i="82"/>
  <c r="Q53" i="82" s="1"/>
  <c r="Q65" i="82"/>
  <c r="Q75" i="82" s="1"/>
  <c r="C43" i="82"/>
  <c r="B2" i="82"/>
  <c r="Q56" i="82"/>
  <c r="Q62" i="82" s="1"/>
  <c r="C83" i="82"/>
  <c r="C82" i="82" s="1"/>
  <c r="Q67" i="81"/>
  <c r="Q47" i="81"/>
  <c r="Q53" i="81" s="1"/>
  <c r="B2" i="81"/>
  <c r="Q56" i="81"/>
  <c r="Q62" i="81" s="1"/>
  <c r="C43" i="81"/>
  <c r="Q65" i="81"/>
  <c r="Q75" i="81" s="1"/>
  <c r="C83" i="81"/>
  <c r="C82" i="81" s="1"/>
  <c r="C46" i="81"/>
  <c r="C46" i="68"/>
  <c r="C45" i="68" s="1"/>
  <c r="C41"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8" i="15"/>
  <c r="L57" i="67"/>
  <c r="L60" i="67" s="1"/>
  <c r="L46" i="67" s="1"/>
  <c r="D2" i="67" s="1"/>
  <c r="B2" i="67" s="1"/>
  <c r="Q67" i="67"/>
  <c r="E8" i="12"/>
  <c r="B3" i="82"/>
  <c r="E6" i="12" s="1"/>
  <c r="B3" i="81"/>
  <c r="D6" i="12" s="1"/>
  <c r="D8" i="12"/>
  <c r="C49" i="68"/>
  <c r="C51" i="68" s="1"/>
  <c r="Q65" i="67"/>
  <c r="Q66"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32" i="12"/>
  <c r="B2" i="12" s="1"/>
  <c r="B3" i="12" s="1"/>
  <c r="D20" i="9"/>
  <c r="D19" i="9"/>
  <c r="C23" i="68" l="1"/>
  <c r="C20" i="68"/>
  <c r="D21" i="9"/>
  <c r="D102" i="9"/>
  <c r="D103" i="9"/>
  <c r="C28" i="68" l="1"/>
  <c r="C27" i="68" s="1"/>
  <c r="C25" i="68"/>
  <c r="C22" i="68" s="1"/>
  <c r="C31" i="68" l="1"/>
  <c r="C52" i="68" s="1"/>
  <c r="B2" i="68" s="1"/>
  <c r="C19" i="9"/>
  <c r="C57" i="68" l="1"/>
  <c r="C56" i="68" s="1"/>
  <c r="C102" i="9"/>
  <c r="C21" i="9"/>
  <c r="D22" i="9"/>
  <c r="G19" i="9"/>
  <c r="G21" i="9" s="1"/>
  <c r="B3" i="68"/>
  <c r="D35" i="9"/>
  <c r="D34" i="9"/>
  <c r="C20" i="9"/>
  <c r="C103" i="9" l="1"/>
  <c r="G20" i="9"/>
  <c r="C32" i="9" s="1"/>
  <c r="C35" i="9" l="1"/>
  <c r="H118" i="9"/>
  <c r="C34" i="9" l="1"/>
  <c r="D118" i="9" s="1"/>
  <c r="F118" i="9"/>
  <c r="D14" i="74"/>
  <c r="H119" i="9"/>
  <c r="H5" i="52" s="1"/>
  <c r="I118" i="9"/>
  <c r="H4" i="52"/>
  <c r="C104" i="9"/>
  <c r="H101" i="9"/>
  <c r="F4" i="52" l="1"/>
  <c r="B51" i="72" s="1"/>
  <c r="F119" i="9"/>
  <c r="F5" i="52" s="1"/>
  <c r="B53" i="72" s="1"/>
  <c r="G118" i="9"/>
  <c r="G4" i="52" s="1"/>
  <c r="B52" i="72" s="1"/>
  <c r="D5" i="53"/>
  <c r="H107" i="9"/>
  <c r="M48" i="9"/>
  <c r="D45" i="9"/>
  <c r="I4" i="52"/>
  <c r="E118" i="9"/>
  <c r="E4" i="52" s="1"/>
  <c r="B48" i="72" s="1"/>
  <c r="C105" i="9"/>
  <c r="H102" i="9"/>
  <c r="D7" i="53" s="1"/>
  <c r="B21" i="72" s="1"/>
  <c r="E14" i="74"/>
  <c r="F14" i="74"/>
  <c r="B5" i="74"/>
  <c r="D119" i="9"/>
  <c r="D5" i="52" s="1"/>
  <c r="B49" i="72" s="1"/>
  <c r="D4" i="52"/>
  <c r="B47" i="72" s="1"/>
  <c r="D5" i="74" l="1"/>
  <c r="C5" i="74"/>
  <c r="B20" i="72"/>
  <c r="D6" i="53"/>
  <c r="B22" i="72" s="1"/>
  <c r="D53" i="9"/>
  <c r="C64" i="9"/>
  <c r="C63" i="9" s="1"/>
  <c r="C67" i="9" s="1"/>
  <c r="C72" i="9"/>
  <c r="D55" i="9"/>
  <c r="M53" i="9" s="1"/>
  <c r="D52" i="9"/>
  <c r="C93" i="9"/>
  <c r="C86" i="9" s="1"/>
  <c r="C78" i="9"/>
  <c r="C73" i="9" s="1"/>
  <c r="C85" i="9"/>
  <c r="D13" i="53"/>
  <c r="H108" i="9"/>
  <c r="D15" i="53" s="1"/>
  <c r="B31" i="72" s="1"/>
  <c r="D122" i="9"/>
  <c r="M49" i="9"/>
  <c r="C95" i="9" l="1"/>
  <c r="C96" i="9" s="1"/>
  <c r="E96" i="9" s="1"/>
  <c r="E97" i="9" s="1"/>
  <c r="L66" i="9"/>
  <c r="M66" i="9" s="1"/>
  <c r="L67" i="9"/>
  <c r="M67" i="9" s="1"/>
  <c r="L63" i="9"/>
  <c r="M63" i="9" s="1"/>
  <c r="L68" i="9"/>
  <c r="M68" i="9" s="1"/>
  <c r="L64" i="9"/>
  <c r="M64" i="9" s="1"/>
  <c r="L65" i="9"/>
  <c r="M65" i="9" s="1"/>
  <c r="D59" i="9"/>
  <c r="M55" i="9" s="1"/>
  <c r="C68" i="9"/>
  <c r="D54" i="9" s="1"/>
  <c r="G14" i="74"/>
  <c r="B6" i="74" s="1"/>
  <c r="D123" i="9"/>
  <c r="D9" i="52" s="1"/>
  <c r="D8" i="52"/>
  <c r="D14" i="53"/>
  <c r="B32" i="72" s="1"/>
  <c r="B30" i="72"/>
  <c r="C79" i="9"/>
  <c r="D6" i="74" l="1"/>
  <c r="C6" i="74"/>
  <c r="C80" i="9"/>
  <c r="E80" i="9" s="1"/>
  <c r="E81" i="9" s="1"/>
  <c r="C97" i="9"/>
  <c r="D58" i="9" s="1"/>
  <c r="D56" i="9" s="1"/>
  <c r="M54" i="9" s="1"/>
  <c r="N57"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<sst xmlns="http://schemas.openxmlformats.org/spreadsheetml/2006/main" count="8865" uniqueCount="3531">
  <si>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</si>
  <si>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</si>
  <si>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</si>
  <si>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</si>
  <si>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</si>
  <si>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</si>
  <si>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</si>
  <si>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</si>
  <si>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</si>
  <si>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</si>
  <si>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</si>
  <si>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</si>
  <si>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</si>
  <si>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</si>
  <si>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</si>
  <si>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</si>
  <si>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</si>
  <si>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</si>
  <si>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</si>
  <si>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</si>
  <si>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</si>
  <si>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</si>
  <si>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</si>
  <si>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</si>
  <si>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</si>
  <si>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</si>
  <si>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</si>
  <si>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</si>
  <si>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</si>
  <si>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</si>
  <si>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</si>
  <si>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</si>
  <si>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</si>
  <si>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</si>
  <si>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</si>
  <si>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</si>
  <si>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</si>
  <si>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</si>
  <si>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</si>
  <si>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</si>
  <si>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</si>
  <si>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</si>
  <si>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</si>
  <si>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</si>
  <si>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</si>
  <si>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</si>
  <si>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</si>
  <si>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</si>
  <si>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</si>
  <si>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</si>
  <si>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</si>
  <si>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</si>
  <si>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</si>
  <si>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</si>
  <si>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</si>
  <si>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</si>
  <si>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</si>
  <si>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</si>
  <si>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</si>
  <si>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</si>
  <si>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</si>
  <si>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</si>
  <si>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</si>
  <si>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</si>
  <si>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</si>
  <si>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</si>
  <si>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</si>
  <si>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</si>
  <si>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</si>
  <si>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</si>
  <si>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</si>
  <si>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</si>
  <si>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</si>
  <si>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</si>
  <si>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</si>
  <si>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</si>
  <si>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</si>
  <si>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</si>
  <si>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</si>
  <si>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</si>
  <si>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</si>
  <si>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</si>
  <si>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</si>
  <si>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</si>
  <si>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</si>
  <si>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</si>
  <si>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</si>
  <si>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</si>
  <si>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</si>
  <si>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</si>
  <si>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</si>
  <si>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</si>
  <si>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</si>
  <si>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</si>
  <si>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</si>
  <si>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</si>
  <si>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</si>
  <si>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</si>
  <si>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</si>
  <si>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</si>
  <si>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</si>
  <si>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</si>
  <si>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</si>
  <si>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</si>
  <si>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</si>
  <si>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</si>
  <si>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</si>
  <si>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</si>
  <si>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</si>
  <si>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</si>
  <si>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</si>
  <si>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</si>
  <si>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</si>
  <si>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</si>
  <si>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</si>
  <si>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</si>
  <si>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</si>
  <si>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</si>
  <si>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</si>
  <si>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</si>
  <si>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</si>
  <si>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</si>
  <si>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</si>
  <si>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</si>
  <si>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</si>
  <si>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</si>
  <si>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</si>
  <si>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</si>
  <si>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</si>
  <si>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</si>
  <si>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</si>
  <si>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</si>
  <si>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</si>
  <si>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</si>
  <si>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</si>
  <si>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</si>
  <si>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</si>
  <si>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</si>
  <si>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</si>
  <si>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</si>
  <si>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</si>
  <si>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</si>
  <si>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</si>
  <si>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</si>
  <si>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</si>
  <si>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</si>
  <si>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</si>
  <si>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</si>
  <si>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</si>
  <si>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</si>
  <si>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</si>
  <si>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</si>
  <si>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</si>
  <si>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</si>
  <si>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</si>
  <si>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</si>
  <si>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</si>
  <si>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</si>
  <si>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</si>
  <si>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</si>
  <si>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</si>
  <si>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</si>
  <si>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</si>
  <si>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</si>
  <si>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</si>
  <si>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</si>
  <si>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</si>
  <si>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</si>
  <si>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</si>
  <si>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</si>
  <si>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</si>
  <si>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</si>
  <si>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</si>
  <si>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</si>
  <si>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</si>
  <si>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</si>
  <si>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</si>
  <si>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</si>
  <si>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</si>
  <si>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</si>
  <si>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</si>
  <si>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</si>
  <si>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</si>
  <si>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</si>
  <si>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</si>
  <si>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</si>
  <si>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</si>
  <si>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</si>
  <si>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</si>
  <si>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</si>
  <si>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</si>
  <si>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</si>
  <si>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</si>
  <si>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</si>
  <si>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</si>
  <si>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</si>
  <si>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</si>
  <si>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</si>
  <si>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</si>
  <si>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</si>
  <si>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</si>
  <si>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</si>
  <si>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</si>
  <si>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</si>
  <si>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</si>
  <si>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</si>
  <si>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</si>
  <si>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</si>
  <si>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</si>
  <si>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</si>
  <si>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</si>
  <si>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</si>
  <si>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</si>
  <si>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</si>
  <si>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</si>
  <si>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</si>
  <si>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</si>
  <si>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</si>
  <si>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</si>
  <si>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</si>
  <si>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</si>
  <si>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</si>
  <si>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</si>
  <si>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</si>
  <si>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</si>
  <si>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</si>
  <si>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</si>
  <si>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</si>
  <si>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</si>
  <si>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</si>
  <si>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</si>
  <si>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</si>
  <si>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</si>
  <si>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</si>
  <si>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</si>
  <si>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</si>
  <si>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</si>
  <si>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</si>
  <si>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</si>
  <si>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</si>
  <si>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</si>
  <si>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</si>
  <si>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</si>
  <si>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</si>
  <si>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</si>
  <si>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</si>
  <si>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</si>
  <si>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</si>
  <si>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</si>
  <si>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</si>
  <si>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</si>
  <si>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</si>
  <si>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</si>
  <si>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</si>
  <si>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</si>
  <si>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</si>
  <si>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</si>
  <si>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</si>
  <si>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</si>
  <si>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</si>
  <si>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</si>
  <si>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</si>
  <si>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</si>
  <si>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</si>
  <si>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</si>
  <si>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</si>
  <si>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</si>
  <si>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</si>
  <si>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</si>
  <si>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</si>
  <si>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</si>
  <si>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</si>
  <si>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</si>
  <si>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</si>
  <si>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</si>
  <si>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</si>
  <si>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</si>
  <si>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</si>
  <si>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</si>
  <si>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</si>
  <si>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</si>
  <si>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</si>
  <si>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</si>
  <si>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</si>
  <si>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</si>
  <si>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</si>
  <si>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</si>
  <si>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</si>
  <si>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</si>
  <si>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</si>
  <si>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</si>
  <si>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</si>
  <si>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</si>
  <si>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</si>
  <si>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</si>
  <si>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</si>
  <si>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</si>
  <si>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</si>
  <si>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</si>
  <si>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</si>
  <si>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</si>
  <si>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</si>
  <si>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</si>
  <si>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</si>
  <si>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</si>
  <si>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</si>
  <si>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</si>
  <si>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</si>
  <si>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</si>
  <si>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</si>
  <si>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</si>
  <si>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</si>
  <si>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</si>
  <si>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</si>
  <si>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</si>
  <si>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</si>
  <si>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</si>
  <si>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</si>
  <si>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</si>
  <si>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</si>
  <si>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</si>
  <si>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</si>
  <si>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</si>
  <si>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</si>
  <si>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</si>
  <si>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</si>
  <si>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</si>
  <si>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</si>
  <si>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</si>
  <si>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</si>
  <si>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</si>
  <si>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</si>
  <si>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</si>
  <si>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</si>
  <si>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</si>
  <si>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</si>
  <si>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</si>
  <si>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</si>
  <si>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</si>
  <si>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</si>
  <si>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</si>
  <si>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</si>
  <si>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</si>
  <si>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</si>
  <si>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</si>
  <si>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</si>
  <si>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</si>
  <si>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</si>
  <si>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</si>
  <si>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</si>
  <si>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</si>
  <si>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</si>
  <si>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</si>
  <si>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</si>
  <si>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</si>
  <si>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</si>
  <si>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</si>
  <si>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</si>
  <si>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</si>
  <si>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</si>
  <si>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</si>
  <si>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</si>
  <si>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</si>
  <si>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</si>
  <si>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</si>
  <si>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</si>
  <si>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</si>
  <si>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</si>
  <si>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</si>
  <si>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</si>
  <si>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</si>
  <si>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</si>
  <si>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</si>
  <si>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</si>
  <si>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</si>
  <si>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</si>
  <si>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</si>
  <si>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</si>
  <si>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</si>
  <si>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</si>
  <si>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</si>
  <si>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</si>
  <si>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</si>
  <si>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</si>
  <si>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</si>
  <si>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</si>
  <si>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</si>
  <si>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</si>
  <si>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</si>
  <si>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</si>
  <si>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</si>
  <si>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</si>
  <si>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</si>
  <si>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</si>
  <si>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</si>
  <si>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</si>
  <si>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</si>
  <si>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</si>
  <si>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</si>
  <si>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</si>
  <si>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</si>
  <si>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</si>
  <si>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</si>
  <si>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</si>
  <si>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</si>
  <si>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</si>
  <si>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</si>
  <si>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</si>
  <si>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</si>
  <si>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</si>
  <si>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</si>
  <si>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</si>
  <si>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</si>
  <si>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</si>
  <si>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</si>
  <si>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</si>
  <si>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</si>
  <si>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</si>
  <si>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</si>
  <si>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</si>
  <si>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</si>
  <si>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</si>
  <si>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</si>
  <si>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</si>
  <si>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</si>
  <si>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</si>
  <si>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</si>
  <si>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</si>
  <si>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</si>
  <si>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</si>
  <si>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</si>
  <si>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</si>
  <si>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</si>
  <si>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</si>
  <si>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</si>
  <si>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</si>
  <si>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</si>
  <si>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</si>
  <si>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</si>
  <si>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</si>
  <si>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</si>
  <si>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</si>
  <si>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</si>
  <si>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</si>
  <si>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</si>
  <si>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</si>
  <si>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</si>
  <si>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</si>
  <si>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</si>
  <si>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</si>
  <si>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</si>
  <si>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</si>
  <si>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</si>
  <si>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</si>
  <si>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</si>
  <si>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</si>
  <si>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</si>
  <si>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</si>
  <si>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</si>
  <si>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</si>
  <si>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</si>
  <si>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</si>
  <si>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</si>
  <si>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</si>
  <si>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</si>
  <si>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</si>
  <si>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</si>
  <si>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</si>
  <si>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</si>
  <si>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</si>
  <si>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</si>
  <si>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</si>
  <si>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</si>
  <si>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</si>
  <si>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</si>
  <si>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</si>
  <si>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</si>
  <si>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</si>
  <si>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</si>
  <si>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</si>
  <si>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</si>
  <si>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</si>
  <si>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</si>
  <si>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</si>
  <si>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</si>
  <si>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</si>
  <si>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</si>
  <si>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</si>
  <si>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</si>
  <si>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</si>
  <si>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</si>
  <si>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</si>
  <si>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</si>
  <si>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</si>
  <si>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</si>
  <si>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</si>
  <si>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</si>
  <si>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</si>
  <si>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</si>
  <si>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</si>
  <si>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</si>
  <si>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</si>
  <si>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</si>
  <si>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</si>
  <si>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</si>
  <si>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</si>
  <si>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</si>
  <si>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</si>
  <si>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</si>
  <si>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</si>
  <si>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</si>
  <si>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</si>
  <si>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</si>
  <si>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</si>
  <si>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</si>
  <si>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</si>
  <si>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</si>
  <si>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</si>
  <si>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</si>
  <si>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</si>
  <si>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</si>
  <si>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</si>
  <si>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</si>
  <si>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</si>
  <si>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</si>
  <si>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</si>
  <si>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</si>
  <si>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</si>
  <si>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</si>
  <si>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</si>
  <si>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</si>
  <si>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</si>
  <si>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</si>
  <si>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</si>
  <si>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</si>
  <si>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</si>
  <si>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</si>
  <si>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</si>
  <si>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</si>
  <si>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</si>
  <si>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</si>
  <si>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</si>
  <si>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</si>
  <si>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</si>
  <si>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</si>
  <si>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</si>
  <si>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</si>
  <si>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</si>
  <si>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</si>
  <si>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</si>
  <si>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</si>
  <si>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</si>
  <si>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</si>
  <si>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</si>
  <si>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</si>
  <si>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</si>
  <si>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</si>
  <si>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</si>
  <si>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</si>
  <si>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</si>
  <si>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</si>
  <si>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</si>
  <si>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</si>
  <si>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</si>
  <si>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</si>
  <si>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</si>
  <si>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</si>
  <si>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</si>
  <si>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</si>
  <si>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</si>
  <si>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</si>
  <si>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</si>
  <si>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</si>
  <si>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</si>
  <si>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</si>
  <si>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</si>
  <si>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</si>
  <si>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</si>
  <si>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</si>
  <si>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</si>
  <si>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</si>
  <si>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</si>
  <si>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</si>
  <si>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</si>
  <si>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</si>
  <si>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</si>
  <si>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</si>
  <si>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</si>
  <si>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</si>
  <si>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</si>
  <si>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</si>
  <si>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</si>
  <si>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</si>
  <si>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</si>
  <si>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</si>
  <si>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</si>
  <si>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</si>
  <si>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</si>
  <si>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</si>
  <si>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</si>
  <si>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</si>
  <si>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</si>
  <si>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</si>
  <si>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</si>
  <si>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</si>
  <si>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</si>
  <si>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</si>
  <si>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</si>
  <si>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</si>
  <si>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</si>
  <si>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</si>
  <si>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</si>
  <si>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</si>
  <si>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</si>
  <si>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</si>
  <si>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</si>
  <si>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</si>
  <si>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</si>
  <si>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</si>
  <si>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</si>
  <si>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</si>
  <si>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</si>
  <si>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</si>
  <si>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</si>
  <si>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</si>
  <si>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</si>
  <si>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</si>
  <si>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</si>
  <si>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</si>
  <si>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</si>
  <si>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</si>
  <si>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</si>
  <si>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</si>
  <si>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</si>
  <si>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</si>
  <si>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</si>
  <si>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</si>
  <si>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</si>
  <si>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</si>
  <si>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</si>
  <si>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</si>
  <si>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</si>
  <si>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</si>
  <si>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</si>
  <si>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</si>
  <si>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</si>
  <si>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</si>
  <si>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</si>
  <si>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</si>
  <si>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</si>
  <si>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</si>
  <si>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</si>
  <si>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</si>
  <si>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</si>
  <si>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</si>
  <si>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</si>
  <si>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</si>
  <si>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</si>
  <si>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</si>
  <si>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</si>
  <si>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</si>
  <si>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</si>
  <si>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</si>
  <si>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</si>
  <si>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</si>
  <si>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</si>
  <si>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</si>
  <si>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</si>
  <si>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</si>
  <si>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</si>
  <si>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</si>
  <si>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</si>
  <si>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</si>
  <si>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</si>
  <si>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</si>
  <si>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</si>
  <si>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</si>
  <si>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</si>
  <si>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</si>
  <si>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</si>
  <si>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</si>
  <si>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</si>
  <si>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</si>
  <si>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</si>
  <si>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</si>
  <si>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</si>
  <si>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</si>
  <si>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</si>
  <si>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</si>
  <si>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</si>
  <si>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</si>
  <si>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</si>
  <si>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</si>
  <si>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</si>
  <si>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</si>
  <si>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</si>
  <si>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</si>
  <si>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</si>
  <si>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</si>
  <si>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</si>
  <si>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</si>
  <si>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</si>
  <si>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</si>
  <si>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</si>
  <si>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</si>
  <si>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</si>
  <si>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</si>
  <si>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</si>
  <si>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</si>
  <si>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</si>
  <si>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</si>
  <si>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</si>
  <si>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</si>
  <si>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</si>
  <si>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</si>
  <si>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</si>
  <si>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</si>
  <si>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</si>
  <si>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</si>
  <si>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</si>
  <si>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</si>
  <si>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</si>
  <si>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</si>
  <si>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</si>
  <si>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</si>
  <si>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</si>
  <si>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</si>
  <si>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</si>
  <si>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</si>
  <si>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</si>
  <si>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</si>
  <si>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</si>
  <si>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</si>
  <si>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</si>
  <si>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</si>
  <si>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</si>
  <si>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</si>
  <si>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</si>
  <si>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</si>
  <si>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</si>
  <si>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</si>
  <si>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</si>
  <si>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</si>
  <si>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</si>
  <si>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</si>
  <si>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</si>
  <si>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</si>
  <si>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</si>
  <si>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</si>
  <si>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</si>
  <si>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</si>
  <si>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</si>
  <si>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</si>
  <si>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</si>
  <si>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</si>
  <si>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</si>
  <si>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</si>
  <si>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</si>
  <si>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</si>
  <si>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</si>
  <si>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</si>
  <si>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</si>
  <si>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</si>
  <si>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</si>
  <si>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</si>
  <si>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</si>
  <si>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</si>
  <si>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</si>
  <si>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</si>
  <si>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</si>
  <si>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</si>
  <si>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</si>
  <si>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</si>
  <si>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</si>
  <si>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</si>
  <si>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</si>
  <si>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</si>
  <si>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</si>
  <si>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</si>
  <si>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</si>
  <si>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</si>
  <si>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</si>
  <si>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</si>
  <si>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</si>
  <si>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</si>
  <si>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</si>
  <si>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</si>
  <si>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</si>
  <si>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</si>
  <si>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</si>
  <si>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</si>
  <si>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</si>
  <si>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</si>
  <si>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</si>
  <si>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</si>
  <si>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</si>
  <si>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</si>
  <si>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</si>
  <si>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</si>
  <si>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</si>
  <si>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</si>
  <si>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</si>
  <si>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</si>
  <si>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</si>
  <si>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</si>
  <si>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</si>
  <si>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</si>
  <si>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</si>
  <si>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</si>
  <si>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</si>
  <si>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</si>
  <si>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</si>
  <si>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</si>
  <si>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</si>
  <si>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</si>
  <si>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</si>
  <si>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</si>
  <si>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</si>
  <si>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</si>
  <si>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</si>
  <si>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</si>
  <si>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</si>
  <si>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</si>
  <si>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</si>
  <si>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</si>
  <si>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</si>
  <si>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</si>
  <si>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</si>
  <si>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</si>
  <si>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</si>
  <si>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</si>
  <si>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</si>
  <si>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</si>
  <si>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</si>
  <si>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</si>
  <si>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</si>
  <si>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</si>
  <si>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</si>
  <si>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</si>
  <si>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</si>
  <si>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</si>
  <si>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</si>
  <si>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</si>
  <si>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</si>
  <si>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</si>
  <si>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</si>
  <si>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</si>
  <si>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</si>
  <si>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</si>
  <si>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</si>
  <si>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</si>
  <si>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</si>
  <si>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</si>
  <si>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</si>
  <si>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</si>
  <si>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</si>
  <si>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</si>
  <si>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</si>
  <si>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</si>
  <si>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</si>
  <si>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</si>
  <si>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</si>
  <si>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</si>
  <si>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</si>
  <si>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</si>
  <si>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</si>
  <si>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</si>
  <si>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</si>
  <si>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</si>
  <si>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</si>
  <si>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</si>
  <si>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</si>
  <si>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</si>
  <si>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</si>
  <si>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</si>
  <si>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</si>
  <si>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</si>
  <si>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</si>
  <si>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</si>
  <si>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</si>
  <si>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</si>
  <si>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</si>
  <si>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</si>
  <si>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</si>
  <si>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</si>
  <si>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</si>
  <si>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</si>
  <si>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</si>
  <si>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</si>
  <si>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</si>
  <si>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</si>
  <si>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</si>
  <si>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</si>
  <si>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</si>
  <si>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</si>
  <si>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</si>
  <si>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</si>
  <si>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</si>
  <si>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</si>
  <si>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</si>
  <si>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</si>
  <si>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</si>
  <si>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</si>
  <si>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</si>
  <si>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</si>
  <si>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</si>
  <si>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</si>
  <si>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</si>
  <si>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</si>
  <si>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</si>
  <si>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</si>
  <si>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</si>
  <si>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</si>
  <si>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</si>
  <si>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</si>
  <si>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</si>
  <si>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</si>
  <si>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</si>
  <si>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</si>
  <si>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</si>
  <si>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</si>
  <si>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</si>
  <si>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</si>
  <si>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</si>
  <si>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</si>
  <si>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</si>
  <si>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</si>
  <si>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</si>
  <si>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</si>
  <si>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</si>
  <si>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</si>
  <si>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</si>
  <si>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</si>
  <si>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</si>
  <si>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</si>
  <si>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</si>
  <si>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</si>
  <si>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</si>
  <si>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</si>
  <si>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</si>
  <si>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</si>
  <si>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</si>
  <si>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</si>
  <si>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</si>
  <si>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</si>
  <si>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</si>
  <si>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</si>
  <si>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</si>
  <si>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</si>
  <si>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</si>
  <si>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</si>
  <si>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</si>
  <si>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</si>
  <si>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</si>
  <si>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</si>
  <si>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</si>
  <si>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</si>
  <si>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</si>
  <si>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</si>
  <si>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</si>
  <si>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</si>
  <si>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</si>
  <si>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</si>
  <si>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</si>
  <si>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</si>
  <si>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</si>
  <si>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</si>
  <si>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</si>
  <si>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</si>
  <si>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</si>
  <si>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</si>
  <si>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</si>
  <si>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</si>
  <si>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</si>
  <si>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</si>
  <si>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</si>
  <si>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</si>
  <si>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</si>
  <si>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</si>
  <si>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</si>
  <si>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</si>
  <si>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</si>
  <si>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</si>
  <si>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</si>
  <si>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</si>
  <si>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</si>
  <si>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</si>
  <si>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</si>
  <si>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</si>
  <si>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</si>
  <si>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</si>
  <si>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</si>
  <si>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</si>
  <si>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</si>
  <si>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</si>
  <si>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</si>
  <si>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</si>
  <si>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</si>
  <si>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</si>
  <si>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</si>
  <si>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</si>
  <si>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</si>
  <si>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</si>
  <si>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</si>
  <si>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</si>
  <si>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</si>
  <si>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</si>
  <si>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</si>
  <si>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</si>
  <si>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</si>
  <si>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</si>
  <si>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</si>
  <si>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</si>
  <si>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</si>
  <si>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</si>
  <si>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</si>
  <si>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</si>
  <si>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</si>
  <si>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</si>
  <si>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</si>
  <si>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</si>
  <si>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</si>
  <si>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</si>
  <si>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</si>
  <si>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</si>
  <si>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</si>
  <si>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</si>
  <si>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</si>
  <si>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</si>
  <si>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</si>
  <si>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</si>
  <si>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</si>
  <si>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</si>
  <si>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</si>
  <si>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</si>
  <si>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</si>
  <si>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</si>
  <si>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</si>
  <si>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</si>
  <si>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</si>
  <si>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</si>
  <si>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</si>
  <si>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</si>
  <si>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</si>
  <si>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</si>
  <si>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</si>
  <si>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</si>
  <si>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</si>
  <si>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</si>
  <si>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</si>
  <si>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</si>
  <si>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</si>
  <si>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</si>
  <si>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</si>
  <si>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</si>
  <si>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</si>
  <si>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</si>
  <si>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</si>
  <si>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</si>
  <si>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</si>
  <si>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</si>
  <si>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</si>
  <si>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</si>
  <si>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</si>
  <si>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</si>
  <si>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</si>
  <si>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</si>
  <si>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</si>
  <si>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</si>
  <si>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</si>
  <si>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</si>
  <si>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</si>
  <si>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</si>
  <si>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</si>
  <si>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</si>
  <si>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</si>
  <si>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</si>
  <si>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</si>
  <si>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</si>
  <si>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</si>
  <si>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</si>
  <si>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</si>
  <si>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</si>
  <si>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</si>
  <si>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</si>
  <si>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</si>
  <si>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</si>
  <si>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</si>
  <si>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</si>
  <si>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</si>
  <si>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</si>
  <si>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</si>
  <si>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</si>
  <si>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</si>
  <si>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</si>
  <si>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</si>
  <si>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</si>
  <si>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</si>
  <si>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</si>
  <si>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</si>
  <si>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</si>
  <si>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</si>
  <si>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</si>
  <si>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</si>
  <si>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</si>
  <si>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</si>
  <si>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</si>
  <si>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</si>
  <si>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</si>
  <si>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</si>
  <si>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</si>
  <si>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</si>
  <si>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</si>
  <si>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</si>
  <si>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</si>
  <si>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</si>
  <si>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</si>
  <si>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</si>
  <si>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</si>
  <si>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</si>
  <si>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</si>
  <si>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</si>
  <si>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</si>
  <si>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</si>
  <si>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</si>
  <si>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</si>
  <si>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</si>
  <si>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</si>
  <si>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</si>
  <si>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</si>
  <si>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</si>
  <si>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</si>
  <si>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</si>
  <si>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</si>
  <si>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</si>
  <si>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</si>
  <si>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</si>
  <si>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</si>
  <si>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</si>
  <si>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</si>
  <si>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</si>
  <si>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</si>
  <si>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</si>
  <si>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</si>
  <si>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</si>
  <si>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</si>
  <si>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</si>
  <si>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</si>
  <si>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</si>
  <si>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</si>
  <si>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</si>
  <si>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</si>
  <si>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</si>
  <si>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</si>
  <si>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</si>
  <si>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</si>
  <si>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</si>
  <si>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</si>
  <si>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</si>
  <si>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</si>
  <si>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</si>
  <si>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</si>
  <si>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</si>
  <si>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</si>
  <si>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</si>
  <si>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</si>
  <si>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</si>
  <si>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</si>
  <si>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</si>
  <si>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</si>
  <si>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</si>
  <si>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</si>
  <si>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</si>
  <si>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</si>
  <si>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</si>
  <si>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</si>
  <si>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</si>
  <si>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</si>
  <si>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</si>
  <si>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</si>
  <si>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</si>
  <si>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</si>
  <si>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</si>
  <si>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</si>
  <si>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</si>
  <si>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</si>
  <si>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</si>
  <si>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</si>
  <si>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</si>
  <si>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</si>
  <si>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</si>
  <si>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</si>
  <si>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</si>
  <si>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</si>
  <si>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</si>
  <si>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</si>
  <si>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</si>
  <si>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</si>
  <si>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</si>
  <si>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</si>
  <si>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</si>
  <si>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</si>
  <si>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</si>
  <si>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</si>
  <si>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</si>
  <si>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</si>
  <si>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</si>
  <si>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</si>
  <si>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</si>
  <si>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</si>
  <si>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</si>
  <si>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</si>
  <si>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</si>
  <si>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</si>
  <si>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</si>
  <si>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</si>
  <si>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</si>
  <si>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</si>
  <si>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</si>
  <si>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</si>
  <si>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</si>
  <si>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</si>
  <si>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</si>
  <si>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</si>
  <si>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</si>
  <si>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</si>
  <si>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</si>
  <si>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</si>
  <si>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</si>
  <si>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</si>
  <si>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</si>
  <si>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</si>
  <si>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</si>
  <si>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</si>
  <si>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</si>
  <si>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</si>
  <si>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</si>
  <si>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</si>
  <si>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</si>
  <si>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</si>
  <si>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</si>
  <si>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</si>
  <si>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</si>
  <si>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</si>
  <si>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</si>
  <si>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</si>
  <si>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</si>
  <si>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</si>
  <si>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</si>
  <si>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</si>
  <si>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</si>
  <si>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</si>
  <si>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</si>
  <si>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</si>
  <si>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</si>
  <si>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</si>
  <si>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</si>
  <si>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</si>
  <si>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</si>
  <si>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</si>
  <si>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</si>
  <si>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</si>
  <si>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</si>
  <si>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</si>
  <si>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</si>
  <si>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</si>
  <si>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</si>
  <si>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</si>
  <si>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</si>
  <si>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</si>
  <si>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</si>
  <si>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</si>
  <si>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</si>
  <si>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</si>
  <si>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</si>
  <si>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</si>
  <si>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</si>
  <si>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</si>
  <si>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</si>
  <si>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</si>
  <si>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</si>
  <si>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</si>
  <si>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</si>
  <si>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</si>
  <si>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</si>
  <si>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</si>
  <si>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</si>
  <si>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</si>
  <si>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</si>
  <si>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</si>
  <si>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</si>
  <si>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</si>
  <si>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</si>
  <si>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</si>
  <si>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</si>
  <si>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</si>
  <si>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</si>
  <si>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</si>
  <si>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</si>
  <si>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</si>
  <si>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</si>
  <si>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</si>
  <si>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</si>
  <si>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</si>
  <si>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</si>
  <si>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</si>
  <si>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</si>
  <si>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</si>
  <si>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</si>
  <si>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</si>
  <si>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</si>
  <si>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</si>
  <si>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</si>
  <si>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</si>
  <si>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</si>
  <si>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</si>
  <si>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</si>
  <si>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</si>
  <si>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</si>
  <si>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</si>
  <si>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</si>
  <si>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</si>
  <si>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</si>
  <si>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</si>
  <si>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</si>
  <si>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</si>
  <si>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</si>
  <si>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</si>
  <si>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</si>
  <si>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</si>
  <si>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</si>
  <si>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</si>
  <si>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</si>
  <si>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</si>
  <si>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</si>
  <si>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</si>
  <si>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</si>
  <si>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</si>
  <si>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</si>
  <si>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</si>
  <si>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</si>
  <si>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</si>
  <si>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</si>
  <si>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</si>
  <si>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</si>
  <si>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</si>
  <si>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</si>
  <si>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</si>
  <si>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</si>
  <si>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</si>
  <si>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</si>
  <si>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</si>
  <si>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</si>
  <si>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</si>
  <si>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</si>
  <si>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</si>
  <si>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</si>
  <si>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</si>
  <si>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</si>
  <si>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</si>
  <si>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</si>
  <si>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</si>
  <si>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</si>
  <si>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</si>
  <si>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</si>
  <si>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</si>
  <si>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</si>
  <si>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</si>
  <si>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</si>
  <si>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</si>
  <si>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</si>
  <si>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</si>
  <si>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</si>
  <si>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</si>
  <si>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</si>
  <si>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</si>
  <si>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</si>
  <si>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</si>
  <si>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</si>
  <si>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</si>
  <si>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</si>
  <si>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</si>
  <si>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</si>
  <si>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</si>
  <si>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</si>
  <si>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</si>
  <si>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</si>
  <si>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</si>
  <si>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</si>
  <si>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</si>
  <si>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</si>
  <si>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</si>
  <si>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</si>
  <si>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</si>
  <si>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</si>
  <si>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</si>
  <si>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</si>
  <si>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</si>
  <si>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</si>
  <si>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</si>
  <si>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</si>
  <si>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</si>
  <si>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</si>
  <si>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</si>
  <si>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</si>
  <si>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</si>
  <si>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</si>
  <si>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</si>
  <si>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</si>
  <si>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</si>
  <si>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</si>
  <si>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</si>
  <si>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</si>
  <si>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</si>
  <si>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</si>
  <si>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</si>
  <si>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</si>
  <si>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</si>
  <si>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</si>
  <si>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</si>
  <si>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</si>
  <si>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</si>
  <si>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</si>
  <si>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</si>
  <si>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</si>
  <si>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</si>
  <si>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</si>
  <si>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</si>
  <si>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</si>
  <si>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</si>
  <si>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</si>
  <si>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</si>
  <si>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</si>
  <si>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</si>
  <si>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</si>
  <si>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</si>
  <si>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</si>
  <si>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</si>
  <si>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</si>
  <si>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</si>
  <si>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</si>
  <si>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</si>
  <si>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</si>
  <si>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</si>
  <si>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</si>
  <si>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</si>
  <si>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</si>
  <si>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</si>
  <si>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</si>
  <si>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</si>
  <si>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</si>
  <si>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</si>
  <si>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</si>
  <si>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</si>
  <si>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</si>
  <si>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</si>
  <si>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</si>
  <si>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</si>
  <si>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</si>
  <si>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</si>
  <si>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</si>
  <si>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</si>
  <si>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</si>
  <si>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</si>
  <si>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</si>
  <si>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</si>
  <si>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</si>
  <si>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</si>
  <si>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</si>
  <si>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</si>
  <si>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</si>
  <si>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</si>
  <si>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</si>
  <si>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</si>
  <si>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</si>
  <si>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</si>
  <si>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</si>
  <si>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</si>
  <si>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</si>
  <si>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</si>
  <si>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</si>
  <si>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</si>
  <si>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</si>
  <si>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</si>
  <si>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</si>
  <si>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</si>
  <si>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</si>
  <si>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</si>
  <si>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</si>
  <si>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</si>
  <si>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</si>
  <si>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</si>
  <si>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</si>
  <si>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</si>
  <si>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</si>
  <si>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</si>
  <si>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</si>
  <si>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</si>
  <si>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</si>
  <si>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</si>
  <si>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</si>
  <si>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</si>
  <si>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</si>
  <si>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</si>
  <si>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</si>
  <si>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</si>
  <si>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</si>
  <si>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</si>
  <si>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</si>
  <si>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</si>
  <si>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</si>
  <si>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</si>
  <si>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</si>
  <si>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</si>
  <si>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</si>
  <si>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</si>
  <si>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</si>
  <si>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</si>
  <si>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</si>
  <si>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</si>
  <si>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</si>
  <si>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</si>
  <si>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</si>
  <si>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</si>
  <si>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</si>
  <si>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</si>
  <si>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</si>
  <si>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</si>
  <si>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</si>
  <si>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</si>
  <si>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</si>
  <si>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</si>
  <si>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</si>
  <si>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</si>
  <si>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</si>
  <si>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</si>
  <si>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</si>
  <si>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</si>
  <si>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</si>
  <si>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</si>
  <si>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</si>
  <si>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</si>
  <si>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</si>
  <si>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</si>
  <si>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</si>
  <si>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</si>
  <si>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</si>
  <si>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</si>
  <si>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</si>
  <si>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</si>
  <si>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</si>
  <si>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</si>
  <si>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</si>
  <si>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</si>
  <si>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</si>
  <si>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</si>
  <si>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</si>
  <si>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</si>
  <si>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</si>
  <si>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</si>
  <si>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</si>
  <si>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</si>
  <si>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</si>
  <si>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</si>
  <si>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</si>
  <si>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</si>
  <si>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</si>
  <si>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</si>
  <si>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</si>
  <si>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</si>
  <si>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</si>
  <si>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</si>
  <si>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</si>
  <si>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</si>
  <si>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</si>
  <si>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</si>
  <si>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</si>
  <si>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</si>
  <si>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</si>
  <si>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</si>
  <si>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</si>
  <si>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</si>
  <si>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</si>
  <si>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</si>
  <si>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</si>
  <si>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</si>
  <si>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</si>
  <si>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</si>
  <si>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</si>
  <si>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</si>
  <si>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</si>
  <si>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</si>
  <si>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</si>
  <si>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</si>
  <si>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</si>
  <si>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</si>
  <si>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</si>
  <si>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</si>
  <si>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</si>
  <si>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</si>
  <si>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</si>
  <si>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</si>
  <si>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</si>
  <si>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</si>
  <si>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</si>
  <si>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</si>
  <si>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</si>
  <si>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</si>
  <si>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</si>
  <si>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</si>
  <si>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</si>
  <si>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</si>
  <si>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</si>
  <si>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</si>
  <si>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</si>
  <si>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</si>
  <si>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</si>
  <si>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</si>
  <si>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</si>
  <si>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</si>
  <si>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</si>
  <si>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</si>
  <si>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</si>
  <si>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</si>
  <si>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</si>
  <si>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</si>
  <si>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</si>
  <si>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</si>
  <si>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</si>
  <si>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</si>
  <si>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</si>
  <si>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</si>
  <si>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</si>
  <si>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</si>
  <si>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</si>
  <si>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</si>
  <si>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</si>
  <si>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</si>
  <si>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</si>
  <si>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</si>
  <si>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</si>
  <si>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</si>
  <si>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</si>
  <si>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</si>
  <si>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</si>
  <si>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</si>
  <si>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</si>
  <si>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</si>
  <si>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</si>
  <si>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</si>
  <si>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</si>
  <si>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</si>
  <si>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</si>
  <si>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</si>
  <si>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</si>
  <si>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</si>
  <si>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</si>
  <si>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</si>
  <si>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</si>
  <si>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</si>
  <si>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</si>
  <si>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</si>
  <si>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</si>
  <si>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</si>
  <si>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</si>
  <si>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</si>
  <si>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</si>
  <si>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</si>
  <si>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</si>
  <si>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</si>
  <si>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</si>
  <si>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</si>
  <si>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</si>
  <si>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</si>
  <si>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</si>
  <si>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</si>
  <si>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</si>
  <si>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</si>
  <si>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</si>
  <si>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</si>
  <si>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</si>
  <si>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</si>
  <si>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</si>
  <si>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</si>
  <si>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</si>
  <si>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</si>
  <si>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</si>
  <si>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</si>
  <si>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</si>
  <si>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</si>
  <si>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</si>
  <si>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</si>
  <si>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</si>
  <si>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</si>
  <si>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</si>
  <si>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</si>
  <si>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</si>
  <si>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</si>
  <si>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</si>
  <si>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</si>
  <si>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</si>
  <si>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</si>
  <si>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</si>
  <si>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</si>
  <si>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</si>
  <si>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</si>
  <si>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</si>
  <si>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</si>
  <si>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</si>
  <si>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</si>
  <si>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</si>
  <si>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</si>
  <si>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</si>
  <si>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</si>
  <si>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</si>
  <si>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</si>
  <si>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</si>
  <si>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</si>
  <si>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</si>
  <si>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</si>
  <si>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</si>
  <si>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</si>
  <si>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</si>
  <si>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</si>
  <si>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</si>
  <si>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</si>
  <si>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</si>
  <si>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</si>
  <si>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</si>
  <si>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</si>
  <si>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</si>
  <si>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</si>
  <si>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</si>
  <si>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</si>
  <si>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</si>
  <si>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</si>
  <si>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</si>
  <si>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</si>
  <si>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</si>
  <si>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</si>
  <si>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</si>
  <si>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</si>
  <si>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</si>
  <si>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</si>
  <si>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</si>
  <si>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</si>
  <si>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</si>
  <si>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</si>
  <si>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</si>
  <si>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</si>
  <si>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</si>
  <si>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</si>
  <si>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</si>
  <si>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</si>
  <si>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</si>
  <si>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</si>
  <si>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</si>
  <si>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</si>
  <si>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</si>
  <si>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</si>
  <si>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</si>
  <si>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</si>
  <si>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</si>
  <si>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</si>
  <si>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</si>
  <si>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</si>
  <si>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</si>
  <si>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</si>
  <si>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</si>
  <si>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</si>
  <si>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</si>
  <si>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</si>
  <si>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</si>
  <si>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</si>
  <si>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</si>
  <si>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</si>
  <si>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</si>
  <si>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</si>
  <si>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</si>
  <si>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</si>
  <si>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</si>
  <si>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</si>
  <si>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</si>
  <si>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</si>
  <si>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</si>
  <si>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</si>
  <si>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</si>
  <si>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</si>
  <si>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</si>
  <si>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</si>
  <si>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</si>
  <si>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</si>
  <si>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</si>
  <si>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</si>
  <si>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</si>
  <si>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</si>
  <si>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</si>
  <si>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</si>
  <si>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</si>
  <si>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</si>
  <si>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</si>
  <si>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</si>
  <si>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</si>
  <si>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</si>
  <si>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</si>
  <si>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</si>
  <si>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</si>
  <si>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</si>
  <si>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</si>
  <si>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</si>
  <si>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</si>
  <si>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</si>
  <si>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</si>
  <si>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</si>
  <si>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</si>
  <si>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</si>
  <si>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</si>
  <si>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</si>
  <si>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</si>
  <si>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</si>
  <si>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</si>
  <si>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</si>
  <si>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</si>
  <si>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</si>
  <si>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</si>
  <si>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</si>
  <si>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</si>
  <si>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</si>
  <si>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</si>
  <si>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</si>
  <si>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</si>
  <si>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</si>
  <si>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</si>
  <si>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</si>
  <si>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</si>
  <si>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</si>
  <si>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</si>
  <si>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</si>
  <si>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</si>
  <si>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</si>
  <si>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</si>
  <si>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</si>
  <si>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</si>
  <si>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</si>
  <si>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</si>
  <si>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</si>
  <si>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</si>
  <si>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</si>
  <si>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</si>
  <si>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</si>
  <si>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</si>
  <si>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</si>
  <si>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</si>
  <si>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</si>
  <si>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</si>
  <si>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</si>
  <si>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</si>
  <si>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</si>
  <si>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</si>
  <si>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</si>
  <si>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</si>
  <si>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</si>
  <si>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</si>
  <si>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</si>
  <si>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</si>
  <si>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</si>
  <si>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</si>
  <si>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</si>
  <si>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</si>
  <si>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</si>
  <si>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</si>
  <si>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</si>
  <si>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</si>
  <si>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</si>
  <si>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</si>
  <si>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</si>
  <si>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</si>
  <si>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</si>
  <si>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</si>
  <si>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</si>
  <si>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</si>
  <si>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</si>
  <si>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</si>
  <si>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</si>
  <si>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</si>
  <si>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</si>
  <si>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</si>
  <si>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</si>
  <si>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</si>
  <si>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</si>
  <si>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</si>
  <si>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</si>
  <si>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</si>
  <si>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</si>
  <si>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</si>
  <si>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</si>
  <si>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</si>
  <si>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</si>
  <si>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</si>
  <si>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</si>
  <si>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</si>
  <si>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</si>
  <si>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</si>
  <si>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</si>
  <si>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</si>
  <si>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</si>
  <si>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</si>
  <si>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</si>
  <si>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</si>
  <si>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</si>
  <si>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</si>
  <si>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</si>
  <si>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</si>
  <si>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</si>
  <si>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</si>
  <si>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</si>
  <si>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</si>
  <si>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</si>
  <si>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</si>
  <si>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</si>
  <si>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</si>
  <si>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</si>
  <si>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</si>
  <si>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</si>
  <si>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</si>
  <si>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</si>
  <si>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</si>
  <si>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</si>
  <si>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</si>
  <si>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</si>
  <si>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</si>
  <si>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</si>
  <si>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</si>
  <si>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</si>
  <si>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</si>
  <si>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</si>
  <si>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</si>
  <si>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</si>
  <si>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</si>
  <si>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</si>
  <si>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</si>
  <si>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</si>
  <si>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</si>
  <si>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</si>
  <si>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</si>
  <si>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</si>
  <si>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</si>
  <si>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</si>
  <si>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</si>
  <si>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</si>
  <si>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</si>
  <si>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</si>
  <si>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</si>
  <si>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</si>
  <si>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</si>
  <si>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</si>
  <si>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</si>
  <si>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</si>
  <si>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</si>
  <si>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</si>
  <si>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</si>
  <si>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</si>
  <si>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</si>
  <si>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</si>
  <si>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</si>
  <si>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</si>
  <si>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</si>
  <si>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</si>
  <si>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</si>
  <si>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</si>
  <si>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</si>
  <si>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</si>
  <si>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</si>
  <si>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</si>
  <si>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</si>
  <si>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</si>
  <si>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</si>
  <si>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</si>
  <si>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</si>
  <si>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</si>
  <si>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</si>
  <si>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</si>
  <si>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</si>
  <si>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</si>
  <si>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</si>
  <si>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</si>
  <si>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</si>
  <si>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</si>
  <si>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</si>
  <si>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</si>
  <si>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</si>
  <si>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</si>
  <si>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</si>
  <si>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</si>
  <si>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</si>
  <si>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</si>
  <si>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</si>
  <si>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</si>
  <si>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</si>
  <si>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</si>
  <si>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</si>
  <si>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</si>
  <si>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</si>
  <si>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</si>
  <si>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</si>
  <si>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</si>
  <si>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</si>
  <si>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</si>
  <si>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</si>
  <si>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</si>
  <si>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</si>
  <si>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</si>
  <si>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</si>
  <si>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</si>
  <si>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</si>
  <si>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</si>
  <si>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</si>
  <si>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</si>
  <si>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</si>
  <si>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</si>
  <si>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</si>
  <si>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</si>
  <si>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</si>
  <si>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</si>
  <si>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</si>
  <si>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</si>
  <si>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</si>
  <si>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</si>
  <si>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</si>
  <si>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</si>
  <si>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</si>
  <si>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</si>
  <si>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</si>
  <si>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</si>
  <si>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</si>
  <si>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</si>
  <si>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</si>
  <si>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</si>
  <si>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</si>
  <si>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</si>
  <si>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</si>
  <si>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</si>
  <si>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</si>
  <si>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</si>
  <si>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</si>
  <si>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</si>
  <si>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</si>
  <si>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</si>
  <si>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</si>
  <si>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</si>
  <si>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</si>
  <si>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</si>
  <si>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</si>
  <si>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</si>
  <si>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</si>
  <si>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</si>
  <si>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</si>
  <si>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</si>
  <si>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</si>
  <si>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</si>
  <si>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</si>
  <si>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</si>
  <si>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</si>
  <si>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</si>
  <si>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</si>
  <si>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</si>
  <si>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</si>
  <si>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</si>
  <si>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</si>
  <si>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</si>
  <si>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</si>
  <si>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</si>
  <si>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</si>
  <si>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</si>
  <si>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</si>
  <si>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</si>
  <si>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</si>
  <si>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</si>
  <si>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</si>
  <si>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</si>
  <si>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</si>
  <si>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</si>
  <si>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</si>
  <si>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</si>
  <si>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</si>
  <si>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</si>
  <si>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</si>
  <si>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</si>
  <si>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</si>
  <si>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</si>
  <si>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</si>
  <si>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</si>
  <si>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</si>
  <si>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</si>
  <si>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</si>
  <si>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</si>
  <si>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</si>
  <si>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</si>
  <si>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</si>
  <si>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</si>
  <si>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</si>
  <si>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</si>
  <si>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</si>
  <si>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</si>
  <si>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</si>
  <si>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</si>
  <si>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</si>
  <si>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</si>
  <si>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</si>
  <si>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</si>
  <si>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</si>
  <si>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</si>
  <si>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</si>
  <si>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</si>
  <si>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</si>
  <si>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</si>
  <si>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</si>
  <si>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</si>
  <si>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</si>
  <si>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</si>
  <si>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</si>
  <si>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</si>
  <si>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</si>
  <si>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</si>
  <si>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</si>
  <si>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</si>
  <si>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</si>
  <si>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</si>
  <si>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</si>
  <si>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</si>
  <si>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</si>
  <si>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</si>
  <si>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</si>
  <si>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</si>
  <si>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</si>
  <si>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</si>
  <si>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</si>
  <si>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</si>
  <si>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</si>
  <si>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</si>
  <si>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</si>
  <si>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</si>
  <si>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</si>
  <si>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</si>
  <si>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</si>
  <si>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</si>
  <si>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</si>
  <si>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</si>
  <si>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</si>
  <si>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</si>
  <si>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</si>
  <si>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</si>
  <si>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</si>
  <si>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</si>
  <si>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</si>
  <si>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</si>
  <si>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</si>
  <si>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</si>
  <si>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</si>
  <si>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</si>
  <si>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</si>
  <si>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</si>
  <si>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</si>
  <si>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</si>
  <si>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</si>
  <si>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</si>
  <si>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</si>
  <si>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</si>
  <si>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</si>
  <si>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</si>
  <si>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</si>
  <si>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</si>
  <si>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</si>
  <si>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</si>
  <si>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</si>
  <si>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</si>
  <si>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</si>
  <si>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</si>
  <si>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</si>
  <si>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</si>
  <si>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</si>
  <si>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</si>
  <si>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</si>
  <si>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</si>
  <si>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</si>
  <si>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</si>
  <si>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</si>
  <si>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</si>
  <si>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</si>
  <si>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</si>
  <si>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</si>
  <si>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</si>
  <si>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</si>
  <si>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</si>
  <si>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</si>
  <si>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</si>
  <si>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</si>
  <si>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</si>
  <si>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</si>
  <si>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</si>
  <si>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</si>
  <si>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</si>
  <si>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</si>
  <si>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</si>
  <si>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</si>
  <si>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</si>
  <si>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</si>
  <si>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</si>
  <si>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</si>
  <si>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</si>
  <si>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</si>
  <si>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</si>
  <si>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</si>
  <si>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</si>
  <si>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</si>
  <si>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</si>
  <si>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</si>
  <si>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</si>
  <si>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</si>
  <si>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</si>
  <si>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</si>
  <si>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</si>
  <si>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</si>
  <si>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</si>
  <si>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</si>
  <si>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</si>
  <si>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</si>
  <si>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</si>
  <si>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</si>
  <si>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</si>
  <si>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</si>
  <si>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</si>
  <si>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</si>
  <si>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</si>
  <si>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</si>
  <si>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</si>
  <si>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</si>
  <si>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</si>
  <si>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</si>
  <si>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</si>
  <si>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</si>
  <si>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</si>
  <si>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</si>
  <si>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</si>
  <si>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</si>
  <si>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</si>
  <si>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</si>
  <si>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</si>
  <si>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</si>
  <si>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</si>
  <si>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</si>
  <si>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</si>
  <si>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</si>
  <si>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</si>
  <si>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</si>
  <si>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</si>
  <si>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</si>
  <si>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</si>
  <si>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</si>
  <si>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</si>
  <si>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</si>
  <si>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</si>
  <si>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</si>
  <si>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</si>
  <si>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</si>
  <si>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</si>
  <si>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</si>
  <si>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</si>
  <si>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</si>
  <si>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</si>
  <si>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</si>
  <si>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</si>
  <si>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</si>
  <si>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</si>
  <si>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</si>
  <si>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</si>
  <si>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</si>
  <si>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</si>
  <si>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</si>
  <si>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</si>
  <si>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</si>
  <si>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</si>
  <si>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</si>
  <si>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</si>
  <si>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</si>
  <si>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</si>
  <si>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</si>
  <si>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</si>
  <si>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</si>
  <si>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</si>
  <si>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</si>
  <si>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</si>
  <si>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</si>
  <si>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</si>
  <si>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</si>
  <si>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</si>
  <si>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</si>
  <si>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</si>
  <si>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</si>
  <si>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</si>
  <si>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</si>
  <si>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</si>
  <si>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</si>
  <si>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</si>
  <si>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</si>
  <si>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</si>
  <si>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</si>
  <si>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</si>
  <si>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</si>
  <si>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</si>
  <si>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</si>
  <si>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</si>
  <si>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</si>
  <si>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</si>
  <si>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</si>
  <si>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</si>
  <si>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</si>
  <si>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</si>
  <si>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</si>
  <si>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</si>
  <si>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</si>
  <si>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</si>
  <si>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</si>
  <si>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</si>
  <si>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</si>
  <si>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</si>
  <si>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</si>
  <si>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</si>
  <si>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</si>
  <si>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</si>
  <si>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</si>
  <si>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</si>
  <si>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</si>
  <si>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</si>
  <si>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</si>
  <si>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</si>
  <si>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</si>
  <si>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</si>
  <si>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</si>
  <si>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</si>
  <si>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</si>
  <si>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</si>
  <si>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</si>
  <si>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</si>
  <si>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</si>
  <si>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</si>
  <si>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</si>
  <si>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</si>
  <si>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</si>
  <si>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</si>
  <si>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</si>
  <si>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</si>
  <si>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</si>
  <si>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</si>
  <si>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</si>
  <si>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</si>
  <si>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</si>
  <si>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</si>
  <si>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</si>
  <si>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</si>
  <si>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</si>
  <si>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</si>
  <si>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</si>
  <si>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</si>
  <si>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</si>
  <si>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</si>
  <si>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</si>
  <si>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</si>
  <si>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</si>
  <si>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</si>
  <si>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</si>
  <si>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</si>
  <si>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</si>
  <si>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</si>
  <si>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</si>
  <si>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</si>
  <si>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</si>
  <si>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</si>
  <si>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</si>
  <si>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</si>
  <si>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</si>
  <si>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</si>
  <si>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</si>
  <si>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</si>
  <si>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</si>
  <si>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</si>
  <si>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</si>
  <si>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</si>
  <si>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</si>
  <si>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</si>
  <si>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</si>
  <si>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</si>
  <si>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</si>
  <si>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</si>
  <si>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</si>
  <si>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</si>
  <si>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</si>
  <si>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</si>
  <si>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</si>
  <si>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</si>
  <si>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</si>
  <si>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</si>
  <si>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</si>
  <si>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</si>
  <si>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</si>
  <si>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</si>
  <si>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</si>
  <si>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</si>
  <si>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</si>
  <si>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</si>
  <si>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</si>
  <si>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</si>
  <si>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</si>
  <si>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</si>
  <si>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</si>
  <si>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</si>
  <si>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</si>
  <si>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</si>
  <si>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</si>
  <si>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</si>
  <si>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</si>
  <si>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</si>
  <si>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</si>
  <si>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</si>
  <si>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</si>
  <si>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</si>
  <si>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</si>
  <si>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</si>
  <si>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</si>
  <si>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</si>
  <si>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</si>
  <si>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</si>
  <si>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</si>
  <si>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</si>
  <si>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</si>
  <si>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</si>
  <si>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</si>
  <si>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</si>
  <si>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</si>
  <si>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</si>
  <si>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</si>
  <si>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</si>
  <si>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</si>
  <si>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</si>
  <si>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</si>
  <si>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</si>
  <si>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</si>
  <si>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</si>
  <si>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</si>
  <si>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</si>
  <si>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</si>
  <si>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</si>
  <si>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</si>
  <si>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</si>
  <si>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</si>
  <si>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</si>
  <si>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</si>
  <si>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</si>
  <si>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</si>
  <si>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</si>
  <si>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</si>
  <si>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</si>
  <si>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</si>
  <si>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</si>
  <si>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</si>
  <si>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</si>
  <si>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</si>
  <si>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</si>
  <si>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</si>
  <si>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</si>
  <si>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</si>
  <si>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</si>
  <si>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</si>
  <si>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</si>
  <si>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</si>
  <si>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</si>
  <si>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</si>
  <si>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</si>
  <si>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</si>
  <si>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</si>
  <si>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</si>
  <si>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</si>
  <si>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</si>
  <si>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</si>
  <si>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</si>
  <si>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</si>
  <si>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</si>
  <si>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</si>
  <si>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</si>
  <si>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</si>
  <si>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</si>
  <si>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</si>
  <si>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</si>
  <si>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</si>
  <si>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</si>
  <si>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</si>
  <si>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</si>
  <si>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</si>
  <si>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</si>
  <si>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</si>
  <si>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</si>
  <si>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</si>
  <si>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</si>
  <si>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</si>
  <si>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</si>
  <si>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</si>
  <si>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</si>
  <si>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</si>
  <si>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</si>
  <si>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</si>
  <si>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</si>
  <si>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</si>
  <si>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</si>
  <si>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</si>
  <si>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</si>
  <si>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</si>
  <si>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</si>
  <si>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</si>
  <si>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</si>
  <si>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</si>
  <si>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</si>
  <si>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</si>
  <si>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</si>
  <si>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</si>
  <si>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</si>
  <si>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</si>
  <si>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</si>
  <si>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</si>
  <si>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</si>
  <si>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</si>
  <si>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</si>
  <si>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</si>
  <si>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</si>
  <si>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</si>
  <si>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</si>
  <si>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</si>
  <si>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</si>
  <si>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</si>
  <si>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</si>
  <si>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</si>
  <si>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</si>
  <si>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</si>
  <si>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</si>
  <si>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</si>
  <si>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</si>
  <si>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</si>
  <si>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</si>
  <si>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</si>
  <si>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</si>
  <si>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</si>
  <si>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</si>
  <si>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</si>
  <si>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</si>
  <si>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</si>
  <si>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</si>
  <si>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</si>
  <si>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</si>
  <si>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</si>
  <si>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</si>
  <si>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</si>
  <si>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</si>
  <si>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</si>
  <si>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</si>
  <si>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</si>
  <si>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</si>
  <si>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</si>
  <si>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</si>
  <si>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</si>
  <si>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</si>
  <si>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</si>
  <si>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</si>
  <si>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</si>
  <si>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</si>
  <si>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</si>
  <si>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</si>
  <si>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</si>
  <si>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</si>
  <si>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</si>
  <si>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</si>
  <si>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</si>
  <si>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</si>
  <si>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</si>
  <si>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</si>
  <si>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</si>
  <si>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</si>
  <si>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</si>
  <si>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</si>
  <si>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</si>
  <si>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</si>
  <si>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</si>
  <si>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</si>
  <si>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</si>
  <si>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</si>
  <si>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</si>
  <si>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</si>
  <si>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</si>
  <si>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</si>
  <si>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</si>
  <si>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</si>
  <si>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</si>
  <si>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</si>
  <si>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</si>
  <si>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</si>
  <si>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</si>
  <si>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</si>
  <si>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</si>
  <si>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</si>
  <si>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</si>
  <si>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</si>
  <si>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</si>
  <si>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</si>
  <si>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</si>
  <si>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</si>
  <si>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</si>
  <si>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</si>
  <si>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</si>
  <si>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</si>
  <si>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</si>
  <si>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</si>
  <si>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</si>
  <si>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</si>
  <si>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</si>
  <si>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</si>
  <si>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</si>
  <si>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</si>
  <si>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</si>
  <si>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</si>
  <si>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</si>
  <si>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</si>
  <si>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</si>
  <si>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</si>
  <si>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</si>
  <si>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</si>
  <si>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</si>
  <si>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</si>
  <si>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</si>
  <si>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</si>
  <si>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</si>
  <si>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</si>
  <si>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</si>
  <si>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</si>
  <si>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</si>
  <si>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</si>
  <si>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</si>
  <si>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</si>
  <si>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</si>
  <si>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</si>
  <si>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</si>
  <si>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</si>
  <si>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</si>
  <si>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</si>
  <si>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</si>
  <si>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</si>
  <si>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</si>
  <si>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</si>
  <si>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</si>
  <si>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</si>
  <si>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</si>
  <si>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</si>
  <si>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</si>
  <si>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</si>
  <si>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</si>
  <si>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</si>
  <si>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</si>
  <si>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</si>
  <si>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</si>
  <si>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</si>
  <si>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</si>
  <si>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</si>
  <si>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</si>
  <si>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</si>
  <si>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</si>
  <si>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</si>
  <si>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</si>
  <si>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</si>
  <si>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</si>
  <si>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</si>
  <si>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</si>
  <si>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</si>
  <si>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</si>
  <si>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</si>
  <si>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</si>
  <si>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</si>
  <si>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</si>
  <si>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</si>
  <si>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</si>
  <si>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</si>
  <si>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</si>
  <si>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</si>
  <si>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</si>
  <si>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</si>
  <si>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</si>
  <si>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</si>
  <si>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</si>
  <si>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</si>
  <si>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</si>
  <si>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</si>
  <si>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</si>
  <si>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</si>
  <si>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</si>
  <si>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</si>
  <si>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</si>
  <si>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</si>
  <si>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</si>
  <si>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</si>
  <si>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</si>
  <si>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</si>
  <si>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</si>
  <si>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</si>
  <si>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</si>
  <si>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</si>
  <si>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</si>
  <si>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</si>
  <si>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</si>
  <si>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</si>
  <si>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</si>
  <si>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</si>
  <si>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</si>
  <si>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</si>
  <si>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</si>
  <si>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</si>
  <si>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</si>
  <si>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</si>
  <si>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</si>
  <si>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</si>
  <si>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</si>
  <si>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</si>
  <si>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</si>
  <si>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</si>
  <si>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</si>
  <si>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</si>
  <si>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</si>
  <si>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</si>
  <si>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</si>
  <si>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</si>
  <si>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</si>
  <si>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</si>
  <si>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</si>
  <si>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</si>
  <si>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</si>
  <si>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</si>
  <si>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</si>
  <si>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</si>
  <si>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</si>
  <si>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</si>
  <si>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</si>
  <si>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</si>
  <si>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</si>
  <si>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</si>
  <si>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</si>
  <si>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</si>
  <si>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</si>
  <si>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</si>
  <si>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</si>
  <si>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</si>
  <si>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</si>
  <si>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</si>
  <si>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</si>
  <si>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</si>
  <si>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</si>
  <si>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</si>
  <si>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</si>
  <si>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</si>
  <si>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</si>
  <si>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</si>
  <si>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</si>
  <si>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</si>
  <si>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</si>
  <si>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</si>
  <si>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</si>
  <si>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</si>
  <si>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</si>
  <si>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</si>
  <si>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</si>
  <si>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</si>
  <si>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</si>
  <si>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</si>
  <si>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</si>
  <si>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</si>
  <si>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</si>
  <si>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</si>
  <si>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</si>
  <si>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</si>
  <si>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</si>
  <si>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</si>
  <si>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</si>
  <si>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</si>
  <si>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</si>
  <si>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</si>
  <si>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</si>
  <si>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</si>
  <si>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</si>
  <si>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</si>
  <si>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</si>
  <si>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</si>
  <si>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</si>
  <si>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</si>
  <si>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</si>
  <si>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</si>
  <si>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</si>
  <si>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</si>
  <si>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</si>
  <si>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</si>
  <si>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</si>
  <si>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</si>
  <si>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</si>
  <si>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</si>
  <si>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</si>
  <si>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</si>
  <si>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</si>
  <si>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</si>
  <si>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</si>
  <si>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</si>
  <si>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</si>
  <si>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</si>
  <si>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</si>
  <si>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</si>
  <si>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</si>
  <si>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</si>
  <si>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</si>
  <si>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</si>
  <si>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</si>
  <si>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</si>
  <si>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</si>
  <si>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</si>
  <si>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</si>
  <si>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</si>
  <si>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</si>
  <si>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</si>
  <si>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</si>
  <si>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</si>
  <si>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</si>
  <si>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</si>
  <si>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</si>
  <si>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</si>
  <si>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</si>
  <si>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</si>
  <si>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</si>
  <si>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</si>
  <si>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</si>
  <si>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</si>
  <si>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</si>
  <si>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</si>
  <si>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</si>
  <si>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</si>
  <si>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</si>
  <si>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</si>
  <si>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</si>
  <si>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</si>
  <si>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</si>
  <si>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</si>
  <si>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</si>
  <si>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</si>
  <si>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</si>
  <si>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</si>
  <si>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</si>
  <si>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</si>
  <si>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</si>
  <si>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</si>
  <si>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</si>
  <si>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</si>
  <si>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</si>
  <si>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</si>
  <si>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</si>
  <si>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</si>
  <si>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</si>
  <si>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</si>
  <si>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</si>
  <si>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</si>
  <si>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</si>
  <si>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</si>
  <si>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</si>
  <si>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</si>
  <si>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</si>
  <si>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</si>
  <si>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</si>
  <si>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</si>
  <si>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</si>
  <si>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</si>
  <si>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</si>
  <si>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</si>
  <si>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</si>
  <si>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</si>
  <si>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</si>
  <si>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</si>
  <si>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</si>
  <si>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</si>
  <si>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</si>
  <si>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</si>
  <si>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</si>
  <si>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</si>
  <si>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</si>
  <si>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</si>
  <si>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</si>
  <si>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</si>
  <si>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</si>
  <si>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</si>
  <si>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</si>
  <si>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</si>
  <si>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</si>
  <si>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</si>
  <si>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</si>
  <si>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</si>
  <si>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</si>
  <si>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</si>
  <si>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</si>
  <si>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</si>
  <si>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</si>
  <si>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</si>
  <si>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</si>
  <si>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</si>
  <si>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</si>
  <si>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</si>
  <si>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</si>
  <si>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</si>
  <si>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</si>
  <si>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</si>
  <si>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</si>
  <si>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</si>
  <si>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</si>
  <si>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</si>
  <si>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</si>
  <si>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</si>
  <si>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</si>
  <si>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</si>
  <si>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</si>
  <si>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</si>
  <si>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</si>
  <si>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</si>
  <si>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</si>
  <si>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</si>
  <si>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</si>
  <si>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</si>
  <si>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</si>
  <si>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</si>
  <si>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</si>
  <si>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</si>
  <si>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</si>
  <si>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</si>
  <si>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</si>
  <si>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</si>
  <si>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</si>
  <si>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</si>
  <si>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</si>
  <si>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</si>
  <si>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</si>
  <si>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</si>
  <si>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</si>
  <si>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</si>
  <si>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</si>
  <si>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</si>
  <si>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</si>
  <si>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</si>
  <si>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</si>
  <si>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</si>
  <si>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</si>
  <si>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</si>
  <si>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</si>
  <si>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</si>
  <si>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</si>
  <si>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</si>
  <si>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</si>
  <si>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</si>
  <si>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</si>
  <si>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</si>
  <si>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</si>
  <si>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</si>
  <si>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</si>
  <si>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</si>
  <si>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</si>
  <si>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</si>
  <si>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</si>
  <si>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</si>
  <si>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</si>
  <si>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</si>
  <si>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</si>
  <si>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</si>
  <si>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</si>
  <si>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</si>
  <si>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</si>
  <si>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</si>
  <si>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</si>
  <si>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</si>
  <si>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</si>
  <si>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</si>
  <si>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</si>
  <si>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</si>
  <si>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</si>
  <si>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</si>
  <si>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</si>
  <si>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</si>
  <si>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</si>
  <si>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</si>
  <si>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</si>
  <si>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</si>
  <si>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</si>
  <si>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</si>
  <si>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</si>
  <si>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</si>
  <si>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</si>
  <si>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</si>
  <si>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</si>
  <si>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</si>
  <si>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</si>
  <si>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</si>
  <si>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</si>
  <si>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</si>
  <si>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</si>
  <si>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</si>
  <si>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</si>
  <si>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</si>
  <si>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</si>
  <si>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</si>
  <si>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</si>
  <si>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</si>
  <si>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</si>
  <si>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</si>
  <si>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</si>
  <si>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</si>
  <si>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</si>
  <si>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</si>
  <si>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</si>
  <si>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</si>
  <si>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</si>
  <si>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</si>
  <si>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</si>
  <si>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</si>
  <si>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</si>
  <si>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</si>
  <si>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</si>
  <si>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</si>
  <si>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</si>
  <si>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</si>
  <si>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</si>
  <si>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</si>
  <si>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</si>
  <si>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</si>
  <si>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</si>
  <si>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</si>
  <si>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</si>
  <si>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</si>
  <si>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</si>
  <si>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</si>
  <si>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</si>
  <si>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</si>
  <si>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</si>
  <si>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</si>
  <si>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</si>
  <si>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</si>
  <si>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</si>
  <si>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</si>
  <si>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</si>
  <si>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</si>
  <si>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</si>
  <si>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</si>
  <si>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</si>
  <si>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</si>
  <si>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</si>
  <si>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</si>
  <si>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</si>
  <si>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</si>
  <si>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</si>
  <si>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</si>
  <si>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</si>
  <si>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</si>
  <si>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</si>
  <si>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</si>
  <si>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</si>
  <si>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</si>
  <si>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</si>
  <si>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</si>
  <si>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</si>
  <si>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</si>
  <si>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</si>
  <si>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</si>
  <si>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</si>
  <si>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</si>
  <si>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</si>
  <si>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</si>
  <si>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</si>
  <si>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</si>
  <si>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</si>
  <si>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</si>
  <si>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</si>
  <si>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</si>
  <si>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</si>
  <si>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</si>
  <si>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</si>
  <si>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</si>
  <si>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</si>
  <si>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</si>
  <si>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</si>
  <si>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</si>
  <si>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</si>
  <si>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</si>
  <si>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</si>
  <si>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</si>
  <si>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</si>
  <si>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</si>
  <si>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</si>
  <si>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</si>
  <si>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</si>
  <si>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</si>
  <si>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</si>
  <si>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</si>
  <si>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</si>
  <si>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</si>
  <si>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</si>
  <si>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</si>
  <si>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</si>
  <si>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</si>
  <si>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</si>
  <si>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</si>
  <si>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</si>
  <si>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</si>
  <si>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</si>
  <si>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</si>
  <si>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</si>
  <si>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</si>
  <si>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</si>
  <si>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</si>
  <si>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</si>
  <si>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</si>
  <si>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</si>
  <si>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</si>
  <si>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</si>
  <si>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</si>
  <si>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</si>
  <si>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</si>
  <si>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</si>
  <si>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</si>
  <si>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</si>
  <si>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</si>
  <si>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</si>
  <si>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</si>
  <si>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</si>
  <si>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</si>
  <si>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</si>
  <si>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</si>
  <si>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</si>
  <si>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</si>
  <si>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</si>
  <si>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</si>
  <si>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</si>
  <si>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</si>
  <si>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</si>
  <si>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</si>
  <si>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</si>
  <si>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</si>
  <si>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</si>
  <si>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</si>
  <si>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</si>
  <si>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</si>
  <si>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</si>
  <si>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</si>
  <si>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</si>
  <si>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</si>
  <si>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</si>
  <si>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</si>
  <si>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</si>
  <si>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</si>
  <si>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</si>
  <si>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</si>
  <si>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</si>
  <si>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</si>
  <si>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</si>
  <si>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</si>
  <si>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</si>
  <si>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</si>
  <si>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</si>
  <si>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</si>
  <si>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</si>
  <si>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</si>
  <si>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</si>
  <si>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</si>
  <si>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</si>
  <si>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</si>
  <si>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</si>
  <si>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</si>
  <si>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</si>
  <si>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</si>
  <si>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</si>
  <si>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</si>
  <si>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</si>
  <si>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</si>
  <si>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</si>
  <si>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</si>
  <si>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</si>
  <si>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</si>
  <si>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</si>
  <si>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</si>
  <si>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</si>
  <si>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</si>
  <si>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</si>
  <si>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</si>
  <si>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</si>
  <si>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</si>
  <si>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</si>
  <si>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</si>
  <si>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</si>
  <si>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</si>
  <si>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</si>
  <si>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</si>
  <si>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</si>
  <si>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</si>
  <si>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</si>
  <si>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</si>
  <si>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</si>
  <si>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</si>
  <si>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</si>
  <si>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</si>
  <si>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</si>
  <si>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</si>
  <si>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</si>
  <si>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</si>
  <si>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</si>
  <si>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</si>
  <si>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</si>
  <si>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</si>
  <si>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</si>
  <si>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</si>
  <si>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</si>
  <si>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</si>
  <si>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</si>
  <si>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</si>
  <si>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</si>
  <si>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</si>
  <si>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</si>
  <si>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</si>
  <si>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</si>
  <si>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</si>
  <si>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</si>
  <si>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</si>
  <si>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</si>
  <si>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</si>
  <si>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</si>
  <si>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</si>
  <si>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</si>
  <si>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</si>
  <si>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</si>
  <si>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</si>
  <si>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</si>
  <si>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</si>
  <si>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</si>
  <si>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</si>
  <si>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</si>
  <si>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</si>
  <si>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</si>
  <si>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</si>
  <si>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</si>
  <si>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</si>
  <si>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</si>
  <si>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</si>
  <si>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</si>
  <si>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</si>
  <si>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</si>
  <si>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</si>
  <si>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</si>
  <si>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</si>
  <si>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</si>
  <si>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</si>
  <si>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</si>
  <si>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</si>
  <si>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</si>
  <si>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</si>
  <si>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</si>
  <si>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</si>
  <si>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</si>
  <si>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</si>
  <si>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</si>
  <si>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</si>
  <si>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</si>
  <si>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</si>
  <si>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</si>
  <si>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</si>
  <si>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</si>
  <si>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</si>
  <si>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</si>
  <si>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</si>
  <si>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</si>
  <si>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</si>
  <si>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</si>
  <si>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</si>
  <si>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</si>
  <si>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</si>
  <si>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</si>
  <si>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</si>
  <si>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</si>
  <si>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</si>
  <si>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</si>
  <si>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</si>
  <si>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</si>
  <si>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</si>
  <si>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</si>
  <si>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</si>
  <si>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</si>
  <si>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</si>
  <si>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</si>
  <si>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</si>
  <si>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</si>
  <si>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</si>
  <si>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</si>
  <si>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</si>
  <si>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</si>
  <si>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</si>
  <si>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</si>
  <si>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</si>
  <si>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</si>
  <si>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</si>
  <si>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</si>
  <si>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</si>
  <si>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</si>
  <si>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</si>
  <si>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</si>
  <si>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</si>
  <si>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</si>
  <si>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</si>
  <si>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</si>
  <si>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</si>
  <si>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</si>
  <si>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</si>
  <si>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</si>
  <si>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</si>
  <si>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</si>
  <si>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</si>
  <si>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</si>
  <si>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</si>
  <si>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</si>
  <si>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</si>
  <si>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</si>
  <si>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</si>
  <si>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</si>
  <si>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</si>
  <si>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</si>
  <si>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</si>
  <si>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</si>
  <si>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</si>
  <si>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</si>
  <si>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</si>
  <si>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</si>
  <si>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</si>
  <si>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</si>
  <si>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</si>
  <si>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</si>
  <si>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</si>
  <si>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</si>
  <si>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</si>
  <si>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</si>
  <si>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</si>
  <si>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</si>
  <si>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</si>
  <si>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</si>
  <si>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</si>
  <si>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</si>
  <si>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</si>
  <si>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</si>
  <si>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</si>
  <si>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</si>
  <si>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</si>
  <si>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</si>
  <si>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</si>
  <si>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</si>
  <si>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</si>
  <si>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</si>
  <si>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</si>
  <si>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</si>
  <si>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</si>
  <si>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</si>
  <si>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</si>
  <si>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</si>
  <si>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</si>
  <si>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</si>
  <si>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</si>
  <si>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</si>
  <si>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</si>
  <si>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</si>
  <si>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</si>
  <si>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北京农商银行天通苑支行</t>
    <phoneticPr fontId="6" type="noConversion"/>
  </si>
  <si>
    <t>北京怡和中源科技有限公司</t>
    <phoneticPr fontId="6" type="noConversion"/>
  </si>
  <si>
    <t>抵押</t>
  </si>
  <si>
    <t>房地产抵押价值</t>
  </si>
  <si>
    <t>北京市</t>
  </si>
  <si>
    <t>企业</t>
  </si>
  <si>
    <t>顺义区赵全营镇板桥村</t>
    <phoneticPr fontId="6" type="noConversion"/>
  </si>
  <si>
    <t>通路</t>
  </si>
  <si>
    <t>通电</t>
  </si>
  <si>
    <t>通讯</t>
  </si>
  <si>
    <t>通上水</t>
  </si>
  <si>
    <t>通下水</t>
  </si>
  <si>
    <t>通热</t>
  </si>
  <si>
    <t>燃气</t>
  </si>
  <si>
    <t>A1研发楼</t>
  </si>
  <si>
    <t>A2研发楼</t>
  </si>
  <si>
    <t>A3研发楼</t>
  </si>
  <si>
    <t>A4研发楼</t>
  </si>
  <si>
    <t>A5研发楼</t>
  </si>
  <si>
    <t>A6研发楼</t>
  </si>
  <si>
    <t>A7研发楼</t>
  </si>
  <si>
    <t>A8配套服务楼</t>
  </si>
  <si>
    <t>地下车库</t>
  </si>
  <si>
    <t>扣除未完工</t>
    <phoneticPr fontId="3" type="noConversion"/>
  </si>
  <si>
    <t>是</t>
  </si>
  <si>
    <t>地上</t>
  </si>
  <si>
    <t>地下</t>
  </si>
  <si>
    <t>工业</t>
    <phoneticPr fontId="7" type="noConversion"/>
  </si>
  <si>
    <t>仓储</t>
    <phoneticPr fontId="7" type="noConversion"/>
  </si>
  <si>
    <t>地下车库</t>
    <phoneticPr fontId="7" type="noConversion"/>
  </si>
  <si>
    <t>工程进度</t>
  </si>
  <si>
    <t>成本法</t>
  </si>
  <si>
    <t>假设开发法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</si>
  <si>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</si>
  <si>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</si>
  <si>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</si>
  <si>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</si>
  <si>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</si>
  <si>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</si>
  <si>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</si>
  <si>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</si>
  <si>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</si>
  <si>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</si>
  <si>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</si>
  <si>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</si>
  <si>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</si>
  <si>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</si>
  <si>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</si>
  <si>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</si>
  <si>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</si>
  <si>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</si>
  <si>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</si>
  <si>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</si>
  <si>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</si>
  <si>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</si>
  <si>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</si>
  <si>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</si>
  <si>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</si>
  <si>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</si>
  <si>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</si>
  <si>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</si>
  <si>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</si>
  <si>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</si>
  <si>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</si>
  <si>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</si>
  <si>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</si>
  <si>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</si>
  <si>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</si>
  <si>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</si>
  <si>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</si>
  <si>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</si>
  <si>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</si>
  <si>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</si>
  <si>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</si>
  <si>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</si>
  <si>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</si>
  <si>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</si>
  <si>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</si>
  <si>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</si>
  <si>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</si>
  <si>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</si>
  <si>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</si>
  <si>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</si>
  <si>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</si>
  <si>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</si>
  <si>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</si>
  <si>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</si>
  <si>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</si>
  <si>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</si>
  <si>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</si>
  <si>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</si>
  <si>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</si>
  <si>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</si>
  <si>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</si>
  <si>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</si>
  <si>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</si>
  <si>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</si>
  <si>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</si>
  <si>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</si>
  <si>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</si>
  <si>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</si>
  <si>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</si>
  <si>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</si>
  <si>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</si>
  <si>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</si>
  <si>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</si>
  <si>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</si>
  <si>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</si>
  <si>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</si>
  <si>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</si>
  <si>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</si>
  <si>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</si>
  <si>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</si>
  <si>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</si>
  <si>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</si>
  <si>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</si>
  <si>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</si>
  <si>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</si>
  <si>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</si>
  <si>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</si>
  <si>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</si>
  <si>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</si>
  <si>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</si>
  <si>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</si>
  <si>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M4科研用地</t>
  </si>
  <si>
    <t>宗地容积率</t>
  </si>
  <si>
    <t>平整</t>
  </si>
  <si>
    <t>与级别开发程度不一致</t>
  </si>
  <si>
    <t>较好</t>
  </si>
  <si>
    <t>一般</t>
  </si>
  <si>
    <t>好</t>
  </si>
  <si>
    <t>工业</t>
    <phoneticPr fontId="32" type="noConversion"/>
  </si>
  <si>
    <t>七通</t>
  </si>
  <si>
    <t>较规则</t>
  </si>
  <si>
    <t>较规则</t>
    <phoneticPr fontId="32" type="noConversion"/>
  </si>
  <si>
    <t>七通</t>
    <phoneticPr fontId="32" type="noConversion"/>
  </si>
  <si>
    <t>较好</t>
    <phoneticPr fontId="32" type="noConversion"/>
  </si>
  <si>
    <t>楼面地价</t>
  </si>
  <si>
    <t>未包含在土地购买价格中</t>
  </si>
  <si>
    <t>全部缴纳</t>
  </si>
  <si>
    <t>已包含在土地取得成本中</t>
  </si>
  <si>
    <t>押一</t>
  </si>
  <si>
    <t>钢混</t>
  </si>
  <si>
    <t>非生产用房</t>
  </si>
  <si>
    <t>收益法</t>
  </si>
  <si>
    <t>在建（套用方法）</t>
  </si>
  <si>
    <t>收益法(仓储)</t>
  </si>
  <si>
    <t>收益法(仓储)</t>
    <phoneticPr fontId="16" type="noConversion"/>
  </si>
  <si>
    <t>收益法(车库)</t>
  </si>
  <si>
    <t>收益法(车库)</t>
    <phoneticPr fontId="16" type="noConversion"/>
  </si>
  <si>
    <t>总价</t>
  </si>
  <si>
    <t>成本比率</t>
  </si>
  <si>
    <t>住宅</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</si>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</sst>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77" fillId="16" borderId="1" xfId="0"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47" fillId="0" borderId="1" xfId="0" applyFont="1" applyBorder="1" applyAlignment="1" applyProtection="1">
      <alignment horizontal="left" vertical="center" wrapText="1"/>
      <protection locked="0"/>
    </xf>
    <xf numFmtId="0" fontId="47" fillId="16" borderId="1" xfId="0" applyFont="1" applyFill="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4" fillId="16" borderId="2" xfId="0" applyFont="1" applyFill="1" applyBorder="1" applyAlignment="1" applyProtection="1">
      <alignment horizontal="left" vertical="center" wrapText="1"/>
      <protection locked="0"/>
    </xf>
    <xf numFmtId="179" fontId="53" fillId="8" borderId="1" xfId="1" applyNumberFormat="1" applyFont="1" applyFill="1" applyBorder="1" applyAlignment="1" applyProtection="1">
      <alignment horizontal="center"/>
    </xf>
    <xf numFmtId="0" fontId="53" fillId="8"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11</xdr:col>
      <xdr:colOff>103638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15</xdr:col>
      <xdr:colOff>8064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14</xdr:col>
      <xdr:colOff>274784</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14</xdr:col>
      <xdr:colOff>312882</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北京市顺义区赵全营镇板桥村房地产抵押价值预评估</v>
      </c>
    </row>
    <row r="3" spans="1:2" s="1202" customFormat="1">
      <c r="A3" s="1200" t="s">
        <v>523</v>
      </c>
      <c r="B3" s="1201" t="str">
        <f>'预评函-封皮'!B40</f>
        <v>北京农商银行天通苑支行</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受贵公司委托，我公司对北京市顺义区赵全营镇板桥村房地产抵押价值进行了预评估。</v>
      </c>
    </row>
    <row r="7" spans="1:2" s="1202" customFormat="1">
      <c r="A7" s="1200" t="s">
        <v>566</v>
      </c>
      <c r="B7" s="1201" t="str">
        <f>'预评函-1'!A7</f>
        <v>估价对象为北京市顺义区赵全营镇板桥村房地产，为北京怡和中源科技有限公司所有。根据《国有土地使用证》[]，估价对象（分摊）出让国有建设用地使用权面积为17833.27平方米，建筑面积为47621.42平方米。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2023年7月4日（评估专业人员实地查勘之日）</v>
      </c>
    </row>
    <row r="13" spans="1:2" s="1202" customFormat="1">
      <c r="A13" s="1200" t="s">
        <v>529</v>
      </c>
      <c r="B13" s="1201"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24656</v>
      </c>
    </row>
    <row r="21" spans="1:2" s="1202" customFormat="1">
      <c r="A21" s="1200" t="s">
        <v>537</v>
      </c>
      <c r="B21" s="1201">
        <f ca="1">'预评函-2'!D7</f>
        <v>5178</v>
      </c>
    </row>
    <row r="22" spans="1:2" s="1202" customFormat="1">
      <c r="A22" s="1200" t="s">
        <v>538</v>
      </c>
      <c r="B22" s="1201" t="str">
        <f ca="1">'预评函-2'!D6</f>
        <v>贰亿肆仟陆佰伍拾陆万元整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24656</v>
      </c>
    </row>
    <row r="31" spans="1:2" s="1202" customFormat="1">
      <c r="A31" s="1200" t="s">
        <v>576</v>
      </c>
      <c r="B31" s="1201">
        <f ca="1">'预评函-2'!D15</f>
        <v>5178</v>
      </c>
    </row>
    <row r="32" spans="1:2" s="1202" customFormat="1">
      <c r="A32" s="1200" t="s">
        <v>543</v>
      </c>
      <c r="B32" s="1201" t="str">
        <f ca="1">'预评函-2'!D14</f>
        <v>贰亿肆仟陆佰伍拾陆万元整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北京市顺义区赵全营镇板桥村房地产</v>
      </c>
    </row>
    <row r="42" spans="1:2" s="1202" customFormat="1">
      <c r="A42" s="1200" t="s">
        <v>590</v>
      </c>
      <c r="B42" s="1201" t="str">
        <f>'预评函-3'!B2</f>
        <v>建筑面积</v>
      </c>
    </row>
    <row r="43" spans="1:2" s="1202" customFormat="1">
      <c r="A43" s="1200" t="s">
        <v>591</v>
      </c>
      <c r="B43" s="1201">
        <f>'预评函-3'!B4</f>
        <v>47621.420000000006</v>
      </c>
    </row>
    <row r="44" spans="1:2" s="1202" customFormat="1">
      <c r="A44" s="1200" t="s">
        <v>575</v>
      </c>
      <c r="B44" s="1201" t="str">
        <f>'预评函-3'!C2</f>
        <v>(分摊)土地面积</v>
      </c>
    </row>
    <row r="45" spans="1:2" s="1202" customFormat="1">
      <c r="A45" s="1200" t="s">
        <v>547</v>
      </c>
      <c r="B45" s="1201">
        <f>'预评函-3'!C4</f>
        <v>17833.27</v>
      </c>
    </row>
    <row r="46" spans="1:2" s="1202" customFormat="1">
      <c r="A46" s="1200" t="s">
        <v>573</v>
      </c>
      <c r="B46" s="1201" t="str">
        <f>'预评函-3'!D2</f>
        <v>出让国有建设用地使用权价值</v>
      </c>
    </row>
    <row r="47" spans="1:2" s="1202" customFormat="1">
      <c r="A47" s="1200" t="s">
        <v>548</v>
      </c>
      <c r="B47" s="1201">
        <f ca="1">'预评函-3'!D4</f>
        <v>6854</v>
      </c>
    </row>
    <row r="48" spans="1:2" s="1202" customFormat="1">
      <c r="A48" s="1200" t="s">
        <v>549</v>
      </c>
      <c r="B48" s="1201">
        <f ca="1">'预评函-3'!E4</f>
        <v>1440</v>
      </c>
    </row>
    <row r="49" spans="1:2" s="1202" customFormat="1">
      <c r="A49" s="1200" t="s">
        <v>550</v>
      </c>
      <c r="B49" s="1201" t="str">
        <f ca="1">'预评函-3'!D5</f>
        <v>陆仟捌佰伍拾肆万元整</v>
      </c>
    </row>
    <row r="50" spans="1:2" s="1202" customFormat="1">
      <c r="A50" s="1200" t="s">
        <v>574</v>
      </c>
      <c r="B50" s="1201" t="str">
        <f>'预评函-3'!F2</f>
        <v>在建建筑物价值</v>
      </c>
    </row>
    <row r="51" spans="1:2" s="1202" customFormat="1">
      <c r="A51" s="1200" t="s">
        <v>551</v>
      </c>
      <c r="B51" s="1201">
        <f ca="1">'预评函-3'!F4</f>
        <v>17802</v>
      </c>
    </row>
    <row r="52" spans="1:2" s="1202" customFormat="1">
      <c r="A52" s="1200" t="s">
        <v>552</v>
      </c>
      <c r="B52" s="1201">
        <f ca="1">'预评函-3'!G4</f>
        <v>3738</v>
      </c>
    </row>
    <row r="53" spans="1:2" s="1202" customFormat="1">
      <c r="A53" s="1200" t="s">
        <v>580</v>
      </c>
      <c r="B53" s="1201" t="str">
        <f ca="1">'预评函-3'!F5</f>
        <v>壹亿柒仟捌佰零贰万元整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2579</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2580</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3524</v>
      </c>
      <c r="C19" s="1546"/>
    </row>
    <row r="20" spans="1:3">
      <c r="A20" s="1545" t="s">
        <v>1048</v>
      </c>
      <c r="B20" s="1545" t="s">
        <v>3526</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3" t="s">
        <v>385</v>
      </c>
      <c r="C54" s="1550" t="s">
        <v>583</v>
      </c>
    </row>
    <row r="55" spans="1:4">
      <c r="A55" s="3518"/>
      <c r="B55" s="1553" t="s">
        <v>386</v>
      </c>
      <c r="C55" s="1550" t="s">
        <v>584</v>
      </c>
    </row>
    <row r="56" spans="1:4">
      <c r="A56" s="3518"/>
      <c r="B56" s="1553" t="s">
        <v>387</v>
      </c>
      <c r="C56" s="1550" t="s">
        <v>588</v>
      </c>
    </row>
    <row r="57" spans="1:4">
      <c r="A57" s="351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19" t="s">
        <v>2582</v>
      </c>
      <c r="J2" s="3519"/>
      <c r="K2" s="3519"/>
      <c r="L2" s="3519"/>
      <c r="M2" s="3519"/>
      <c r="N2" s="3519"/>
      <c r="O2" s="3519"/>
      <c r="P2" s="3519"/>
      <c r="Q2" s="3519"/>
      <c r="R2" s="3519"/>
    </row>
    <row r="3" spans="1:18">
      <c r="A3" s="3016" t="s">
        <v>2503</v>
      </c>
      <c r="B3" s="3017">
        <f>项目基本情况!D3</f>
        <v>45111</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3.46</v>
      </c>
      <c r="D5" s="3021">
        <f>IF(ISERROR(ROUND(POWER(1+E5,A5-C5)*(POWER(1+E5,C5)-1)/(POWER(1+E5,A5)-1),3)),0,ROUND(POWER(1+E5,A5-C5)*(POWER(1+E5,C5)-1)/(POWER(1+E5,A5)-1),4))</f>
        <v>0.1603</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13.47</v>
      </c>
      <c r="D6" s="3021">
        <f>IF(ISERROR(ROUND(POWER(1+E6,A6-C6)*(POWER(1+E6,C6)-1)/(POWER(1+E6,A6)-1),3)),0,ROUND(POWER(1+E6,A6-C6)*(POWER(1+E6,C6)-1)/(POWER(1+E6,A6)-1),4))</f>
        <v>0.47760000000000002</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33.479999999999997</v>
      </c>
      <c r="D7" s="3021">
        <f>IF(ISERROR(ROUND(POWER(1+E7,A7-C7)*(POWER(1+E7,C7)-1)/(POWER(1+E7,A7)-1),3)),0,ROUND(POWER(1+E7,A7-C7)*(POWER(1+E7,C7)-1)/(POWER(1+E7,A7)-1),4))</f>
        <v>0.78120000000000001</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F14" sqref="F14:H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28" t="str">
        <f>IF(B10="北京市","北京市",C10)&amp;F10&amp;IF(结果表!G1="在建","出让国有建设用地使用权及在建建筑物",IF(结果表!G1="土地","出让国有建设用地使用权",))&amp;B9&amp;"预评估"</f>
        <v>北京市顺义区赵全营镇板桥村房地产抵押价值预评估</v>
      </c>
      <c r="C1" s="3529"/>
      <c r="D1" s="3529"/>
      <c r="E1" s="3529"/>
      <c r="F1" s="3529"/>
      <c r="G1" s="3529"/>
      <c r="H1" s="3529"/>
      <c r="I1" s="3530"/>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北京市顺义区赵全营镇板桥村房地产抵押价值</v>
      </c>
      <c r="T1" s="1744"/>
      <c r="U1" s="1744"/>
      <c r="V1" s="1744"/>
      <c r="W1" s="1744"/>
      <c r="X1" s="1744"/>
      <c r="Y1" s="1744"/>
      <c r="Z1" s="1744"/>
      <c r="AA1" s="1744"/>
      <c r="AB1" s="1744"/>
    </row>
    <row r="2" spans="1:30">
      <c r="A2" s="2366" t="s">
        <v>2167</v>
      </c>
      <c r="B2" s="2370"/>
      <c r="C2" s="2371"/>
      <c r="D2" s="2666"/>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北京市顺义区赵全营镇板桥村房地产</v>
      </c>
      <c r="T2" s="1744"/>
      <c r="U2" s="1744"/>
      <c r="V2" s="1744"/>
      <c r="W2" s="1744"/>
      <c r="X2" s="1744"/>
      <c r="Y2" s="1744"/>
      <c r="Z2" s="1744"/>
      <c r="AA2" s="1744"/>
      <c r="AB2" s="1744"/>
    </row>
    <row r="3" spans="1:30">
      <c r="A3" s="302" t="s">
        <v>2168</v>
      </c>
      <c r="B3" s="2372">
        <v>45111</v>
      </c>
      <c r="C3" s="2373" t="s">
        <v>2169</v>
      </c>
      <c r="D3" s="2372">
        <f>B3</f>
        <v>45111</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6"/>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36.75" thickTop="1">
      <c r="A5" s="2378" t="s">
        <v>2171</v>
      </c>
      <c r="B5" s="3457" t="s">
        <v>3377</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2172</v>
      </c>
      <c r="B6" s="2382" t="str">
        <f>B5</f>
        <v>北京农商银行天通苑支行</v>
      </c>
      <c r="C6" s="2383"/>
      <c r="D6" s="2384"/>
      <c r="E6" s="2659"/>
      <c r="F6" s="2661"/>
      <c r="G6" s="2661"/>
      <c r="H6" s="2661"/>
      <c r="I6" s="2661"/>
      <c r="J6" s="2436"/>
      <c r="K6" s="2612" t="str">
        <f>IF(COUNTIF(B6,"*上海银行*"),"上海银行","")</f>
        <v/>
      </c>
      <c r="L6" s="2610"/>
      <c r="M6" s="2610"/>
      <c r="N6" s="2436"/>
      <c r="O6" s="2447"/>
      <c r="P6" s="2436"/>
      <c r="Q6" s="2436"/>
      <c r="R6" s="2436"/>
    </row>
    <row r="7" spans="1:30" ht="36">
      <c r="A7" s="2381" t="s">
        <v>2173</v>
      </c>
      <c r="B7" s="3458" t="s">
        <v>3378</v>
      </c>
      <c r="C7" s="2383"/>
      <c r="D7" s="2384"/>
      <c r="E7" s="2659"/>
      <c r="F7" s="2661"/>
      <c r="G7" s="2661"/>
      <c r="H7" s="2661"/>
      <c r="I7" s="2661"/>
      <c r="J7" s="2436"/>
      <c r="K7" s="2613"/>
      <c r="L7" s="2610"/>
      <c r="M7" s="2610"/>
      <c r="N7" s="2436"/>
      <c r="O7" s="2447"/>
      <c r="P7" s="2436"/>
      <c r="Q7" s="2436"/>
      <c r="R7" s="2436"/>
    </row>
    <row r="8" spans="1:30">
      <c r="A8" s="2385" t="s">
        <v>2174</v>
      </c>
      <c r="B8" s="2386" t="s">
        <v>3379</v>
      </c>
      <c r="C8" s="2387"/>
      <c r="D8" s="3531"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32"/>
      <c r="E9" s="2391" t="s">
        <v>43</v>
      </c>
      <c r="F9" s="2393"/>
      <c r="G9" s="2662"/>
      <c r="H9" s="2662"/>
      <c r="I9" s="2662"/>
      <c r="J9" s="2436"/>
      <c r="K9" s="2613"/>
      <c r="L9" s="2610"/>
      <c r="M9" s="2610"/>
      <c r="N9" s="2436"/>
      <c r="O9" s="2447"/>
      <c r="P9" s="2436"/>
      <c r="Q9" s="2436"/>
      <c r="R9" s="2436"/>
    </row>
    <row r="10" spans="1:30" ht="13.5" thickTop="1">
      <c r="A10" s="2394" t="s">
        <v>2177</v>
      </c>
      <c r="B10" s="2395" t="s">
        <v>3381</v>
      </c>
      <c r="C10" s="2396"/>
      <c r="D10" s="2380"/>
      <c r="E10" s="2397" t="s">
        <v>2178</v>
      </c>
      <c r="F10" s="3459" t="s">
        <v>3383</v>
      </c>
      <c r="G10" s="2663"/>
      <c r="H10" s="2664"/>
      <c r="I10" s="2665"/>
      <c r="J10" s="2436"/>
      <c r="K10" s="2613"/>
      <c r="L10" s="2610"/>
      <c r="M10" s="2610"/>
      <c r="N10" s="2436"/>
      <c r="O10" s="2447"/>
      <c r="P10" s="2436"/>
      <c r="Q10" s="2436"/>
      <c r="R10" s="2436"/>
    </row>
    <row r="11" spans="1:30" ht="25.5">
      <c r="A11" s="2398" t="s">
        <v>2179</v>
      </c>
      <c r="B11" s="2399" t="s">
        <v>3382</v>
      </c>
      <c r="C11" s="2400" t="str">
        <f>B7</f>
        <v>北京怡和中源科技有限公司</v>
      </c>
      <c r="D11" s="2401"/>
      <c r="E11" s="2369"/>
      <c r="F11" s="2369"/>
      <c r="G11" s="2369"/>
      <c r="H11" s="2369"/>
      <c r="I11" s="2369"/>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2578</v>
      </c>
      <c r="J12" s="3058"/>
      <c r="K12" s="2610"/>
      <c r="L12" s="2610"/>
      <c r="M12" s="2436"/>
      <c r="N12" s="2447"/>
      <c r="O12" s="2436"/>
      <c r="P12" s="2436"/>
      <c r="Q12" s="2436"/>
      <c r="AD12" s="1744"/>
    </row>
    <row r="13" spans="1:30">
      <c r="A13" s="3419" t="s">
        <v>3336</v>
      </c>
      <c r="B13" s="2404" t="s">
        <v>2188</v>
      </c>
      <c r="C13" s="856"/>
      <c r="D13" s="856"/>
      <c r="E13" s="856"/>
      <c r="F13" s="856">
        <f>H13</f>
        <v>51226</v>
      </c>
      <c r="G13" s="856">
        <f>H13</f>
        <v>51226</v>
      </c>
      <c r="H13" s="856">
        <v>51226</v>
      </c>
      <c r="I13" s="856"/>
      <c r="J13" s="3058"/>
      <c r="K13" s="2610"/>
      <c r="L13" s="2610"/>
      <c r="M13" s="2436"/>
      <c r="N13" s="2447"/>
      <c r="O13" s="2436"/>
      <c r="P13" s="2436"/>
      <c r="Q13" s="2436"/>
      <c r="AD13" s="1744"/>
    </row>
    <row r="14" spans="1:30">
      <c r="A14" s="1081"/>
      <c r="B14" s="2404" t="s">
        <v>2189</v>
      </c>
      <c r="C14" s="2405"/>
      <c r="D14" s="2405"/>
      <c r="E14" s="2405"/>
      <c r="F14" s="2405">
        <v>20</v>
      </c>
      <c r="G14" s="2405">
        <v>20</v>
      </c>
      <c r="H14" s="2405">
        <v>20</v>
      </c>
      <c r="I14" s="2405"/>
      <c r="J14" s="3059"/>
      <c r="K14" s="2610"/>
      <c r="L14" s="2610"/>
      <c r="M14" s="2436"/>
      <c r="N14" s="2447"/>
      <c r="O14" s="2436"/>
      <c r="P14" s="2436"/>
      <c r="Q14" s="2436"/>
      <c r="AD14" s="1744"/>
    </row>
    <row r="15" spans="1:30">
      <c r="A15" s="320"/>
      <c r="B15" s="2406" t="s">
        <v>2190</v>
      </c>
      <c r="C15" s="2407" t="str">
        <f>IF(A13="出让",IF(C13="","",ROUNDDOWN(MIN((C13-$D$3)/365,C14),2)),C14)</f>
        <v/>
      </c>
      <c r="D15" s="2407" t="str">
        <f>IF(A13="出让",IF(D13="","",ROUNDDOWN(MIN((D13-$D$3)/365,D14),2)),D14)</f>
        <v/>
      </c>
      <c r="E15" s="2407" t="str">
        <f>IF(A13="出让",IF(E13="","",ROUNDDOWN(MIN((E13-$D$3)/365,E14),2)),E14)</f>
        <v/>
      </c>
      <c r="F15" s="2407">
        <f>IF(A13="出让",IF(F13="","",ROUNDDOWN(MIN((F13-$D$3)/365,F14),2)),F14)</f>
        <v>16.75</v>
      </c>
      <c r="G15" s="2407">
        <f>IF(A13="出让",IF(G13="","",ROUNDDOWN(MIN((G13-$D$3)/365,G14),2)),G14)</f>
        <v>16.75</v>
      </c>
      <c r="H15" s="2407">
        <f>IF(A13="出让",IF(H13="","",ROUNDDOWN(MIN((H13-$D$3)/365,H14),2)),H14)</f>
        <v>16.75</v>
      </c>
      <c r="I15" s="2407" t="str">
        <f>IF(A13="出让",IF(I13="","",ROUNDDOWN(MIN((I13-$D$3)/365,I14),2)),I14)</f>
        <v/>
      </c>
      <c r="J15" s="3060"/>
      <c r="K15" s="2448"/>
      <c r="L15" s="2448"/>
      <c r="M15" s="2506"/>
      <c r="N15" s="2448"/>
      <c r="O15" s="2506"/>
      <c r="P15" s="2436"/>
      <c r="Q15" s="2436"/>
      <c r="AD15" s="1744"/>
    </row>
    <row r="16" spans="1:30">
      <c r="A16" s="2397" t="s">
        <v>2191</v>
      </c>
      <c r="B16" s="3538"/>
      <c r="C16" s="3539"/>
      <c r="D16" s="3540"/>
      <c r="E16" s="2410" t="s">
        <v>2192</v>
      </c>
      <c r="F16" s="3541"/>
      <c r="G16" s="3542"/>
      <c r="H16" s="3542"/>
      <c r="I16" s="3543"/>
      <c r="J16" s="2436"/>
      <c r="K16" s="2614"/>
      <c r="L16" s="2448"/>
      <c r="M16" s="2448"/>
      <c r="N16" s="2506"/>
      <c r="O16" s="2448"/>
      <c r="P16" s="2506"/>
      <c r="Q16" s="2436"/>
      <c r="R16" s="2436"/>
    </row>
    <row r="17" spans="1:28">
      <c r="A17" s="313" t="s">
        <v>2193</v>
      </c>
      <c r="B17" s="302" t="s">
        <v>2194</v>
      </c>
      <c r="C17" s="8">
        <f>'数据-汇总表'!E3</f>
        <v>47621.420000000006</v>
      </c>
      <c r="D17" s="2321" t="s">
        <v>2195</v>
      </c>
      <c r="E17" s="3544" t="s">
        <v>2196</v>
      </c>
      <c r="F17" s="3545"/>
      <c r="G17" s="3545"/>
      <c r="H17" s="3545"/>
      <c r="I17" s="3546"/>
      <c r="J17" s="2436"/>
      <c r="K17" s="2615"/>
      <c r="L17" s="2448"/>
      <c r="M17" s="2448"/>
      <c r="N17" s="2506"/>
      <c r="O17" s="2448"/>
      <c r="P17" s="2506"/>
      <c r="Q17" s="2436"/>
      <c r="R17" s="2436"/>
      <c r="S17" s="2436"/>
      <c r="T17" s="2436"/>
      <c r="U17" s="2436"/>
      <c r="V17" s="2436"/>
    </row>
    <row r="18" spans="1:28" ht="24.75" thickBot="1">
      <c r="A18" s="2411" t="s">
        <v>2197</v>
      </c>
      <c r="B18" s="1090" t="s">
        <v>2198</v>
      </c>
      <c r="C18" s="2412">
        <f>'数据-汇总表'!D3</f>
        <v>17833.27</v>
      </c>
      <c r="D18" s="1092" t="s">
        <v>2199</v>
      </c>
      <c r="E18" s="3547" t="s">
        <v>2200</v>
      </c>
      <c r="F18" s="3548"/>
      <c r="G18" s="3548"/>
      <c r="H18" s="3548"/>
      <c r="I18" s="3549"/>
      <c r="J18" s="2436"/>
      <c r="K18" s="2615"/>
      <c r="L18" s="2448"/>
      <c r="M18" s="2448"/>
      <c r="N18" s="2506"/>
      <c r="O18" s="2448"/>
      <c r="P18" s="2506"/>
      <c r="Q18" s="2436"/>
      <c r="R18" s="2436"/>
      <c r="S18" s="2436"/>
      <c r="T18" s="2436"/>
      <c r="U18" s="2436"/>
      <c r="V18" s="2436"/>
    </row>
    <row r="19" spans="1:28" ht="37.5" thickTop="1" thickBot="1">
      <c r="A19" s="327" t="s">
        <v>1055</v>
      </c>
      <c r="B19" s="307"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34" t="s">
        <v>2204</v>
      </c>
      <c r="C20" s="3535"/>
      <c r="D20" s="3536" t="s">
        <v>2205</v>
      </c>
      <c r="E20" s="3537"/>
      <c r="F20" s="2644" t="s">
        <v>1056</v>
      </c>
      <c r="G20" s="2661"/>
      <c r="H20" s="2661"/>
      <c r="I20" s="2661"/>
      <c r="J20" s="2436"/>
      <c r="K20" s="3533"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1057</v>
      </c>
      <c r="D21" s="1567" t="s">
        <v>2208</v>
      </c>
      <c r="E21" s="2632" t="s">
        <v>1057</v>
      </c>
      <c r="F21" s="2645"/>
      <c r="G21" s="2661"/>
      <c r="H21" s="2661"/>
      <c r="I21" s="2661"/>
      <c r="J21" s="2436"/>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1"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1"/>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1"/>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2"/>
      <c r="B30" s="302" t="s">
        <v>2216</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c r="A31" s="3525"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26"/>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26"/>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5" t="s">
        <v>3384</v>
      </c>
      <c r="C34" s="2025" t="s">
        <v>3385</v>
      </c>
      <c r="D34" s="2025" t="s">
        <v>3386</v>
      </c>
      <c r="E34" s="2025" t="s">
        <v>3387</v>
      </c>
      <c r="F34" s="2025" t="s">
        <v>3388</v>
      </c>
      <c r="G34" s="2025" t="s">
        <v>3389</v>
      </c>
      <c r="H34" s="2025" t="s">
        <v>3390</v>
      </c>
      <c r="I34" s="2661"/>
      <c r="J34" s="2436"/>
      <c r="K34" s="2424">
        <f>COUNTIF(B34:H34,"——")</f>
        <v>0</v>
      </c>
      <c r="L34" s="323" t="s">
        <v>2219</v>
      </c>
      <c r="M34" s="323" t="s">
        <v>2220</v>
      </c>
      <c r="N34" s="323" t="s">
        <v>2221</v>
      </c>
      <c r="O34" s="323" t="s">
        <v>2222</v>
      </c>
      <c r="P34" s="323" t="s">
        <v>2223</v>
      </c>
      <c r="Q34" s="323" t="s">
        <v>2224</v>
      </c>
      <c r="R34" s="323" t="s">
        <v>2225</v>
      </c>
      <c r="S34" s="3520" t="s">
        <v>2226</v>
      </c>
      <c r="T34" s="2425" t="str">
        <f>NUMBERSTRING(7-K34,1)&amp;"通"</f>
        <v>七通</v>
      </c>
      <c r="U34" s="2436"/>
      <c r="V34" s="2436"/>
    </row>
    <row r="35" spans="1:30">
      <c r="A35" s="2426"/>
      <c r="B35" s="3527" t="s">
        <v>2227</v>
      </c>
      <c r="C35" s="3527"/>
      <c r="D35" s="3527"/>
      <c r="E35" s="3527"/>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0"/>
      <c r="T35" s="329" t="str">
        <f>IF(T34="一通",L35,IF(T34="二通",M35,IF(T34="三通",N35,IF(T34="四通",O35,IF(T34="五通",P35,IF(T34="六通",Q35,R35))))))</f>
        <v>通路、通电、通讯、通上水、通下水、通热、燃气</v>
      </c>
      <c r="U35" s="2436"/>
      <c r="V35" s="2436"/>
    </row>
    <row r="36" spans="1:30">
      <c r="A36" s="2427"/>
      <c r="B36" s="664" t="s">
        <v>2183</v>
      </c>
      <c r="C36" s="664" t="s">
        <v>2184</v>
      </c>
      <c r="D36" s="664" t="s">
        <v>2182</v>
      </c>
      <c r="E36" s="664" t="s">
        <v>2187</v>
      </c>
      <c r="F36" s="3061"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305</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249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19340</v>
      </c>
      <c r="B3" s="11">
        <f>IF(C3="否",G5-AT5,G5)</f>
        <v>51644.95</v>
      </c>
      <c r="C3" s="1579" t="s">
        <v>3401</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v>17833.27</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511.73000000000047</v>
      </c>
      <c r="AP5" s="13">
        <f t="shared" si="0"/>
        <v>0</v>
      </c>
      <c r="AQ5" s="13">
        <f t="shared" si="0"/>
        <v>0</v>
      </c>
      <c r="AR5" s="13">
        <f t="shared" si="0"/>
        <v>0</v>
      </c>
      <c r="AS5" s="13">
        <f t="shared" si="0"/>
        <v>0</v>
      </c>
      <c r="AT5" s="13">
        <f t="shared" si="0"/>
        <v>3511.8</v>
      </c>
      <c r="AU5" s="1345"/>
      <c r="AV5" s="12" t="s">
        <v>1070</v>
      </c>
      <c r="AW5" s="1346"/>
      <c r="AX5" s="1346"/>
      <c r="AY5" s="14" t="s">
        <v>2</v>
      </c>
      <c r="AZ5" s="15">
        <f t="shared" ref="AZ5:BT5" si="1">SUM(AZ13:AZ656)</f>
        <v>47621.420000000006</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2793.8699999999994</v>
      </c>
      <c r="BM5" s="15">
        <f t="shared" si="1"/>
        <v>0</v>
      </c>
      <c r="BN5" s="15">
        <f t="shared" si="1"/>
        <v>0</v>
      </c>
      <c r="BO5" s="15">
        <f t="shared" si="1"/>
        <v>0</v>
      </c>
      <c r="BP5" s="15">
        <f t="shared" si="1"/>
        <v>0</v>
      </c>
      <c r="BQ5" s="15">
        <f t="shared" si="1"/>
        <v>0</v>
      </c>
      <c r="BR5" s="15">
        <f t="shared" si="1"/>
        <v>2793.8699999999994</v>
      </c>
      <c r="BS5" s="15">
        <f t="shared" si="1"/>
        <v>0</v>
      </c>
      <c r="BT5" s="16">
        <f t="shared" si="1"/>
        <v>0</v>
      </c>
    </row>
    <row r="6" spans="1:72" s="1588" customFormat="1" ht="12.75">
      <c r="A6" s="12" t="s">
        <v>1071</v>
      </c>
      <c r="B6" s="1585"/>
      <c r="C6" s="1585"/>
      <c r="D6" s="1586"/>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191.63</v>
      </c>
      <c r="AP6" s="13">
        <f t="shared" si="3"/>
        <v>0</v>
      </c>
      <c r="AQ6" s="13">
        <f t="shared" si="3"/>
        <v>0</v>
      </c>
      <c r="AR6" s="13">
        <f t="shared" si="3"/>
        <v>0</v>
      </c>
      <c r="AS6" s="13">
        <f t="shared" si="3"/>
        <v>0</v>
      </c>
      <c r="AT6" s="17">
        <f>IF(C3="是",ROUND($A$3*AT5/$B$3,2),0)</f>
        <v>1315.1</v>
      </c>
      <c r="AU6" s="1587"/>
      <c r="AV6" s="12" t="s">
        <v>1071</v>
      </c>
      <c r="AW6" s="1585"/>
      <c r="AX6" s="1585"/>
      <c r="AY6" s="18">
        <f>IF(AY3&gt;0,AY3,ROUND($A$3*AZ5/$B$3,2))</f>
        <v>17833.27</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1046.25</v>
      </c>
      <c r="BM6" s="13">
        <f t="shared" si="5"/>
        <v>0</v>
      </c>
      <c r="BN6" s="13">
        <f t="shared" si="5"/>
        <v>0</v>
      </c>
      <c r="BO6" s="13">
        <f t="shared" si="5"/>
        <v>0</v>
      </c>
      <c r="BP6" s="13">
        <f t="shared" si="5"/>
        <v>0</v>
      </c>
      <c r="BQ6" s="13">
        <f t="shared" si="5"/>
        <v>0</v>
      </c>
      <c r="BR6" s="13">
        <f t="shared" si="5"/>
        <v>1046.25</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3402</v>
      </c>
      <c r="J9" s="809"/>
      <c r="K9" s="1602" t="s">
        <v>3403</v>
      </c>
      <c r="L9" s="809"/>
      <c r="M9" s="1602" t="s">
        <v>3403</v>
      </c>
      <c r="N9" s="809"/>
      <c r="O9" s="1602" t="s">
        <v>3403</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t="s">
        <v>3338</v>
      </c>
      <c r="N10" s="809"/>
      <c r="O10" s="1608" t="s">
        <v>3337</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t="str">
        <f>M10</f>
        <v>仓储</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72" t="s">
        <v>3391</v>
      </c>
      <c r="D13" s="1624" t="s">
        <v>3401</v>
      </c>
      <c r="E13" s="13">
        <f>IF($C$3="是",ROUND($A$3*G13/$B$3,2),ROUND($A$3*(G13-AT13)/$B$3,2))</f>
        <v>1473.52</v>
      </c>
      <c r="F13" s="29"/>
      <c r="G13" s="30">
        <f>H13+AC13+AT13</f>
        <v>3934.8500000000004</v>
      </c>
      <c r="H13" s="17">
        <f>SUMIF(I$12:AB$12,"总值",I13:AB13)</f>
        <v>3934.8500000000004</v>
      </c>
      <c r="I13" s="1625">
        <v>3287.59</v>
      </c>
      <c r="J13" s="1625"/>
      <c r="K13" s="1625">
        <v>647.26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A1研发楼</v>
      </c>
      <c r="AY13" s="1348">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72" t="s">
        <v>3392</v>
      </c>
      <c r="D14" s="1624" t="s">
        <v>3401</v>
      </c>
      <c r="E14" s="13">
        <f>IF($C$3="是",ROUND($A$3*G14/$B$3,2),ROUND($A$3*(G14-AT14)/$B$3,2))</f>
        <v>1473.52</v>
      </c>
      <c r="F14" s="29"/>
      <c r="G14" s="30">
        <f>H14+AC14+AT14</f>
        <v>3934.8500000000004</v>
      </c>
      <c r="H14" s="17">
        <f>SUMIF(I$12:AB$12,"总值",I14:AB14)</f>
        <v>3934.8500000000004</v>
      </c>
      <c r="I14" s="1625">
        <v>3287.59</v>
      </c>
      <c r="J14" s="1625"/>
      <c r="K14" s="1625">
        <v>647.26</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A2研发楼</v>
      </c>
      <c r="AY14" s="1348">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3472" t="s">
        <v>3393</v>
      </c>
      <c r="D15" s="1624" t="s">
        <v>3401</v>
      </c>
      <c r="E15" s="13">
        <f>IF($C$3="是",ROUND($A$3*G15/$B$3,2),ROUND($A$3*(G15-AT15)/$B$3,2))</f>
        <v>1374.48</v>
      </c>
      <c r="F15" s="29"/>
      <c r="G15" s="30">
        <f>H15+AC15+AT15</f>
        <v>3670.3599999999997</v>
      </c>
      <c r="H15" s="17">
        <f>SUMIF(I$12:AB$12,"总值",I15:AB15)</f>
        <v>3066.2</v>
      </c>
      <c r="I15" s="1625">
        <v>3066.2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604.16</v>
      </c>
      <c r="AD15" s="1626"/>
      <c r="AE15" s="1626"/>
      <c r="AF15" s="1626"/>
      <c r="AG15" s="1626"/>
      <c r="AH15" s="1626"/>
      <c r="AI15" s="1626"/>
      <c r="AJ15" s="1626"/>
      <c r="AK15" s="1626"/>
      <c r="AL15" s="1626"/>
      <c r="AM15" s="1626"/>
      <c r="AN15" s="1626">
        <v>604.16</v>
      </c>
      <c r="AO15" s="1626"/>
      <c r="AP15" s="1626"/>
      <c r="AQ15" s="1626"/>
      <c r="AR15" s="1626"/>
      <c r="AS15" s="1626"/>
      <c r="AT15" s="1627"/>
      <c r="AU15" s="1628"/>
      <c r="AV15" s="8">
        <f t="shared" si="6"/>
        <v>0</v>
      </c>
      <c r="AW15" s="8">
        <f t="shared" si="6"/>
        <v>0</v>
      </c>
      <c r="AX15" s="8" t="str">
        <f t="shared" si="6"/>
        <v>A3研发楼</v>
      </c>
      <c r="AY15" s="1348">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8" customFormat="1" ht="12.75">
      <c r="A16" s="1051"/>
      <c r="B16" s="1051"/>
      <c r="C16" s="3472" t="s">
        <v>3394</v>
      </c>
      <c r="D16" s="1624" t="s">
        <v>3401</v>
      </c>
      <c r="E16" s="13">
        <f>IF($C$3="是",ROUND($A$3*G16/$B$3,2),ROUND($A$3*(G16-AT16)/$B$3,2))</f>
        <v>1374.48</v>
      </c>
      <c r="F16" s="29"/>
      <c r="G16" s="30">
        <f>H16+AC16+AT16</f>
        <v>3670.3599999999997</v>
      </c>
      <c r="H16" s="17">
        <f>SUMIF(I$12:AB$12,"总值",I16:AB16)</f>
        <v>3670.3599999999997</v>
      </c>
      <c r="I16" s="1625">
        <v>3066.2</v>
      </c>
      <c r="J16" s="1625"/>
      <c r="K16" s="1625">
        <v>604.16</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A4研发楼</v>
      </c>
      <c r="AY16" s="1348">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60" t="s">
        <v>3400</v>
      </c>
      <c r="C17" s="3473" t="s">
        <v>3395</v>
      </c>
      <c r="D17" s="1624" t="s">
        <v>3401</v>
      </c>
      <c r="E17" s="13">
        <f>IF($C$3="是",ROUND($A$3*G17/$B$3,2),ROUND($A$3*(G17-AT17)/$B$3,2))</f>
        <v>1479.08</v>
      </c>
      <c r="F17" s="29"/>
      <c r="G17" s="30">
        <f>H17+AC17+AT17</f>
        <v>3949.69</v>
      </c>
      <c r="H17" s="17">
        <f>SUMIF(I$12:AB$12,"总值",I17:AB17)</f>
        <v>3302.38</v>
      </c>
      <c r="I17" s="1625">
        <v>3302.38</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647.30999999999995</v>
      </c>
      <c r="AD17" s="1626"/>
      <c r="AE17" s="1626"/>
      <c r="AF17" s="1626"/>
      <c r="AG17" s="1626"/>
      <c r="AH17" s="1626"/>
      <c r="AI17" s="1626"/>
      <c r="AJ17" s="1626"/>
      <c r="AK17" s="1626"/>
      <c r="AL17" s="1626"/>
      <c r="AM17" s="1626"/>
      <c r="AN17" s="1626">
        <v>647.30999999999995</v>
      </c>
      <c r="AO17" s="1626"/>
      <c r="AP17" s="1626"/>
      <c r="AQ17" s="1626"/>
      <c r="AR17" s="1626"/>
      <c r="AS17" s="1626"/>
      <c r="AT17" s="1627"/>
      <c r="AU17" s="1628"/>
      <c r="AV17" s="8">
        <f t="shared" si="6"/>
        <v>0</v>
      </c>
      <c r="AW17" s="8" t="str">
        <f t="shared" si="6"/>
        <v>扣除未完工</v>
      </c>
      <c r="AX17" s="8" t="str">
        <f t="shared" si="6"/>
        <v>A5研发楼</v>
      </c>
      <c r="AY17" s="1348">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3474" t="s">
        <v>3396</v>
      </c>
      <c r="D18" s="1624" t="s">
        <v>3401</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74" t="s">
        <v>3397</v>
      </c>
      <c r="D19" s="1624" t="s">
        <v>3401</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30"/>
      <c r="AV19" s="1342">
        <f t="shared" si="11"/>
        <v>0</v>
      </c>
      <c r="AW19" s="1342">
        <f t="shared" si="12"/>
        <v>0</v>
      </c>
      <c r="AX19" s="1342"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474" t="s">
        <v>3398</v>
      </c>
      <c r="D20" s="1624" t="s">
        <v>3401</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28.5">
      <c r="A21" s="6"/>
      <c r="B21" s="3460" t="s">
        <v>3400</v>
      </c>
      <c r="C21" s="3475" t="s">
        <v>3399</v>
      </c>
      <c r="D21" s="1624" t="s">
        <v>3401</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f>H21+AC21-7162.8</f>
        <v>511.73000000000047</v>
      </c>
      <c r="AP21" s="37"/>
      <c r="AQ21" s="37"/>
      <c r="AR21" s="37"/>
      <c r="AS21" s="37"/>
      <c r="AT21" s="38">
        <v>3500.07</v>
      </c>
      <c r="AU21" s="1630"/>
      <c r="AV21" s="1342">
        <f t="shared" si="11"/>
        <v>0</v>
      </c>
      <c r="AW21" s="1342" t="str">
        <f t="shared" si="12"/>
        <v>扣除未完工</v>
      </c>
      <c r="AX21" s="1342" t="str">
        <f t="shared" si="13"/>
        <v>地下车库</v>
      </c>
      <c r="AY21" s="39">
        <f t="shared" si="14"/>
        <v>2682.33</v>
      </c>
      <c r="AZ21" s="32">
        <f t="shared" si="15"/>
        <v>7162.8</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1542.3999999999996</v>
      </c>
      <c r="BM21" s="32">
        <f t="shared" si="28"/>
        <v>0</v>
      </c>
      <c r="BN21" s="32">
        <f t="shared" si="29"/>
        <v>0</v>
      </c>
      <c r="BO21" s="32">
        <f t="shared" si="30"/>
        <v>0</v>
      </c>
      <c r="BP21" s="32">
        <f t="shared" si="31"/>
        <v>0</v>
      </c>
      <c r="BQ21" s="32">
        <f t="shared" si="32"/>
        <v>0</v>
      </c>
      <c r="BR21" s="32">
        <f t="shared" si="33"/>
        <v>1542.3999999999996</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9" t="s">
        <v>1130</v>
      </c>
      <c r="B2" s="3559"/>
      <c r="C2" s="3559"/>
      <c r="D2" s="796" t="s">
        <v>1106</v>
      </c>
      <c r="E2" s="1638" t="s">
        <v>1107</v>
      </c>
      <c r="F2" s="2656"/>
      <c r="G2" s="2647"/>
      <c r="H2" s="2648"/>
      <c r="I2" s="2324" t="s">
        <v>1131</v>
      </c>
      <c r="J2" s="2656"/>
      <c r="K2" s="2656"/>
      <c r="L2" s="2656"/>
      <c r="M2" s="2656"/>
      <c r="N2" s="2658"/>
      <c r="O2" s="2656"/>
      <c r="P2" s="2656"/>
    </row>
    <row r="3" spans="1:16" ht="15.75" thickBot="1">
      <c r="A3" s="3560" t="s">
        <v>1104</v>
      </c>
      <c r="B3" s="3560"/>
      <c r="C3" s="3560"/>
      <c r="D3" s="43">
        <f>'数据-基础表'!AY6</f>
        <v>17833.27</v>
      </c>
      <c r="E3" s="43">
        <f>'数据-基础表'!AZ5</f>
        <v>47621.420000000006</v>
      </c>
      <c r="F3" s="2656"/>
      <c r="G3" s="1145"/>
      <c r="H3" s="1026" t="s">
        <v>1105</v>
      </c>
      <c r="I3" s="855">
        <f>ROUND('数据-基础表'!B3/'数据-基础表'!A3,2)</f>
        <v>2.67</v>
      </c>
      <c r="J3" s="2656"/>
      <c r="K3" s="2656"/>
      <c r="L3" s="2656"/>
      <c r="M3" s="2656"/>
      <c r="N3" s="2658"/>
      <c r="O3" s="2656"/>
      <c r="P3" s="2656"/>
    </row>
    <row r="4" spans="1:16" ht="15">
      <c r="A4" s="3561"/>
      <c r="B4" s="3562"/>
      <c r="C4" s="3563"/>
      <c r="D4" s="1640" t="s">
        <v>1106</v>
      </c>
      <c r="E4" s="1641" t="s">
        <v>1107</v>
      </c>
      <c r="F4" s="2656"/>
      <c r="G4" s="2649" t="s">
        <v>1132</v>
      </c>
      <c r="H4" s="1026" t="s">
        <v>1112</v>
      </c>
      <c r="I4" s="855">
        <f>ROUND(SUMIF('数据-基础表'!I9:AS9,"地上",'数据-基础表'!I5:AS5)/'数据-基础表'!A3,2)</f>
        <v>1.79</v>
      </c>
      <c r="J4" s="2656"/>
      <c r="K4" s="2656"/>
      <c r="L4" s="2656"/>
      <c r="M4" s="2656"/>
      <c r="N4" s="2658"/>
      <c r="O4" s="2656"/>
      <c r="P4" s="2656"/>
    </row>
    <row r="5" spans="1:16">
      <c r="A5" s="44" t="s">
        <v>1108</v>
      </c>
      <c r="B5" s="3564" t="s">
        <v>1109</v>
      </c>
      <c r="C5" s="3564"/>
      <c r="D5" s="45">
        <f>ROUND($D$3*E5/$E$3,2)</f>
        <v>0</v>
      </c>
      <c r="E5" s="46">
        <f>SUMIF('数据-基础表'!$11:$11,"住宅",'数据-基础表'!$5:$5)</f>
        <v>0</v>
      </c>
      <c r="F5" s="2656"/>
      <c r="G5" s="1145"/>
      <c r="H5" s="1026" t="s">
        <v>1105</v>
      </c>
      <c r="I5" s="855">
        <f>ROUND(E31/D31,2)</f>
        <v>2.67</v>
      </c>
      <c r="J5" s="2656"/>
      <c r="K5" s="2656"/>
      <c r="L5" s="2656"/>
      <c r="M5" s="2656"/>
      <c r="N5" s="2656"/>
      <c r="O5" s="2656"/>
      <c r="P5" s="2656"/>
    </row>
    <row r="6" spans="1:16" ht="15" thickBot="1">
      <c r="A6" s="1643"/>
      <c r="B6" s="3564" t="s">
        <v>1110</v>
      </c>
      <c r="C6" s="3564"/>
      <c r="D6" s="45">
        <f>ROUND($D$3*E6/$E$3,2)</f>
        <v>17833.27</v>
      </c>
      <c r="E6" s="46">
        <f>E3-E5</f>
        <v>47621.420000000006</v>
      </c>
      <c r="F6" s="2656"/>
      <c r="G6" s="2650" t="s">
        <v>1111</v>
      </c>
      <c r="H6" s="1146" t="s">
        <v>1112</v>
      </c>
      <c r="I6" s="2651">
        <f>ROUND(F31/D31,2)</f>
        <v>1.95</v>
      </c>
      <c r="J6" s="2656"/>
      <c r="K6" s="2656"/>
      <c r="L6" s="2656"/>
      <c r="M6" s="2656"/>
      <c r="N6" s="2656"/>
      <c r="O6" s="2656"/>
      <c r="P6" s="2656"/>
    </row>
    <row r="7" spans="1:16" ht="15.75" thickBot="1">
      <c r="A7" s="3556"/>
      <c r="B7" s="3557"/>
      <c r="C7" s="3558"/>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12998.46</v>
      </c>
      <c r="E8" s="48">
        <f>SUMIF('数据-基础表'!BB10:BK10,"地上",'数据-基础表'!BB5:BK5)</f>
        <v>34710.700000000004</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1120</v>
      </c>
      <c r="D12" s="45">
        <f t="shared" si="0"/>
        <v>378.1</v>
      </c>
      <c r="E12" s="48">
        <f>SUMPRODUCT(('数据-基础表'!BB10:BK10="地下")*('数据-基础表'!BB11:BK11="仓储")*('数据-基础表'!BB5:BK5))</f>
        <v>1009.6600000000001</v>
      </c>
      <c r="F12" s="2656"/>
      <c r="G12" s="2657"/>
      <c r="H12" s="2657"/>
      <c r="I12" s="2656"/>
      <c r="J12" s="2656"/>
      <c r="K12" s="2656"/>
      <c r="L12" s="2656"/>
      <c r="M12" s="2656"/>
      <c r="N12" s="2656"/>
      <c r="O12" s="2656"/>
      <c r="P12" s="2656"/>
    </row>
    <row r="13" spans="1:16">
      <c r="A13" s="1645"/>
      <c r="B13" s="1646"/>
      <c r="C13" s="45" t="s">
        <v>1121</v>
      </c>
      <c r="D13" s="45">
        <f t="shared" si="0"/>
        <v>1974.95</v>
      </c>
      <c r="E13" s="48">
        <f>SUMPRODUCT(('数据-基础表'!BB10:BK10="地下")*('数据-基础表'!BB11:BK11="车库")*('数据-基础表'!BB5:BK5))</f>
        <v>5273.85</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15351.51</v>
      </c>
      <c r="E16" s="50">
        <f>SUM(E8:E15)</f>
        <v>40994.210000000006</v>
      </c>
      <c r="F16" s="2656"/>
      <c r="G16" s="2657"/>
      <c r="H16" s="1647" t="s">
        <v>1134</v>
      </c>
      <c r="I16" s="1648"/>
      <c r="J16" s="1139"/>
      <c r="K16" s="3553" t="s">
        <v>1134</v>
      </c>
      <c r="L16" s="3554"/>
      <c r="M16" s="3554"/>
      <c r="N16" s="3554"/>
      <c r="O16" s="3554"/>
      <c r="P16" s="3555"/>
    </row>
    <row r="17" spans="1:19" ht="15">
      <c r="A17" s="1649" t="s">
        <v>1135</v>
      </c>
      <c r="B17" s="1650" t="s">
        <v>1136</v>
      </c>
      <c r="C17" s="1651" t="s">
        <v>1137</v>
      </c>
      <c r="D17" s="1652" t="s">
        <v>1125</v>
      </c>
      <c r="E17" s="1653" t="s">
        <v>1126</v>
      </c>
      <c r="F17" s="1654"/>
      <c r="G17" s="1655"/>
      <c r="H17" s="1656" t="s">
        <v>1138</v>
      </c>
      <c r="I17" s="1657" t="s">
        <v>1123</v>
      </c>
      <c r="J17" s="1139"/>
      <c r="K17" s="3550" t="s">
        <v>1139</v>
      </c>
      <c r="L17" s="3551"/>
      <c r="M17" s="3552"/>
      <c r="N17" s="3550" t="s">
        <v>1140</v>
      </c>
      <c r="O17" s="3551"/>
      <c r="P17" s="3552"/>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3" t="s">
        <v>3404</v>
      </c>
      <c r="D19" s="45">
        <f>ROUND($D$3*E19/$E$3,2)</f>
        <v>14433.97</v>
      </c>
      <c r="E19" s="53">
        <f t="shared" ref="E19:E26" si="1">SUM(F19:G19)</f>
        <v>38544.04</v>
      </c>
      <c r="F19" s="2791">
        <f>'数据-基础表'!I5-'数据-基础表'!J5</f>
        <v>34710.700000000004</v>
      </c>
      <c r="G19" s="2792">
        <f>'数据-基础表'!K5</f>
        <v>3833.3399999999997</v>
      </c>
      <c r="H19" s="670">
        <f>ROUND($D$3*I19/$E$3,2)</f>
        <v>899.59</v>
      </c>
      <c r="I19" s="48">
        <f t="shared" ref="I19:I26" si="2">IF($I$17="自定义",P19,M19)</f>
        <v>2402.25</v>
      </c>
      <c r="J19" s="1139"/>
      <c r="K19" s="1138">
        <f t="shared" ref="K19:K26" si="3">ROUND(E$28*E19/E$27,2)</f>
        <v>2402.25</v>
      </c>
      <c r="L19" s="1026">
        <f t="shared" ref="L19:L26" si="4">ROUND(IF(COUNTIF(C19,"*住宅*")&gt;0,E$29*E19/E$32,0),2)</f>
        <v>0</v>
      </c>
      <c r="M19" s="1150">
        <f>K19+L19</f>
        <v>2402.25</v>
      </c>
      <c r="N19" s="1667"/>
      <c r="O19" s="1668"/>
      <c r="P19" s="1150">
        <f>N19+O19</f>
        <v>0</v>
      </c>
      <c r="R19" s="1026">
        <f t="shared" ref="R19:S26" si="5">D19+H19</f>
        <v>15333.56</v>
      </c>
      <c r="S19" s="1027">
        <f t="shared" si="5"/>
        <v>40946.29</v>
      </c>
    </row>
    <row r="20" spans="1:19">
      <c r="A20" s="1669"/>
      <c r="B20" s="47" t="s">
        <v>1152</v>
      </c>
      <c r="C20" s="3413" t="s">
        <v>3405</v>
      </c>
      <c r="D20" s="45">
        <f t="shared" ref="D20:D26" si="6">ROUND($D$3*E20/$E$3,2)</f>
        <v>378.1</v>
      </c>
      <c r="E20" s="53">
        <f t="shared" si="1"/>
        <v>1009.6600000000001</v>
      </c>
      <c r="F20" s="2791"/>
      <c r="G20" s="2792">
        <f>'数据-基础表'!M5</f>
        <v>1009.6600000000001</v>
      </c>
      <c r="H20" s="670">
        <f t="shared" ref="H20:H26" si="7">ROUND($D$3*I20/$E$3,2)</f>
        <v>23.57</v>
      </c>
      <c r="I20" s="48">
        <f t="shared" si="2"/>
        <v>62.93</v>
      </c>
      <c r="J20" s="1139"/>
      <c r="K20" s="1138">
        <f t="shared" si="3"/>
        <v>62.93</v>
      </c>
      <c r="L20" s="1026">
        <f t="shared" si="4"/>
        <v>0</v>
      </c>
      <c r="M20" s="1150">
        <f t="shared" ref="M20:M26" si="8">K20+L20</f>
        <v>62.93</v>
      </c>
      <c r="N20" s="1667"/>
      <c r="O20" s="1668"/>
      <c r="P20" s="1150">
        <f t="shared" ref="P20:P26" si="9">N20+O20</f>
        <v>0</v>
      </c>
      <c r="R20" s="1026">
        <f t="shared" si="5"/>
        <v>401.67</v>
      </c>
      <c r="S20" s="1027">
        <f t="shared" si="5"/>
        <v>1072.5900000000001</v>
      </c>
    </row>
    <row r="21" spans="1:19">
      <c r="A21" s="1669"/>
      <c r="B21" s="47" t="s">
        <v>1152</v>
      </c>
      <c r="C21" s="3413" t="s">
        <v>3406</v>
      </c>
      <c r="D21" s="45">
        <f t="shared" si="6"/>
        <v>1974.95</v>
      </c>
      <c r="E21" s="53">
        <f t="shared" si="1"/>
        <v>5273.85</v>
      </c>
      <c r="F21" s="2791"/>
      <c r="G21" s="2792">
        <f>'数据-基础表'!O5</f>
        <v>5273.85</v>
      </c>
      <c r="H21" s="670">
        <f t="shared" si="7"/>
        <v>123.09</v>
      </c>
      <c r="I21" s="48">
        <f t="shared" si="2"/>
        <v>328.69</v>
      </c>
      <c r="J21" s="1139"/>
      <c r="K21" s="1138">
        <f t="shared" si="3"/>
        <v>328.69</v>
      </c>
      <c r="L21" s="1026">
        <f t="shared" si="4"/>
        <v>0</v>
      </c>
      <c r="M21" s="1150">
        <f t="shared" si="8"/>
        <v>328.69</v>
      </c>
      <c r="N21" s="1667"/>
      <c r="O21" s="1668"/>
      <c r="P21" s="1150">
        <f t="shared" si="9"/>
        <v>0</v>
      </c>
      <c r="R21" s="1026">
        <f t="shared" si="5"/>
        <v>2098.04</v>
      </c>
      <c r="S21" s="1027">
        <f t="shared" si="5"/>
        <v>5602.54</v>
      </c>
    </row>
    <row r="22" spans="1:19">
      <c r="A22" s="1669"/>
      <c r="B22" s="47" t="s">
        <v>1152</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16787.02</v>
      </c>
      <c r="E27" s="1141">
        <f>IF(SUM(E19:E26)='数据-基础表'!BA5,SUM(E19:E26),IF(F27="地上面积有误","面积有误","地下面积有误"))</f>
        <v>44827.55</v>
      </c>
      <c r="F27" s="1140">
        <f>IF(SUM(F19:F26)=E8,SUM(F19:F26),"地上面积有误")</f>
        <v>34710.700000000004</v>
      </c>
      <c r="G27" s="1142">
        <f>SUM(G19:G26)</f>
        <v>10116.85</v>
      </c>
      <c r="H27" s="1143">
        <f>SUM(H19:H26)</f>
        <v>1046.25</v>
      </c>
      <c r="I27" s="1144">
        <f>SUM(I19:I26)</f>
        <v>2793.87</v>
      </c>
      <c r="J27" s="1139"/>
      <c r="K27" s="1147">
        <f>SUM(K19:K26)</f>
        <v>2793.87</v>
      </c>
      <c r="L27" s="1148">
        <f>SUM(L19:L26)</f>
        <v>0</v>
      </c>
      <c r="M27" s="1151">
        <f>SUM(M19:M26)</f>
        <v>2793.87</v>
      </c>
      <c r="N27" s="1147">
        <f t="shared" ref="N27:O27" si="10">SUM(N19:N26)</f>
        <v>0</v>
      </c>
      <c r="O27" s="1148">
        <f t="shared" si="10"/>
        <v>0</v>
      </c>
      <c r="P27" s="1149">
        <f>SUM(P19:P26)</f>
        <v>0</v>
      </c>
      <c r="R27" s="1028">
        <f>IF(SUM(R19:R26)=$D$3,SUM(R19:R26),SUM(R19:R26)&amp;"误差"&amp;ROUND(SUM(R19:R26)-$D$3,2))</f>
        <v>17833.27</v>
      </c>
      <c r="S27" s="1026">
        <f>IF(SUM(S19:S26)=$E$3,SUM(S19:S26),SUM(S19:S26)&amp;"误差"&amp;ROUND(SUM(S19:S26)-E3,2))</f>
        <v>47621.420000000006</v>
      </c>
    </row>
    <row r="28" spans="1:19">
      <c r="A28" s="1669"/>
      <c r="B28" s="47" t="s">
        <v>1154</v>
      </c>
      <c r="C28" s="1038" t="s">
        <v>1155</v>
      </c>
      <c r="D28" s="45">
        <f>ROUND($D$3*E28/$E$3,2)</f>
        <v>1046.25</v>
      </c>
      <c r="E28" s="53">
        <f>SUM(F28:G28)</f>
        <v>2793.8699999999994</v>
      </c>
      <c r="F28" s="56">
        <f>'数据-基础表'!BQ5+'数据-基础表'!BS5</f>
        <v>0</v>
      </c>
      <c r="G28" s="57">
        <f>'数据-基础表'!BR5+'数据-基础表'!BT5</f>
        <v>2793.8699999999994</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1046.25</v>
      </c>
      <c r="E30" s="1140">
        <f>SUM(E28:E29)</f>
        <v>2793.8699999999994</v>
      </c>
      <c r="F30" s="1140">
        <f>SUM(F28:F29)</f>
        <v>0</v>
      </c>
      <c r="G30" s="1142">
        <f>SUM(G28:G29)</f>
        <v>2793.8699999999994</v>
      </c>
      <c r="H30" s="2656"/>
      <c r="I30" s="2656"/>
      <c r="J30" s="2656"/>
      <c r="K30" s="2656"/>
      <c r="L30" s="2656"/>
      <c r="M30" s="2656"/>
      <c r="N30" s="2656"/>
      <c r="O30" s="2656"/>
      <c r="P30" s="2656"/>
    </row>
    <row r="31" spans="1:19" ht="15.75" thickBot="1">
      <c r="A31" s="1675"/>
      <c r="B31" s="1676"/>
      <c r="C31" s="835" t="s">
        <v>1157</v>
      </c>
      <c r="D31" s="676">
        <f>D27+D30</f>
        <v>17833.27</v>
      </c>
      <c r="E31" s="676">
        <f>E27+E30</f>
        <v>47621.420000000006</v>
      </c>
      <c r="F31" s="677">
        <f>F27+F30</f>
        <v>34710.700000000004</v>
      </c>
      <c r="G31" s="678">
        <f>G27+G30</f>
        <v>12910.72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33"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5">
        <f>项目基本情况!D3</f>
        <v>45111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3407</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20</v>
      </c>
      <c r="E6" s="857">
        <f>IF(B6="","",SUMIF(项目基本情况!C$12:I$12,C6,项目基本情况!C$13:I$13))</f>
        <v>51226</v>
      </c>
      <c r="F6" s="64">
        <f>SUMIF(项目基本情况!C$12:I$12,C6,项目基本情况!C$15:I$15)</f>
        <v>16.75</v>
      </c>
      <c r="G6" s="65">
        <f>IF(ISERROR(ROUND(POWER(1+H6,D6-F6)*(POWER(1+H6,F6)-1)/(POWER(1+H6,D6)-1),3)),0,ROUND(POWER(1+H6,D6-F6)*(POWER(1+H6,F6)-1)/(POWER(1+H6,D6)-1),3))</f>
        <v>0.89100000000000001</v>
      </c>
      <c r="H6" s="732">
        <v>4.4999999999999998E-2</v>
      </c>
      <c r="I6" s="732">
        <v>0.05</v>
      </c>
      <c r="J6" s="66">
        <v>7.4999999999999997E-2</v>
      </c>
      <c r="K6" s="1030">
        <f>SUMIF('数据-汇总表'!C$19:C$33,A6,'数据-汇总表'!E$19:E$33)</f>
        <v>38544.04</v>
      </c>
      <c r="L6" s="733">
        <v>3600</v>
      </c>
      <c r="M6" s="67">
        <f t="shared" ref="M6:M14" si="0">ROUND(K6*L6/10000,0)</f>
        <v>13876</v>
      </c>
      <c r="N6" s="731">
        <v>0.75</v>
      </c>
      <c r="O6" s="67">
        <f>IF($N$5="成新度","——",ROUND(M6*N6,0))</f>
        <v>10407</v>
      </c>
      <c r="P6" s="68">
        <f>IF($N$5="成新度","——",M6-O6)</f>
        <v>3469</v>
      </c>
      <c r="Q6" s="734">
        <v>0.1</v>
      </c>
      <c r="R6" s="69">
        <f ca="1">SUMIF('数据-汇总表'!C$19:C$33,A6,'数据-汇总表'!R$19:R$27)</f>
        <v>15333.56</v>
      </c>
      <c r="S6" s="51">
        <f>IF('数据-汇总表'!$I$17="按面积比例",SUMIF('数据-汇总表'!C$19:C$33,A6,'数据-汇总表'!K$19:K$33),SUMIF('数据-汇总表'!C$19:C$33,A6,'数据-汇总表'!N$19:N$33))</f>
        <v>2402.25</v>
      </c>
      <c r="T6" s="1172">
        <f>ROUND($L$14*S6/10000,0)</f>
        <v>865</v>
      </c>
      <c r="U6" s="3424">
        <v>2.2000000000000002</v>
      </c>
      <c r="V6" s="70">
        <v>2.5000000000000001E-2</v>
      </c>
      <c r="W6" s="70">
        <v>0.1</v>
      </c>
      <c r="X6" s="1040"/>
      <c r="Y6" s="71">
        <v>1</v>
      </c>
      <c r="Z6" s="72"/>
      <c r="AA6" s="66"/>
      <c r="AB6" s="66"/>
      <c r="AC6" s="1040"/>
      <c r="AD6" s="73"/>
      <c r="AE6" s="1041">
        <f ca="1">IF(AN6="",0,SUMIF(INDIRECT("'"&amp;AN6&amp;"'"&amp;"!E:E"),$AE$5,INDIRECT("'"&amp;AN6&amp;"'"&amp;"!F:F")))</f>
        <v>16.25</v>
      </c>
      <c r="AF6" s="1347"/>
      <c r="AG6" s="138">
        <f>IF(AF6="",0,AE6-AF6)</f>
        <v>0</v>
      </c>
      <c r="AH6" s="74"/>
      <c r="AI6" s="76">
        <v>365</v>
      </c>
      <c r="AJ6" s="77"/>
      <c r="AK6" s="78">
        <v>5.0000000000000001E-3</v>
      </c>
      <c r="AL6" s="79">
        <v>1E-3</v>
      </c>
      <c r="AM6" s="80">
        <v>5.0000000000000001E-3</v>
      </c>
      <c r="AN6" s="1714" t="s">
        <v>3521</v>
      </c>
      <c r="AO6" s="52">
        <f ca="1">SUMIF(INDIRECT("'"&amp;AN6&amp;"'"&amp;"!A:A"),"总价",INDIRECT("'"&amp;AN6&amp;"'"&amp;"!B:B"))</f>
        <v>32576</v>
      </c>
      <c r="AP6" s="1715">
        <f>IF(C6="住宅",K6*L6,0)</f>
        <v>0</v>
      </c>
      <c r="AQ6" s="52">
        <f>ROUND($L$14*$N$14*S6/10000,0)</f>
        <v>649</v>
      </c>
      <c r="AR6" s="52">
        <f>ROUND($L$14*(1-$N$14)*S6/10000,0)</f>
        <v>216</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3338</v>
      </c>
      <c r="D7" s="858">
        <f>SUMIF(项目基本情况!C$12:I$12,C7,项目基本情况!C$14:I$14)</f>
        <v>20</v>
      </c>
      <c r="E7" s="857">
        <f>IF(B7="","",SUMIF(项目基本情况!C$12:I$12,C7,项目基本情况!C$13:I$13))</f>
        <v>51226</v>
      </c>
      <c r="F7" s="64">
        <f>SUMIF(项目基本情况!C$12:I$12,C7,项目基本情况!C$15:I$15)</f>
        <v>16.75</v>
      </c>
      <c r="G7" s="65">
        <f t="shared" ref="G7:G11" si="2">IF(ISERROR(ROUND(POWER(1+H7,D7-F7)*(POWER(1+H7,F7)-1)/(POWER(1+H7,D7)-1),3)),0,ROUND(POWER(1+H7,D7-F7)*(POWER(1+H7,F7)-1)/(POWER(1+H7,D7)-1),3))</f>
        <v>0.89100000000000001</v>
      </c>
      <c r="H7" s="732">
        <v>4.4999999999999998E-2</v>
      </c>
      <c r="I7" s="732">
        <v>0.05</v>
      </c>
      <c r="J7" s="66">
        <v>7.4999999999999997E-2</v>
      </c>
      <c r="K7" s="1030">
        <f>SUMIF('数据-汇总表'!C$19:C$33,A7,'数据-汇总表'!E$19:E$33)</f>
        <v>1009.6600000000001</v>
      </c>
      <c r="L7" s="733">
        <f>L6</f>
        <v>3600</v>
      </c>
      <c r="M7" s="67">
        <f t="shared" si="0"/>
        <v>363</v>
      </c>
      <c r="N7" s="731">
        <f>N6</f>
        <v>0.75</v>
      </c>
      <c r="O7" s="67">
        <f t="shared" ref="O7:O14" si="3">IF($N$5="成新度","——",ROUND(M7*N7,0))</f>
        <v>272</v>
      </c>
      <c r="P7" s="68">
        <f t="shared" ref="P7:P14" si="4">IF($N$5="成新度","——",M7-O7)</f>
        <v>91</v>
      </c>
      <c r="Q7" s="734">
        <v>0.05</v>
      </c>
      <c r="R7" s="69">
        <f ca="1">SUMIF('数据-汇总表'!C$19:C$33,A7,'数据-汇总表'!R$19:R$27)</f>
        <v>401.67</v>
      </c>
      <c r="S7" s="51">
        <f>IF('数据-汇总表'!$I$17="按面积比例",SUMIF('数据-汇总表'!C$19:C$33,A7,'数据-汇总表'!K$19:K$33),SUMIF('数据-汇总表'!C$19:C$33,A7,'数据-汇总表'!N$19:N$33))</f>
        <v>62.93</v>
      </c>
      <c r="T7" s="1172">
        <f t="shared" ref="T7:T13" si="5">ROUND($L$14*S7/10000,0)</f>
        <v>23</v>
      </c>
      <c r="U7" s="3424">
        <v>1</v>
      </c>
      <c r="V7" s="70">
        <v>2.5000000000000001E-2</v>
      </c>
      <c r="W7" s="70">
        <v>0.1</v>
      </c>
      <c r="X7" s="1040"/>
      <c r="Y7" s="71">
        <v>1</v>
      </c>
      <c r="Z7" s="72"/>
      <c r="AA7" s="66"/>
      <c r="AB7" s="66"/>
      <c r="AC7" s="1040"/>
      <c r="AD7" s="73"/>
      <c r="AE7" s="1041">
        <f t="shared" ref="AE7:AE13" ca="1" si="6">IF(AN7="",0,SUMIF(INDIRECT("'"&amp;AN7&amp;"'"&amp;"!E:E"),$AE$5,INDIRECT("'"&amp;AN7&amp;"'"&amp;"!F:F")))</f>
        <v>16.25</v>
      </c>
      <c r="AF7" s="1347"/>
      <c r="AG7" s="138">
        <f t="shared" ref="AG7:AG13" si="7">IF(AF7="",0,AE7-AF7)</f>
        <v>0</v>
      </c>
      <c r="AH7" s="74"/>
      <c r="AI7" s="76">
        <v>365</v>
      </c>
      <c r="AJ7" s="77"/>
      <c r="AK7" s="78">
        <f>AK6</f>
        <v>5.0000000000000001E-3</v>
      </c>
      <c r="AL7" s="79">
        <f>AL6</f>
        <v>1E-3</v>
      </c>
      <c r="AM7" s="80">
        <f>AM6</f>
        <v>5.0000000000000001E-3</v>
      </c>
      <c r="AN7" s="1714" t="s">
        <v>3523</v>
      </c>
      <c r="AO7" s="52">
        <f t="shared" ref="AO7:AO13" ca="1" si="8">SUMIF(INDIRECT("'"&amp;AN7&amp;"'"&amp;"!A:A"),"总价",INDIRECT("'"&amp;AN7&amp;"'"&amp;"!B:B"))</f>
        <v>418</v>
      </c>
      <c r="AP7" s="1715">
        <f t="shared" ref="AP7:AP13" si="9">IF(C7="住宅",K7*L7,0)</f>
        <v>0</v>
      </c>
      <c r="AQ7" s="52">
        <f t="shared" ref="AQ7:AQ13" si="10">ROUND($L$14*$N$14*S7/10000,0)</f>
        <v>17</v>
      </c>
      <c r="AR7" s="52">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3337</v>
      </c>
      <c r="D8" s="858">
        <f>SUMIF(项目基本情况!C$12:I$12,C8,项目基本情况!C$14:I$14)</f>
        <v>20</v>
      </c>
      <c r="E8" s="857">
        <f>IF(B8="","",SUMIF(项目基本情况!C$12:I$12,C8,项目基本情况!C$13:I$13))</f>
        <v>51226</v>
      </c>
      <c r="F8" s="64">
        <f>SUMIF(项目基本情况!C$12:I$12,C8,项目基本情况!C$15:I$15)</f>
        <v>16.75</v>
      </c>
      <c r="G8" s="65">
        <f t="shared" si="2"/>
        <v>0.89100000000000001</v>
      </c>
      <c r="H8" s="732">
        <v>4.4999999999999998E-2</v>
      </c>
      <c r="I8" s="732">
        <v>0.05</v>
      </c>
      <c r="J8" s="66">
        <v>7.4999999999999997E-2</v>
      </c>
      <c r="K8" s="1030">
        <f>SUMIF('数据-汇总表'!C$19:C$33,A8,'数据-汇总表'!E$19:E$33)</f>
        <v>5273.85</v>
      </c>
      <c r="L8" s="733">
        <f>L6</f>
        <v>3600</v>
      </c>
      <c r="M8" s="67">
        <f>ROUND(K8*L8/10000,0)</f>
        <v>1899</v>
      </c>
      <c r="N8" s="731">
        <f>N6</f>
        <v>0.75</v>
      </c>
      <c r="O8" s="67">
        <f t="shared" si="3"/>
        <v>1424</v>
      </c>
      <c r="P8" s="68">
        <f t="shared" si="4"/>
        <v>475</v>
      </c>
      <c r="Q8" s="734">
        <v>0.05</v>
      </c>
      <c r="R8" s="69">
        <f ca="1">SUMIF('数据-汇总表'!C$19:C$33,A8,'数据-汇总表'!R$19:R$27)</f>
        <v>2098.04</v>
      </c>
      <c r="S8" s="51">
        <f>IF('数据-汇总表'!$I$17="按面积比例",SUMIF('数据-汇总表'!C$19:C$33,A8,'数据-汇总表'!K$19:K$33),SUMIF('数据-汇总表'!C$19:C$33,A8,'数据-汇总表'!N$19:N$33))</f>
        <v>328.69</v>
      </c>
      <c r="T8" s="1172">
        <f t="shared" si="5"/>
        <v>118</v>
      </c>
      <c r="U8" s="3425">
        <v>300</v>
      </c>
      <c r="V8" s="735">
        <v>0.02</v>
      </c>
      <c r="W8" s="735">
        <v>0.15</v>
      </c>
      <c r="X8" s="1040"/>
      <c r="Y8" s="71">
        <v>1</v>
      </c>
      <c r="Z8" s="72"/>
      <c r="AA8" s="66"/>
      <c r="AB8" s="66"/>
      <c r="AC8" s="1040"/>
      <c r="AD8" s="73"/>
      <c r="AE8" s="1041">
        <f t="shared" ca="1" si="6"/>
        <v>16.25</v>
      </c>
      <c r="AF8" s="1347"/>
      <c r="AG8" s="138">
        <f t="shared" si="7"/>
        <v>0</v>
      </c>
      <c r="AH8" s="736">
        <f>ROUNDDOWN('数据-汇总表'!G21/35,0)</f>
        <v>150</v>
      </c>
      <c r="AI8" s="76">
        <v>12</v>
      </c>
      <c r="AJ8" s="77"/>
      <c r="AK8" s="737">
        <f>AK6</f>
        <v>5.0000000000000001E-3</v>
      </c>
      <c r="AL8" s="738">
        <f>AL6</f>
        <v>1E-3</v>
      </c>
      <c r="AM8" s="739">
        <f>AM6</f>
        <v>5.0000000000000001E-3</v>
      </c>
      <c r="AN8" s="1714" t="s">
        <v>3525</v>
      </c>
      <c r="AO8" s="52">
        <f t="shared" ca="1" si="8"/>
        <v>833</v>
      </c>
      <c r="AP8" s="1715">
        <f t="shared" si="9"/>
        <v>0</v>
      </c>
      <c r="AQ8" s="52">
        <f t="shared" si="10"/>
        <v>89</v>
      </c>
      <c r="AR8" s="52">
        <f t="shared" si="11"/>
        <v>30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2793.8699999999994</v>
      </c>
      <c r="L14" s="82">
        <f>L6</f>
        <v>3600</v>
      </c>
      <c r="M14" s="67">
        <f t="shared" si="0"/>
        <v>1006</v>
      </c>
      <c r="N14" s="83">
        <f>N6</f>
        <v>0.75</v>
      </c>
      <c r="O14" s="67">
        <f t="shared" si="3"/>
        <v>755</v>
      </c>
      <c r="P14" s="68">
        <f t="shared" si="4"/>
        <v>251</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0.89100000000000001</v>
      </c>
      <c r="H16" s="90">
        <f>ROUND(SUMPRODUCT(H6:H13,K6:K13)/SUMPRODUCT((H6:H13&gt;0)*(K6:K13)),3)</f>
        <v>4.4999999999999998E-2</v>
      </c>
      <c r="I16" s="91"/>
      <c r="J16" s="91"/>
      <c r="K16" s="92">
        <f>SUM(K6:K15)</f>
        <v>47621.420000000006</v>
      </c>
      <c r="L16" s="93">
        <f>ROUND(M16*10000/SUM(K6:K14),0)</f>
        <v>3600</v>
      </c>
      <c r="M16" s="93">
        <f>SUM(M6:M14)</f>
        <v>17144</v>
      </c>
      <c r="N16" s="94">
        <f>ROUND(SUMPRODUCT(M6:M14,N6:N14)/M16,3)</f>
        <v>0.75</v>
      </c>
      <c r="O16" s="93">
        <f>SUM(O6:O14)</f>
        <v>12858</v>
      </c>
      <c r="P16" s="93">
        <f>SUM(P6:P14)</f>
        <v>4286</v>
      </c>
      <c r="Q16" s="95">
        <f>ROUND(SUMPRODUCT(Q6:Q13,K6:K13)/SUMPRODUCT((Q6:Q13&gt;0)*(K6:K13)),2)</f>
        <v>0.09</v>
      </c>
      <c r="R16" s="1034">
        <f ca="1">SUM(R6:R13)</f>
        <v>17833.27</v>
      </c>
      <c r="S16" s="96">
        <f>SUM(S6:S13)</f>
        <v>2793.87</v>
      </c>
      <c r="T16" s="97">
        <f>IF(SUMIF(T6:T13,"&lt;9E307")=M14,SUMIF(T6:T13,"&lt;9E307"),"有误，请检查")</f>
        <v>1006</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2303</v>
      </c>
      <c r="D19" s="2672"/>
      <c r="E19" s="2669"/>
      <c r="F19" s="2669"/>
      <c r="G19" s="2669"/>
      <c r="H19" s="2669"/>
      <c r="I19" s="2669"/>
      <c r="J19" s="2669"/>
      <c r="K19" s="2668"/>
      <c r="L19" s="2668"/>
      <c r="M19" s="2667"/>
      <c r="N19" s="2667"/>
      <c r="O19" s="2667"/>
      <c r="P19" s="2667"/>
      <c r="Q19" s="2667"/>
      <c r="R19" s="2667"/>
      <c r="S19" s="3471"/>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2301</v>
      </c>
      <c r="D20" s="2672"/>
      <c r="E20" s="2669"/>
      <c r="F20" s="2669"/>
      <c r="G20" s="2669"/>
      <c r="H20" s="2669"/>
      <c r="I20" s="2669"/>
      <c r="J20" s="2669"/>
      <c r="K20" s="2668"/>
      <c r="L20" s="2668"/>
      <c r="M20" s="2667"/>
      <c r="N20" s="2667"/>
      <c r="O20" s="2667"/>
      <c r="P20" s="2667"/>
      <c r="Q20" s="2667"/>
      <c r="R20" s="2667"/>
      <c r="S20" s="3471"/>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0.5</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c r="C27" s="2797" t="s">
        <v>2305</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c r="C29" s="2798" t="s">
        <v>2292</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799" t="s">
        <v>2295</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2312</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8" t="s">
        <v>1245</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65" t="s">
        <v>2284</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2250</v>
      </c>
      <c r="C3" s="2461" t="s">
        <v>2282</v>
      </c>
      <c r="D3" s="2462"/>
      <c r="E3" s="2439" t="s">
        <v>2281</v>
      </c>
      <c r="F3" s="2463" t="s">
        <v>2251</v>
      </c>
      <c r="G3" s="2464" t="s">
        <v>2283</v>
      </c>
      <c r="H3" s="799"/>
      <c r="I3" s="799"/>
      <c r="J3" s="799"/>
      <c r="K3" s="799"/>
      <c r="L3" s="799"/>
      <c r="M3" s="799"/>
      <c r="N3" s="799"/>
      <c r="O3" s="799"/>
      <c r="P3" s="799"/>
      <c r="Q3" s="799"/>
      <c r="R3" s="799"/>
    </row>
    <row r="4" spans="1:29" ht="36.75">
      <c r="A4" s="2439"/>
      <c r="B4" s="323" t="s">
        <v>2252</v>
      </c>
      <c r="C4" s="2465" t="s">
        <v>2253</v>
      </c>
      <c r="D4" s="2462"/>
      <c r="E4" s="2466"/>
      <c r="F4" s="1372" t="s">
        <v>2254</v>
      </c>
      <c r="G4" s="2467" t="s">
        <v>2255</v>
      </c>
      <c r="H4" s="799"/>
      <c r="I4" s="799"/>
      <c r="J4" s="799"/>
      <c r="K4" s="799"/>
      <c r="L4" s="799"/>
      <c r="M4" s="799"/>
      <c r="N4" s="799"/>
      <c r="O4" s="799"/>
      <c r="P4" s="799"/>
      <c r="Q4" s="799"/>
      <c r="R4" s="799"/>
    </row>
    <row r="5" spans="1:29" ht="36.75">
      <c r="A5" s="2439"/>
      <c r="B5" s="323" t="s">
        <v>2256</v>
      </c>
      <c r="C5" s="2465" t="s">
        <v>2257</v>
      </c>
      <c r="D5" s="2462"/>
      <c r="E5" s="2466"/>
      <c r="F5" s="323" t="s">
        <v>2258</v>
      </c>
      <c r="G5" s="2467" t="s">
        <v>2259</v>
      </c>
      <c r="H5" s="799"/>
      <c r="I5" s="799"/>
      <c r="J5" s="799"/>
      <c r="K5" s="799"/>
      <c r="L5" s="799"/>
      <c r="M5" s="799"/>
      <c r="N5" s="799"/>
      <c r="O5" s="799"/>
      <c r="P5" s="799"/>
      <c r="Q5" s="799"/>
      <c r="R5" s="799"/>
    </row>
    <row r="6" spans="1:29" ht="36">
      <c r="A6" s="2439"/>
      <c r="B6" s="323" t="s">
        <v>2260</v>
      </c>
      <c r="C6" s="2467" t="s">
        <v>2255</v>
      </c>
      <c r="D6" s="2462"/>
      <c r="E6" s="2466"/>
      <c r="F6" s="323" t="s">
        <v>2261</v>
      </c>
      <c r="G6" s="2467" t="s">
        <v>2262</v>
      </c>
      <c r="H6" s="799"/>
      <c r="I6" s="799"/>
      <c r="J6" s="799"/>
      <c r="K6" s="799"/>
      <c r="L6" s="799"/>
      <c r="M6" s="799"/>
      <c r="N6" s="799"/>
      <c r="O6" s="799"/>
      <c r="P6" s="799"/>
      <c r="Q6" s="799"/>
      <c r="R6" s="799"/>
    </row>
    <row r="7" spans="1:29" ht="24.75" thickBot="1">
      <c r="A7" s="2439"/>
      <c r="B7" s="323" t="s">
        <v>2258</v>
      </c>
      <c r="C7" s="2467" t="s">
        <v>2259</v>
      </c>
      <c r="D7" s="2468"/>
      <c r="E7" s="2469"/>
      <c r="F7" s="2470" t="s">
        <v>2263</v>
      </c>
      <c r="G7" s="2471" t="s">
        <v>2264</v>
      </c>
      <c r="H7" s="799"/>
      <c r="I7" s="799"/>
      <c r="J7" s="799"/>
      <c r="K7" s="799"/>
      <c r="L7" s="799"/>
      <c r="M7" s="799"/>
      <c r="N7" s="799"/>
      <c r="O7" s="799"/>
      <c r="P7" s="799"/>
      <c r="Q7" s="799"/>
      <c r="R7" s="799"/>
    </row>
    <row r="8" spans="1:29">
      <c r="A8" s="2439"/>
      <c r="B8" s="323" t="s">
        <v>2261</v>
      </c>
      <c r="C8" s="2467" t="s">
        <v>2262</v>
      </c>
      <c r="D8" s="2468"/>
      <c r="E8" s="2468"/>
      <c r="F8" s="2472"/>
      <c r="G8" s="2472"/>
      <c r="H8" s="799"/>
      <c r="I8" s="799"/>
      <c r="J8" s="799"/>
      <c r="K8" s="799"/>
      <c r="L8" s="799"/>
      <c r="M8" s="799"/>
      <c r="N8" s="799"/>
      <c r="O8" s="799"/>
      <c r="P8" s="799"/>
      <c r="Q8" s="799"/>
      <c r="R8" s="799"/>
    </row>
    <row r="9" spans="1:29" ht="24">
      <c r="A9" s="2439"/>
      <c r="B9" s="323" t="s">
        <v>2265</v>
      </c>
      <c r="C9" s="2465" t="s">
        <v>2266</v>
      </c>
      <c r="D9" s="2462"/>
      <c r="E9" s="2468"/>
      <c r="F9" s="2472"/>
      <c r="G9" s="2472"/>
      <c r="H9" s="799"/>
      <c r="I9" s="799"/>
      <c r="J9" s="799"/>
      <c r="K9" s="799"/>
      <c r="L9" s="799"/>
      <c r="M9" s="799"/>
      <c r="N9" s="799"/>
      <c r="O9" s="799"/>
      <c r="P9" s="799"/>
      <c r="Q9" s="799"/>
      <c r="R9" s="799"/>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9"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9"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47621.420000000006</v>
      </c>
      <c r="C1" s="2682"/>
      <c r="D1" s="2682"/>
      <c r="E1" s="2682"/>
      <c r="F1" s="2682"/>
      <c r="G1" s="2683"/>
      <c r="H1" s="2684"/>
      <c r="I1" s="2684"/>
      <c r="J1" s="2684"/>
      <c r="K1" s="2684"/>
    </row>
    <row r="2" spans="1:11" ht="16.5">
      <c r="A2" s="2509" t="s">
        <v>653</v>
      </c>
      <c r="B2" s="2509">
        <f>SUM(C14:C23)</f>
        <v>17833.27</v>
      </c>
      <c r="C2" s="2682"/>
      <c r="D2" s="2682"/>
      <c r="E2" s="2682"/>
      <c r="F2" s="2682"/>
      <c r="G2" s="2683"/>
      <c r="H2" s="2684"/>
      <c r="I2" s="2684"/>
      <c r="J2" s="2684"/>
      <c r="K2" s="2684"/>
    </row>
    <row r="3" spans="1:11" ht="16.5">
      <c r="A3" s="2509" t="s">
        <v>662</v>
      </c>
      <c r="B3" s="2511">
        <f>项目基本情况!D3</f>
        <v>45111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24656</v>
      </c>
      <c r="C5" s="2509">
        <f ca="1">IF(B5=D14,结果表!H102,ROUND(B5*10000/$B$1,0))</f>
        <v>5178</v>
      </c>
      <c r="D5" s="2509">
        <f ca="1">ROUND(B5*10000/$B$2,0)</f>
        <v>13826</v>
      </c>
      <c r="E5" s="2682"/>
      <c r="F5" s="2683"/>
      <c r="G5" s="2683"/>
      <c r="H5" s="2684"/>
      <c r="I5" s="2684"/>
      <c r="J5" s="2684"/>
      <c r="K5" s="2684"/>
    </row>
    <row r="6" spans="1:11" ht="16.5">
      <c r="A6" s="2509" t="s">
        <v>656</v>
      </c>
      <c r="B6" s="2509">
        <f ca="1">SUM(G14:G23)</f>
        <v>24656</v>
      </c>
      <c r="C6" s="2509">
        <f ca="1">IF(B6=G14,结果表!H108,ROUND(B6*10000/$B$1,0))</f>
        <v>5178</v>
      </c>
      <c r="D6" s="2509">
        <f ca="1">ROUND(B6*10000/$B$2,0)</f>
        <v>13826</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SUM(I14:I23)</f>
        <v>0</v>
      </c>
      <c r="C8" s="2509" t="str">
        <f>IF(B8=I14,结果表!H112,ROUND(B8*10000/$B$1,0))</f>
        <v>——</v>
      </c>
      <c r="D8" s="2509">
        <f>ROUND(B8*10000/$B$2,0)</f>
        <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47621.420000000006</v>
      </c>
      <c r="C14" s="2515">
        <f>结果表!C118</f>
        <v>17833.27</v>
      </c>
      <c r="D14" s="2515">
        <f ca="1">结果表!H118</f>
        <v>24656</v>
      </c>
      <c r="E14" s="2515">
        <f ca="1">ROUND(D14*10000/B14,0)</f>
        <v>5178</v>
      </c>
      <c r="F14" s="2515">
        <f ca="1">ROUND(D14*10000/C14,0)</f>
        <v>13826</v>
      </c>
      <c r="G14" s="2515">
        <f ca="1">结果表!D122</f>
        <v>24656</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0"/>
      <c r="H15" s="1330"/>
      <c r="I15" s="2516"/>
      <c r="J15" s="2683"/>
      <c r="K15" s="2684"/>
    </row>
    <row r="16" spans="1:11" ht="16.5">
      <c r="A16" s="2514" t="s">
        <v>648</v>
      </c>
      <c r="B16" s="2516"/>
      <c r="C16" s="2516"/>
      <c r="D16" s="2516"/>
      <c r="E16" s="2515" t="e">
        <f t="shared" si="0"/>
        <v>#DIV/0!</v>
      </c>
      <c r="F16" s="2515" t="e">
        <f t="shared" si="1"/>
        <v>#DIV/0!</v>
      </c>
      <c r="G16" s="1330"/>
      <c r="H16" s="1330"/>
      <c r="I16" s="2516"/>
      <c r="J16" s="2684"/>
      <c r="K16" s="2684"/>
    </row>
    <row r="17" spans="1:11" ht="16.5">
      <c r="A17" s="2514" t="s">
        <v>647</v>
      </c>
      <c r="B17" s="2516"/>
      <c r="C17" s="2516"/>
      <c r="D17" s="2516"/>
      <c r="E17" s="2515" t="e">
        <f t="shared" si="0"/>
        <v>#DIV/0!</v>
      </c>
      <c r="F17" s="2515" t="e">
        <f t="shared" si="1"/>
        <v>#DIV/0!</v>
      </c>
      <c r="G17" s="1330"/>
      <c r="H17" s="1330"/>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01" t="str">
        <f>项目基本情况!S2</f>
        <v>北京市顺义区赵全营镇板桥村房地产</v>
      </c>
      <c r="B2" s="3602"/>
      <c r="C2" s="3602"/>
      <c r="D2" s="3602"/>
      <c r="E2" s="3602"/>
      <c r="F2" s="3602"/>
      <c r="G2" s="3602"/>
      <c r="H2" s="3602"/>
      <c r="I2" s="3603"/>
    </row>
    <row r="3" spans="1:12" ht="12.75">
      <c r="A3" s="3605" t="s">
        <v>1263</v>
      </c>
      <c r="B3" s="3606"/>
      <c r="C3" s="3606"/>
      <c r="D3" s="3606"/>
      <c r="E3" s="3606"/>
      <c r="F3" s="3606"/>
      <c r="G3" s="3606"/>
      <c r="H3" s="3606"/>
      <c r="I3" s="3606"/>
    </row>
    <row r="4" spans="1:12" ht="14.25">
      <c r="A4" s="1753" t="s">
        <v>1264</v>
      </c>
      <c r="B4" s="1754" t="s">
        <v>1265</v>
      </c>
      <c r="C4" s="1755" t="s">
        <v>3408</v>
      </c>
      <c r="D4" s="1755" t="s">
        <v>3409</v>
      </c>
      <c r="E4" s="3607" t="s">
        <v>1266</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1" t="s">
        <v>1267</v>
      </c>
      <c r="B5" s="3568">
        <v>25</v>
      </c>
      <c r="C5" s="3584"/>
      <c r="D5" s="3604"/>
      <c r="E5" s="131" t="s">
        <v>1268</v>
      </c>
      <c r="F5" s="1756"/>
      <c r="G5" s="1756"/>
      <c r="H5" s="1756"/>
      <c r="I5" s="1372"/>
    </row>
    <row r="6" spans="1:12" ht="12.75">
      <c r="A6" s="3581"/>
      <c r="B6" s="3568"/>
      <c r="C6" s="3585"/>
      <c r="D6" s="3604"/>
      <c r="E6" s="131" t="s">
        <v>1269</v>
      </c>
      <c r="F6" s="1756"/>
      <c r="G6" s="1756"/>
      <c r="H6" s="1756"/>
      <c r="I6" s="1372"/>
    </row>
    <row r="7" spans="1:12" ht="12.75">
      <c r="A7" s="3581"/>
      <c r="B7" s="3568"/>
      <c r="C7" s="3586"/>
      <c r="D7" s="3604"/>
      <c r="E7" s="131" t="s">
        <v>1270</v>
      </c>
      <c r="F7" s="1756"/>
      <c r="G7" s="1756"/>
      <c r="H7" s="1756"/>
      <c r="I7" s="1372"/>
    </row>
    <row r="8" spans="1:12" ht="12.75">
      <c r="A8" s="3581" t="s">
        <v>1271</v>
      </c>
      <c r="B8" s="3568">
        <v>15</v>
      </c>
      <c r="C8" s="3584"/>
      <c r="D8" s="3604"/>
      <c r="E8" s="131" t="s">
        <v>1272</v>
      </c>
      <c r="F8" s="1756"/>
      <c r="G8" s="1756"/>
      <c r="H8" s="1756"/>
      <c r="I8" s="1372"/>
    </row>
    <row r="9" spans="1:12" ht="12.75">
      <c r="A9" s="3581"/>
      <c r="B9" s="3568"/>
      <c r="C9" s="3586"/>
      <c r="D9" s="3604"/>
      <c r="E9" s="131" t="s">
        <v>1273</v>
      </c>
      <c r="F9" s="1756"/>
      <c r="G9" s="1756"/>
      <c r="H9" s="1756"/>
      <c r="I9" s="1372"/>
    </row>
    <row r="10" spans="1:12" ht="12.75">
      <c r="A10" s="3581" t="s">
        <v>1274</v>
      </c>
      <c r="B10" s="3568">
        <v>15</v>
      </c>
      <c r="C10" s="3584"/>
      <c r="D10" s="3604"/>
      <c r="E10" s="131" t="s">
        <v>1275</v>
      </c>
      <c r="F10" s="1756"/>
      <c r="G10" s="1756"/>
      <c r="H10" s="1756"/>
      <c r="I10" s="1372"/>
    </row>
    <row r="11" spans="1:12" ht="12.75">
      <c r="A11" s="3581"/>
      <c r="B11" s="3568"/>
      <c r="C11" s="3586"/>
      <c r="D11" s="3604"/>
      <c r="E11" s="131" t="s">
        <v>1276</v>
      </c>
      <c r="F11" s="1756"/>
      <c r="G11" s="1756"/>
      <c r="H11" s="1756"/>
      <c r="I11" s="1372"/>
    </row>
    <row r="12" spans="1:12" ht="12.75">
      <c r="A12" s="3581" t="s">
        <v>1277</v>
      </c>
      <c r="B12" s="3568">
        <v>15</v>
      </c>
      <c r="C12" s="3584"/>
      <c r="D12" s="3604"/>
      <c r="E12" s="131" t="s">
        <v>1278</v>
      </c>
      <c r="F12" s="1756"/>
      <c r="G12" s="1756"/>
      <c r="H12" s="1756"/>
      <c r="I12" s="1372"/>
    </row>
    <row r="13" spans="1:12" ht="12.75">
      <c r="A13" s="3581"/>
      <c r="B13" s="3568"/>
      <c r="C13" s="3586"/>
      <c r="D13" s="3604"/>
      <c r="E13" s="131" t="s">
        <v>1279</v>
      </c>
      <c r="F13" s="1756"/>
      <c r="G13" s="1756"/>
      <c r="H13" s="1756"/>
      <c r="I13" s="1372"/>
    </row>
    <row r="14" spans="1:12" ht="12.75">
      <c r="A14" s="3581" t="s">
        <v>1280</v>
      </c>
      <c r="B14" s="3568">
        <v>30</v>
      </c>
      <c r="C14" s="3584">
        <v>5</v>
      </c>
      <c r="D14" s="3604">
        <v>5</v>
      </c>
      <c r="E14" s="131" t="s">
        <v>1281</v>
      </c>
      <c r="F14" s="1756"/>
      <c r="G14" s="1756"/>
      <c r="H14" s="1756"/>
      <c r="I14" s="1372"/>
    </row>
    <row r="15" spans="1:12" ht="12.75">
      <c r="A15" s="3581"/>
      <c r="B15" s="3568"/>
      <c r="C15" s="3585"/>
      <c r="D15" s="3604"/>
      <c r="E15" s="131" t="s">
        <v>1282</v>
      </c>
      <c r="F15" s="1756"/>
      <c r="G15" s="1756"/>
      <c r="H15" s="1756"/>
      <c r="I15" s="1372"/>
    </row>
    <row r="16" spans="1:12" ht="12.75">
      <c r="A16" s="3581"/>
      <c r="B16" s="3568"/>
      <c r="C16" s="3586"/>
      <c r="D16" s="3604"/>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91" t="s">
        <v>2129</v>
      </c>
      <c r="F18" s="3592"/>
      <c r="G18" s="3592"/>
      <c r="H18" s="3592"/>
      <c r="I18" s="3592"/>
      <c r="K18" s="302" t="s">
        <v>1288</v>
      </c>
      <c r="L18" s="302">
        <f>IF(C1="",'数据-汇总表'!E3,SUMIF(项目类型,C1,'数据-汇总表'!E17:E26)+SUMIF(项目类型,C1,'数据-汇总表'!I17:I26))</f>
        <v>47621.420000000006</v>
      </c>
      <c r="M18" s="302">
        <f>IF(C1="",'数据-汇总表'!E3,SUMIF(项目类型,C1,'数据-汇总表'!E17:E26))</f>
        <v>47621.420000000006</v>
      </c>
    </row>
    <row r="19" spans="1:36" ht="15">
      <c r="A19" s="1760" t="s">
        <v>1289</v>
      </c>
      <c r="B19" s="1761" t="s">
        <v>1290</v>
      </c>
      <c r="C19" s="134">
        <f ca="1">SUMIF(INDIRECT("'"&amp;C4&amp;"'"&amp;"!A:A"),结果表!B19,INDIRECT("'"&amp;C4&amp;"'"&amp;"!B:B"))</f>
        <v>24563</v>
      </c>
      <c r="D19" s="135">
        <f ca="1">SUMIF(INDIRECT("'"&amp;D4&amp;"'"&amp;"!A:A"),结果表!B19,INDIRECT("'"&amp;D4&amp;"'"&amp;"!B:B"))</f>
        <v>24748</v>
      </c>
      <c r="E19" s="1760" t="s">
        <v>1291</v>
      </c>
      <c r="F19" s="1761" t="s">
        <v>1290</v>
      </c>
      <c r="G19" s="136">
        <f ca="1">ROUND(C19*$C$18+D19*$D$18,0)</f>
        <v>24656</v>
      </c>
      <c r="H19" s="1762" t="s">
        <v>1292</v>
      </c>
      <c r="I19" s="129"/>
      <c r="K19" s="302" t="s">
        <v>1293</v>
      </c>
      <c r="L19" s="302">
        <f>IF(C1="",'数据-汇总表'!D3,SUMIF(项目类型,C1,'数据-汇总表'!D17:D26)+SUMIF(项目类型,C1,'数据-汇总表'!H17:H27))</f>
        <v>17833.27</v>
      </c>
      <c r="M19" s="302">
        <f>IF(C1="",'数据-汇总表'!D3,SUMIF(项目类型,C1,'数据-汇总表'!D17:D26))</f>
        <v>17833.27</v>
      </c>
    </row>
    <row r="20" spans="1:36" ht="15">
      <c r="A20" s="1763"/>
      <c r="B20" s="1026" t="s">
        <v>1294</v>
      </c>
      <c r="C20" s="137">
        <f ca="1">SUMIF(INDIRECT("'"&amp;C4&amp;"'"&amp;"!A:A"),结果表!B20,INDIRECT("'"&amp;C4&amp;"'"&amp;"!B:B"))</f>
        <v>5158</v>
      </c>
      <c r="D20" s="138">
        <f ca="1">SUMIF(INDIRECT("'"&amp;D4&amp;"'"&amp;"!A:A"),结果表!B20,INDIRECT("'"&amp;D4&amp;"'"&amp;"!B:B"))</f>
        <v>5197</v>
      </c>
      <c r="E20" s="1763"/>
      <c r="F20" s="1026" t="s">
        <v>1294</v>
      </c>
      <c r="G20" s="139">
        <f ca="1">ROUND(C20*$C$18+D20*$D$18,0)</f>
        <v>5178</v>
      </c>
      <c r="H20" s="808" t="s">
        <v>1295</v>
      </c>
      <c r="I20" s="129"/>
    </row>
    <row r="21" spans="1:36" ht="15" customHeight="1" thickBot="1">
      <c r="A21" s="828"/>
      <c r="B21" s="1764" t="s">
        <v>1296</v>
      </c>
      <c r="C21" s="719">
        <f ca="1">ROUND(C19*10000/L19,0)</f>
        <v>13774</v>
      </c>
      <c r="D21" s="720">
        <f ca="1">ROUND(D19*10000/L19,0)</f>
        <v>13877</v>
      </c>
      <c r="E21" s="828"/>
      <c r="F21" s="1764" t="s">
        <v>1296</v>
      </c>
      <c r="G21" s="140">
        <f ca="1">ROUND(G19*10000/L19,0)</f>
        <v>13826</v>
      </c>
      <c r="H21" s="1765" t="s">
        <v>1295</v>
      </c>
      <c r="I21" s="129"/>
    </row>
    <row r="22" spans="1:36" ht="15" thickBot="1">
      <c r="A22" s="1687" t="s">
        <v>1297</v>
      </c>
      <c r="B22" s="1766"/>
      <c r="C22" s="1767"/>
      <c r="D22" s="721">
        <f ca="1">IF(C19&lt;D19,D19/C19-1,C19/D19-1)</f>
        <v>7.5316532996783092E-3</v>
      </c>
      <c r="E22" s="129"/>
      <c r="F22" s="129"/>
      <c r="G22" s="129"/>
      <c r="H22" s="129"/>
      <c r="I22" s="129"/>
    </row>
    <row r="23" spans="1:36" ht="13.5" thickBot="1">
      <c r="A23" s="1746"/>
      <c r="B23" s="1746"/>
      <c r="C23" s="1746"/>
      <c r="D23" s="1746"/>
      <c r="E23" s="129"/>
      <c r="F23" s="129"/>
      <c r="G23" s="129"/>
      <c r="H23" s="129"/>
      <c r="I23" s="129"/>
    </row>
    <row r="24" spans="1:36" ht="14.25">
      <c r="A24" s="3575" t="s">
        <v>1298</v>
      </c>
      <c r="B24" s="1761" t="s">
        <v>1290</v>
      </c>
      <c r="C24" s="136">
        <f>IF(B30=0,0,D30)</f>
        <v>0</v>
      </c>
      <c r="D24" s="1768"/>
      <c r="E24" s="129"/>
      <c r="F24" s="129"/>
      <c r="G24" s="129"/>
      <c r="H24" s="129"/>
      <c r="I24" s="129"/>
    </row>
    <row r="25" spans="1:36" ht="14.25">
      <c r="A25" s="3576"/>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24656</v>
      </c>
      <c r="D32" s="1774" t="s">
        <v>3527</v>
      </c>
      <c r="E32" s="129"/>
      <c r="F32" s="129"/>
      <c r="G32" s="129"/>
      <c r="H32" s="129"/>
      <c r="I32" s="129"/>
    </row>
    <row r="33" spans="1:15" ht="15">
      <c r="A33" s="786" t="s">
        <v>1305</v>
      </c>
      <c r="B33" s="1775"/>
      <c r="C33" s="1776" t="s">
        <v>3528</v>
      </c>
      <c r="D33" s="1777" t="s">
        <v>3408</v>
      </c>
      <c r="E33" s="1778" t="s">
        <v>1306</v>
      </c>
      <c r="F33" s="1779" t="str">
        <f>IF(D32="楼面单价","取值（单价）","取值（总价）")</f>
        <v>取值（总价）</v>
      </c>
      <c r="G33" s="129"/>
      <c r="H33" s="129"/>
      <c r="I33" s="129"/>
    </row>
    <row r="34" spans="1:15" ht="15">
      <c r="A34" s="1780"/>
      <c r="B34" s="1781" t="s">
        <v>1307</v>
      </c>
      <c r="C34" s="148">
        <f ca="1">IF(C33="自定义",F34,C32-C35)</f>
        <v>6854</v>
      </c>
      <c r="D34" s="861">
        <f ca="1">IF(C33="自定义",ROUND(C34/C32,3),IF(C33="收益比率",SUMIF(INDIRECT("'"&amp;D33&amp;"'"&amp;"!b:b"),"土地收益比率",INDIRECT("'"&amp;D33&amp;"'"&amp;"!c:c")),SUMIF(INDIRECT("'"&amp;D33&amp;"'"&amp;"!b:b"),"土地成本比率",INDIRECT("'"&amp;D33&amp;"'"&amp;"!c:c"))))</f>
        <v>0.27800000000000002</v>
      </c>
      <c r="E34" s="1782" t="s">
        <v>1308</v>
      </c>
      <c r="F34" s="1329"/>
      <c r="G34" s="129"/>
      <c r="H34" s="129"/>
      <c r="I34" s="129"/>
    </row>
    <row r="35" spans="1:15" ht="15.75" thickBot="1">
      <c r="A35" s="1783"/>
      <c r="B35" s="1784" t="s">
        <v>1309</v>
      </c>
      <c r="C35" s="1170">
        <f ca="1">IF(C33="自定义",F35,ROUND(C32*D35,0))</f>
        <v>17802</v>
      </c>
      <c r="D35" s="1171">
        <f ca="1">IF(C33="自定义",ROUND(C35/C32,3),IF(C33="收益比率",SUMIF(INDIRECT("'"&amp;D33&amp;"'"&amp;"!b:b"),"建筑物收益比率",INDIRECT("'"&amp;D33&amp;"'"&amp;"!c:c")),SUMIF(INDIRECT("'"&amp;D33&amp;"'"&amp;"!b:b"),"建筑物成本比率",INDIRECT("'"&amp;D33&amp;"'"&amp;"!c:c"))))</f>
        <v>0.72199999999999998</v>
      </c>
      <c r="E35" s="1785" t="s">
        <v>1310</v>
      </c>
      <c r="F35" s="154"/>
      <c r="G35" s="129"/>
      <c r="H35" s="129"/>
      <c r="I35" s="129"/>
    </row>
    <row r="36" spans="1:15" ht="15.75" thickBot="1">
      <c r="A36" s="3595" t="s">
        <v>1311</v>
      </c>
      <c r="B36" s="1786" t="s">
        <v>1312</v>
      </c>
      <c r="C36" s="145"/>
      <c r="D36" s="1787"/>
      <c r="E36" s="1788"/>
      <c r="F36" s="1789"/>
      <c r="G36" s="129"/>
      <c r="H36" s="129"/>
      <c r="I36" s="129"/>
    </row>
    <row r="37" spans="1:15" ht="15.75" thickBot="1">
      <c r="A37" s="3596"/>
      <c r="B37" s="1673" t="s">
        <v>1313</v>
      </c>
      <c r="C37" s="147"/>
      <c r="D37" s="1139"/>
      <c r="E37" s="1139"/>
      <c r="F37" s="1789"/>
      <c r="G37" s="129"/>
      <c r="H37" s="129"/>
      <c r="I37" s="129"/>
    </row>
    <row r="38" spans="1:15" ht="15.75" thickBot="1">
      <c r="A38" s="3597"/>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72" t="s">
        <v>1325</v>
      </c>
      <c r="B45" s="3573"/>
      <c r="C45" s="3574"/>
      <c r="D45" s="155">
        <f ca="1">ROUND(H101*F45,0)</f>
        <v>24656</v>
      </c>
      <c r="E45" s="156" t="s">
        <v>1326</v>
      </c>
      <c r="F45" s="157">
        <v>1</v>
      </c>
      <c r="G45" s="158" t="s">
        <v>1327</v>
      </c>
      <c r="H45" s="129"/>
      <c r="I45" s="129"/>
      <c r="J45" s="3650" t="s">
        <v>1328</v>
      </c>
      <c r="K45" s="3650"/>
      <c r="L45" s="3650"/>
      <c r="M45" s="3650"/>
      <c r="N45" s="3650"/>
      <c r="O45" s="3650"/>
    </row>
    <row r="46" spans="1:15" ht="14.25" customHeight="1">
      <c r="A46" s="3569" t="s">
        <v>1329</v>
      </c>
      <c r="B46" s="3570"/>
      <c r="C46" s="3570"/>
      <c r="D46" s="3570"/>
      <c r="E46" s="3570"/>
      <c r="F46" s="3570"/>
      <c r="G46" s="3571"/>
      <c r="H46" s="1805"/>
      <c r="I46" s="159"/>
      <c r="J46" s="2520">
        <v>1</v>
      </c>
      <c r="K46" s="3631" t="s">
        <v>1330</v>
      </c>
      <c r="L46" s="3631"/>
      <c r="M46" s="3651"/>
      <c r="N46" s="3651"/>
      <c r="O46" s="3651"/>
    </row>
    <row r="47" spans="1:15" ht="12" customHeight="1">
      <c r="A47" s="160" t="s">
        <v>1331</v>
      </c>
      <c r="B47" s="161"/>
      <c r="C47" s="162"/>
      <c r="D47" s="1087" t="s">
        <v>1332</v>
      </c>
      <c r="E47" s="302" t="s">
        <v>1333</v>
      </c>
      <c r="F47" s="163" t="s">
        <v>1334</v>
      </c>
      <c r="G47" s="2543" t="s">
        <v>1335</v>
      </c>
      <c r="H47" s="2544"/>
      <c r="I47" s="159"/>
      <c r="J47" s="2520">
        <v>2</v>
      </c>
      <c r="K47" s="3631" t="s">
        <v>1336</v>
      </c>
      <c r="L47" s="3631"/>
      <c r="M47" s="3652">
        <f>'数据-取费表'!B2</f>
        <v>45111</v>
      </c>
      <c r="N47" s="3652"/>
      <c r="O47" s="3652"/>
    </row>
    <row r="48" spans="1:15" ht="25.5">
      <c r="A48" s="3600" t="s">
        <v>1337</v>
      </c>
      <c r="B48" s="3583"/>
      <c r="C48" s="3583"/>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1338</v>
      </c>
      <c r="H48" s="2547"/>
      <c r="I48" s="1805"/>
      <c r="J48" s="2520">
        <v>3</v>
      </c>
      <c r="K48" s="3631" t="s">
        <v>1339</v>
      </c>
      <c r="L48" s="3631"/>
      <c r="M48" s="3653">
        <f ca="1">H101</f>
        <v>24656</v>
      </c>
      <c r="N48" s="3653"/>
      <c r="O48" s="3653"/>
    </row>
    <row r="49" spans="1:35" ht="25.5" customHeight="1">
      <c r="A49" s="2332" t="s">
        <v>1340</v>
      </c>
      <c r="B49" s="3567" t="s">
        <v>1341</v>
      </c>
      <c r="C49" s="3567"/>
      <c r="D49" s="1589">
        <v>0</v>
      </c>
      <c r="E49" s="324" t="s">
        <v>1342</v>
      </c>
      <c r="F49" s="2421" t="s">
        <v>28</v>
      </c>
      <c r="G49" s="3637"/>
      <c r="H49" s="2309" t="s">
        <v>2132</v>
      </c>
      <c r="I49" s="2310"/>
      <c r="J49" s="2520">
        <v>4</v>
      </c>
      <c r="K49" s="3631" t="str">
        <f>IF(项目基本情况!E8="房地产抵押价值","房地产抵押价值","抵押担保权已注销时的房地产抵押价值")</f>
        <v>房地产抵押价值</v>
      </c>
      <c r="L49" s="3631"/>
      <c r="M49" s="3653">
        <f ca="1">IF(项目基本情况!E8="房地产抵押价值",H107,H109)</f>
        <v>24656</v>
      </c>
      <c r="N49" s="3653"/>
      <c r="O49" s="3653"/>
    </row>
    <row r="50" spans="1:35" ht="25.5" customHeight="1">
      <c r="A50" s="2548"/>
      <c r="B50" s="3567" t="s">
        <v>1343</v>
      </c>
      <c r="C50" s="3567"/>
      <c r="D50" s="2549"/>
      <c r="E50" s="332"/>
      <c r="F50" s="2421"/>
      <c r="G50" s="3638"/>
      <c r="H50" s="2311" t="s">
        <v>2133</v>
      </c>
      <c r="I50" s="2310"/>
      <c r="J50" s="3650" t="s">
        <v>1344</v>
      </c>
      <c r="K50" s="3650"/>
      <c r="L50" s="3650"/>
      <c r="M50" s="3650"/>
      <c r="N50" s="3650"/>
      <c r="O50" s="3650"/>
    </row>
    <row r="51" spans="1:35" ht="20.45" customHeight="1">
      <c r="A51" s="2550"/>
      <c r="B51" s="3567" t="s">
        <v>1345</v>
      </c>
      <c r="C51" s="3567"/>
      <c r="D51" s="1087"/>
      <c r="E51" s="327"/>
      <c r="F51" s="2421"/>
      <c r="G51" s="3639"/>
      <c r="H51" s="2311" t="s">
        <v>2134</v>
      </c>
      <c r="I51" s="2310"/>
      <c r="J51" s="2521" t="s">
        <v>1346</v>
      </c>
      <c r="K51" s="3631" t="s">
        <v>1347</v>
      </c>
      <c r="L51" s="3631"/>
      <c r="M51" s="2521" t="s">
        <v>1348</v>
      </c>
      <c r="N51" s="2521" t="s">
        <v>1349</v>
      </c>
      <c r="O51" s="2521" t="s">
        <v>1350</v>
      </c>
    </row>
    <row r="52" spans="1:35" ht="24" customHeight="1">
      <c r="A52" s="2334" t="s">
        <v>1351</v>
      </c>
      <c r="B52" s="3567" t="s">
        <v>1352</v>
      </c>
      <c r="C52" s="3567"/>
      <c r="D52" s="1087">
        <f ca="1">ROUND(D45*'数据-取费表'!B41/(1+'数据-取费表'!C42),0)</f>
        <v>1292</v>
      </c>
      <c r="E52" s="2333" t="s">
        <v>1353</v>
      </c>
      <c r="F52" s="2551">
        <f>'数据-取费表'!B41</f>
        <v>5.5000000000000007E-2</v>
      </c>
      <c r="G52" s="2552"/>
      <c r="H52" s="2541"/>
      <c r="I52" s="1806"/>
      <c r="J52" s="2520">
        <v>1</v>
      </c>
      <c r="K52" s="3632" t="s">
        <v>1354</v>
      </c>
      <c r="L52" s="3632"/>
      <c r="M52" s="2522" t="b">
        <f>D48</f>
        <v>0</v>
      </c>
      <c r="N52" s="2520" t="str">
        <f>E48</f>
        <v>销售额×税（费）率</v>
      </c>
      <c r="O52" s="2523">
        <f>F48</f>
        <v>5.5000000000000007E-2</v>
      </c>
    </row>
    <row r="53" spans="1:35" ht="12" customHeight="1">
      <c r="A53" s="2334" t="s">
        <v>1355</v>
      </c>
      <c r="B53" s="3593" t="s">
        <v>2289</v>
      </c>
      <c r="C53" s="3594"/>
      <c r="D53" s="1087">
        <f ca="1">ROUND(D45*'数据-取费表'!B41/(1+'数据-取费表'!C42),0)</f>
        <v>1292</v>
      </c>
      <c r="E53" s="2333" t="s">
        <v>1353</v>
      </c>
      <c r="F53" s="2551">
        <f>'数据-取费表'!B41</f>
        <v>5.5000000000000007E-2</v>
      </c>
      <c r="G53" s="2552"/>
      <c r="H53" s="2541"/>
      <c r="I53" s="1806"/>
      <c r="J53" s="2520">
        <v>2</v>
      </c>
      <c r="K53" s="3632" t="s">
        <v>1356</v>
      </c>
      <c r="L53" s="3632"/>
      <c r="M53" s="2522">
        <f t="shared" ref="M53:O54" ca="1" si="0">D55</f>
        <v>12</v>
      </c>
      <c r="N53" s="2520" t="str">
        <f t="shared" si="0"/>
        <v>销售额×税（费）率</v>
      </c>
      <c r="O53" s="2523" t="str">
        <f t="shared" si="0"/>
        <v>免征</v>
      </c>
    </row>
    <row r="54" spans="1:35" ht="12" customHeight="1">
      <c r="A54" s="2334" t="s">
        <v>1357</v>
      </c>
      <c r="B54" s="3593" t="s">
        <v>2290</v>
      </c>
      <c r="C54" s="3594"/>
      <c r="D54" s="1087">
        <f ca="1">C68</f>
        <v>1292</v>
      </c>
      <c r="E54" s="327" t="s">
        <v>1358</v>
      </c>
      <c r="F54" s="2551">
        <f>'数据-取费表'!B41</f>
        <v>5.5000000000000007E-2</v>
      </c>
      <c r="G54" s="2552"/>
      <c r="H54" s="2553"/>
      <c r="I54" s="1806"/>
      <c r="J54" s="2520">
        <v>3</v>
      </c>
      <c r="K54" s="3632" t="s">
        <v>1359</v>
      </c>
      <c r="L54" s="3632"/>
      <c r="M54" s="2522">
        <f t="shared" ca="1" si="0"/>
        <v>13978</v>
      </c>
      <c r="N54" s="2520" t="str">
        <f t="shared" si="0"/>
        <v>增值额×税（费）率</v>
      </c>
      <c r="O54" s="2524" t="str">
        <f t="shared" si="0"/>
        <v>免征</v>
      </c>
    </row>
    <row r="55" spans="1:35" ht="24" customHeight="1">
      <c r="A55" s="3582" t="s">
        <v>1360</v>
      </c>
      <c r="B55" s="3583"/>
      <c r="C55" s="3583"/>
      <c r="D55" s="2323">
        <f ca="1">IF(H55="个人住宅",0,ROUND(D45*I55,0))</f>
        <v>12</v>
      </c>
      <c r="E55" s="2333" t="s">
        <v>1361</v>
      </c>
      <c r="F55" s="2551" t="str">
        <f>IF(H55="正常",I55,"免征")</f>
        <v>免征</v>
      </c>
      <c r="G55" s="2552"/>
      <c r="H55" s="2547"/>
      <c r="I55" s="165">
        <f>'数据-取费表'!B49</f>
        <v>5.0000000000000001E-4</v>
      </c>
      <c r="J55" s="2520">
        <f>IF(H59="非个人房产","",4)</f>
        <v>4</v>
      </c>
      <c r="K55" s="3632" t="str">
        <f>IF(H59="非个人房产","——","个人所得税")</f>
        <v>个人所得税</v>
      </c>
      <c r="L55" s="3632"/>
      <c r="M55" s="2525">
        <f ca="1">D59</f>
        <v>235</v>
      </c>
      <c r="N55" s="2039" t="str">
        <f>E59</f>
        <v>差额计税</v>
      </c>
      <c r="O55" s="2526">
        <f>F59</f>
        <v>0.01</v>
      </c>
    </row>
    <row r="56" spans="1:35" ht="24.75">
      <c r="A56" s="3582" t="s">
        <v>1362</v>
      </c>
      <c r="B56" s="3583"/>
      <c r="C56" s="3583"/>
      <c r="D56" s="2323">
        <f ca="1">IF(H56="个人住宅",D57,D58)</f>
        <v>13978</v>
      </c>
      <c r="E56" s="2333" t="s">
        <v>1363</v>
      </c>
      <c r="F56" s="2551" t="str">
        <f>IF(H56="正常",F58,"免征")</f>
        <v>免征</v>
      </c>
      <c r="G56" s="2554" t="s">
        <v>1364</v>
      </c>
      <c r="H56" s="2555"/>
      <c r="I56" s="1807"/>
      <c r="J56" s="2520" t="str">
        <f>IF(项目基本情况!K6="上海银行",IF(J55="",4,J55+1),"")</f>
        <v/>
      </c>
      <c r="K56" s="3655" t="str">
        <f>IF(项目基本情况!K6="上海银行","其他处置费用","")</f>
        <v/>
      </c>
      <c r="L56" s="3656"/>
      <c r="M56" s="2522" t="str">
        <f>IF(项目基本情况!K6="上海银行",M69,"")</f>
        <v/>
      </c>
      <c r="N56" s="3655" t="str">
        <f>IF(项目基本情况!K6="上海银行","包含处置中涉及的律师、诉讼、拍卖、评估等费用","")</f>
        <v/>
      </c>
      <c r="O56" s="3658"/>
    </row>
    <row r="57" spans="1:35" ht="12.75">
      <c r="A57" s="2334" t="s">
        <v>1340</v>
      </c>
      <c r="B57" s="3593" t="s">
        <v>1365</v>
      </c>
      <c r="C57" s="3594"/>
      <c r="D57" s="1589">
        <v>0</v>
      </c>
      <c r="E57" s="324" t="s">
        <v>1342</v>
      </c>
      <c r="F57" s="302"/>
      <c r="G57" s="2552"/>
      <c r="H57" s="2556"/>
      <c r="I57" s="1807"/>
      <c r="J57" s="3632">
        <f>IF(AND(J55="",J56=""),4,IF(项目基本情况!K6="上海银行",结果表!J56+1,结果表!J55+1))</f>
        <v>5</v>
      </c>
      <c r="K57" s="3632" t="s">
        <v>1366</v>
      </c>
      <c r="L57" s="2527" t="s">
        <v>1367</v>
      </c>
      <c r="M57" s="2528"/>
      <c r="N57" s="2529">
        <f ca="1">SUMIF(M52:M56,"&lt;9e307")</f>
        <v>14225</v>
      </c>
      <c r="O57" s="2530"/>
      <c r="P57" s="2686">
        <f ca="1">N57/M49</f>
        <v>0.57693867618429595</v>
      </c>
    </row>
    <row r="58" spans="1:35" ht="24.75">
      <c r="A58" s="2334" t="s">
        <v>1351</v>
      </c>
      <c r="B58" s="3593" t="s">
        <v>1368</v>
      </c>
      <c r="C58" s="3567"/>
      <c r="D58" s="2323">
        <f ca="1">IF(H58="转让取得",C81,C97)</f>
        <v>13978</v>
      </c>
      <c r="E58" s="2333" t="s">
        <v>1363</v>
      </c>
      <c r="F58" s="302" t="s">
        <v>28</v>
      </c>
      <c r="G58" s="2552"/>
      <c r="H58" s="2555"/>
      <c r="I58" s="1807"/>
      <c r="J58" s="3632"/>
      <c r="K58" s="3632"/>
      <c r="L58" s="2527" t="s">
        <v>1369</v>
      </c>
      <c r="M58" s="2531"/>
      <c r="N58" s="2532" t="str">
        <f ca="1">NUMBERSTRING(INT(N57*10000),2)&amp;"元整"</f>
        <v>壹亿肆仟贰佰贰拾伍万元整</v>
      </c>
      <c r="O58" s="2533"/>
    </row>
    <row r="59" spans="1:35" ht="24.75" thickBot="1">
      <c r="A59" s="3635" t="s">
        <v>1370</v>
      </c>
      <c r="B59" s="3636"/>
      <c r="C59" s="3636"/>
      <c r="D59" s="2557">
        <f ca="1">IF(H59="非个人房产","——",IF(H59="个人住宅（满五唯一有凭证）",0,IF(H59="个人其他（无凭证）",ROUND(D45*F59,0),ROUND(C67*F59,0))))</f>
        <v>235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3"/>
      <c r="I59" s="2312" t="s">
        <v>2135</v>
      </c>
      <c r="J59" s="3633">
        <f>J57+1</f>
        <v>6</v>
      </c>
      <c r="K59" s="3632" t="s">
        <v>1371</v>
      </c>
      <c r="L59" s="2520" t="s">
        <v>1367</v>
      </c>
      <c r="M59" s="2534"/>
      <c r="N59" s="2535">
        <f ca="1">M49-N57</f>
        <v>10431</v>
      </c>
      <c r="O59" s="2536"/>
    </row>
    <row r="60" spans="1:35" ht="12" customHeight="1">
      <c r="A60" s="1808"/>
      <c r="B60" s="1746"/>
      <c r="C60" s="1746"/>
      <c r="D60" s="1746"/>
      <c r="E60" s="1577"/>
      <c r="F60" s="1807"/>
      <c r="G60" s="1807"/>
      <c r="H60" s="1809"/>
      <c r="I60" s="129"/>
      <c r="J60" s="3634"/>
      <c r="K60" s="3632"/>
      <c r="L60" s="2527" t="s">
        <v>1369</v>
      </c>
      <c r="M60" s="2531"/>
      <c r="N60" s="2532" t="str">
        <f ca="1">NUMBERSTRING(INT(N59*10000),2)&amp;"元整"</f>
        <v>壹亿零肆佰叁拾壹万元整</v>
      </c>
      <c r="O60" s="2533"/>
    </row>
    <row r="61" spans="1:35" ht="13.5" thickBot="1">
      <c r="A61" s="3580" t="s">
        <v>1372</v>
      </c>
      <c r="B61" s="3580"/>
      <c r="C61" s="3580"/>
      <c r="D61" s="3580"/>
      <c r="E61" s="3580"/>
      <c r="F61" s="1807"/>
      <c r="G61" s="1807"/>
      <c r="H61" s="1809"/>
      <c r="I61" s="129"/>
      <c r="J61" s="2520">
        <f>J59+1</f>
        <v>7</v>
      </c>
      <c r="K61" s="3632" t="s">
        <v>1373</v>
      </c>
      <c r="L61" s="3632"/>
      <c r="M61" s="2537"/>
      <c r="N61" s="2538">
        <f ca="1">ROUND(N59*10000/'数据-汇总表'!E3,0)</f>
        <v>2190</v>
      </c>
      <c r="O61" s="2539"/>
    </row>
    <row r="62" spans="1:35" ht="12.75">
      <c r="A62" s="3598" t="s">
        <v>1374</v>
      </c>
      <c r="B62" s="3599"/>
      <c r="C62" s="2020"/>
      <c r="D62" s="2020" t="s">
        <v>1375</v>
      </c>
      <c r="E62" s="166" t="s">
        <v>1376</v>
      </c>
      <c r="F62" s="1807"/>
      <c r="G62" s="1807"/>
      <c r="H62" s="1809"/>
      <c r="I62" s="129"/>
    </row>
    <row r="63" spans="1:35" ht="12.75">
      <c r="A63" s="173" t="s">
        <v>330</v>
      </c>
      <c r="B63" s="167" t="s">
        <v>1377</v>
      </c>
      <c r="C63" s="2561">
        <f ca="1">ROUND((C64+C65)/(1+'数据-取费表'!C42),0)</f>
        <v>23482</v>
      </c>
      <c r="D63" s="167"/>
      <c r="E63" s="168"/>
      <c r="F63" s="1807"/>
      <c r="G63" s="1807"/>
      <c r="H63" s="1809"/>
      <c r="I63" s="129"/>
      <c r="J63" s="3657" t="s">
        <v>1378</v>
      </c>
      <c r="K63" s="1331" t="s">
        <v>1379</v>
      </c>
      <c r="L63" s="1331">
        <f ca="1">IF(M49&gt;10000,M49*0.5%,IF(AND(M49&gt;1000,M49&lt;=10000),M49*1%,IF(AND(M49&gt;100,M49&lt;=1000),M49*3%,IF(AND(M49&gt;10,M49&lt;=100),M49*5%,M49*8%))))</f>
        <v>123.28</v>
      </c>
      <c r="M63" s="302">
        <f ca="1">ROUND(L63,1)</f>
        <v>123.3</v>
      </c>
      <c r="N63" s="2540"/>
      <c r="Z63" s="1751"/>
      <c r="AI63" s="1752"/>
    </row>
    <row r="64" spans="1:35" ht="14.25" customHeight="1">
      <c r="A64" s="169" t="s">
        <v>325</v>
      </c>
      <c r="B64" s="170" t="s">
        <v>1380</v>
      </c>
      <c r="C64" s="2562">
        <f ca="1">D45</f>
        <v>24656</v>
      </c>
      <c r="D64" s="170" t="s">
        <v>26</v>
      </c>
      <c r="E64" s="172"/>
      <c r="F64" s="1807"/>
      <c r="G64" s="1807"/>
      <c r="H64" s="1809"/>
      <c r="I64" s="129"/>
      <c r="J64" s="3657"/>
      <c r="K64" s="1331" t="s">
        <v>1381</v>
      </c>
      <c r="L64" s="1331">
        <f ca="1">IF(M49&gt;2000,M49*0.5%,IF(AND(M49&gt;1000,M49&lt;=2000),M49*0.6%,IF(AND(M49&gt;500,M49&lt;=1000),M49*0.7%,IF(AND(M49&gt;200,M49&lt;=500),M49*0.8%,IF(AND(M49&gt;100,M49&lt;=200),M49*0.9%,IF(AND(M49&gt;50,M49&lt;=100),M49*1%,IF(AND(M49&gt;20,M49&lt;=50),M49*1.5%,IF(AND(M49&gt;10,M49&lt;=20),M49*2%,IF(AND(M49&gt;1,M49&lt;=10),M49*2.5%)))))))))</f>
        <v>123.28</v>
      </c>
      <c r="M64" s="302">
        <f t="shared" ref="M64:M65" ca="1" si="1">ROUND(L64,1)</f>
        <v>123.3</v>
      </c>
      <c r="N64" s="2541" t="s">
        <v>1382</v>
      </c>
      <c r="Z64" s="1751"/>
      <c r="AI64" s="1752"/>
    </row>
    <row r="65" spans="1:35" ht="14.25" customHeight="1">
      <c r="A65" s="169" t="s">
        <v>326</v>
      </c>
      <c r="B65" s="170" t="s">
        <v>1383</v>
      </c>
      <c r="C65" s="2563"/>
      <c r="D65" s="170"/>
      <c r="E65" s="172"/>
      <c r="F65" s="1807"/>
      <c r="G65" s="1807"/>
      <c r="H65" s="1809"/>
      <c r="I65" s="129"/>
      <c r="J65" s="3657"/>
      <c r="K65" s="1331" t="s">
        <v>1384</v>
      </c>
      <c r="L65" s="1331">
        <f ca="1">IF(M49&gt;1000,M49*0.1%,IF(AND(M49&gt;500,M49&lt;=1000),M49*0.5%,IF(AND(M49&gt;50,M49&lt;=500),M49*1%,IF(AND(M49&gt;1,M49&lt;=50),M49*1.5%))))</f>
        <v>24.655999999999999</v>
      </c>
      <c r="M65" s="302">
        <f t="shared" ca="1" si="1"/>
        <v>24.7</v>
      </c>
      <c r="N65" s="2541" t="s">
        <v>1382</v>
      </c>
      <c r="Z65" s="1751"/>
      <c r="AI65" s="1752"/>
    </row>
    <row r="66" spans="1:35" ht="14.25" customHeight="1">
      <c r="A66" s="173" t="s">
        <v>327</v>
      </c>
      <c r="B66" s="174" t="s">
        <v>1385</v>
      </c>
      <c r="C66" s="2564"/>
      <c r="D66" s="174" t="s">
        <v>26</v>
      </c>
      <c r="E66" s="1337" t="s">
        <v>671</v>
      </c>
      <c r="F66" s="1807"/>
      <c r="G66" s="1807"/>
      <c r="H66" s="1809"/>
      <c r="I66" s="129"/>
      <c r="J66" s="3657"/>
      <c r="K66" s="1331" t="s">
        <v>1386</v>
      </c>
      <c r="L66" s="1331">
        <f ca="1">M49*0.5%</f>
        <v>123.28</v>
      </c>
      <c r="M66" s="302">
        <f ca="1">IF(L66&gt;0.5,0.5,ROUND(L66,0))</f>
        <v>0.5</v>
      </c>
      <c r="N66" s="2541" t="s">
        <v>1387</v>
      </c>
      <c r="Z66" s="1751"/>
      <c r="AI66" s="1752"/>
    </row>
    <row r="67" spans="1:35" ht="14.25" customHeight="1">
      <c r="A67" s="173" t="s">
        <v>328</v>
      </c>
      <c r="B67" s="174" t="s">
        <v>1388</v>
      </c>
      <c r="C67" s="2565">
        <f ca="1">C63-C66</f>
        <v>23482</v>
      </c>
      <c r="D67" s="170" t="s">
        <v>26</v>
      </c>
      <c r="E67" s="172"/>
      <c r="F67" s="1807"/>
      <c r="G67" s="1807"/>
      <c r="H67" s="1809"/>
      <c r="I67" s="129"/>
      <c r="J67" s="3657"/>
      <c r="K67" s="1331" t="s">
        <v>1389</v>
      </c>
      <c r="L67" s="1331">
        <f ca="1">IF(M49&gt;=10000,(8.25+(M49-10000)*0.01%),IF(AND(M49&gt;=8000,M49&lt;10000),(7.85+(M49-8000)*0.02%),IF(AND(M49&gt;=5000,M49&lt;8000),(6.65+(M49-5000)*0.04%),IF(AND(M49&gt;=2000,M49&lt;5000),(4.25+(PM49-2000)*0.08%),IF(AND(M49&gt;=1000,M49&lt;2000),(2.75+(M49-1000)*0.15%),IF(AND(M49&gt;=100,M49&lt;1000),(0.5+(M49-100)*0.25%),IF(AND(M49&gt;0,M49&lt;100),M49*0.5%)))))))</f>
        <v>9.7156000000000002</v>
      </c>
      <c r="M67" s="302">
        <f ca="1">ROUND(L67*0.9,1)</f>
        <v>8.6999999999999993</v>
      </c>
      <c r="N67" s="2540"/>
      <c r="Z67" s="1751"/>
      <c r="AI67" s="1752"/>
    </row>
    <row r="68" spans="1:35" ht="14.25" customHeight="1" thickBot="1">
      <c r="A68" s="176" t="s">
        <v>329</v>
      </c>
      <c r="B68" s="177" t="s">
        <v>1390</v>
      </c>
      <c r="C68" s="2566">
        <f ca="1">IF(C67&lt;=0,0,ROUND(C67*D68,0))</f>
        <v>1292</v>
      </c>
      <c r="D68" s="2567">
        <f>'数据-取费表'!B41</f>
        <v>5.5000000000000007E-2</v>
      </c>
      <c r="E68" s="178"/>
      <c r="F68" s="1807"/>
      <c r="G68" s="1807"/>
      <c r="H68" s="1809"/>
      <c r="I68" s="129"/>
      <c r="J68" s="3657"/>
      <c r="K68" s="1331" t="s">
        <v>1391</v>
      </c>
      <c r="L68" s="1331">
        <f ca="1">IF(M49&gt;10000,M49*0.5%,IF(AND(M49&gt;5000,M49&lt;=10000),M49*1%,IF(AND(M49&gt;1000,M49&lt;=5000),M49*2%,IF(AND(M49&gt;200,M49&lt;=1000),M49*3%,M49*5%))))</f>
        <v>123.28</v>
      </c>
      <c r="M68" s="302">
        <f ca="1">ROUND(L68,1)</f>
        <v>123.3</v>
      </c>
      <c r="N68" s="2540"/>
      <c r="Z68" s="1751"/>
      <c r="AI68" s="1752"/>
    </row>
    <row r="69" spans="1:35" s="1771" customFormat="1" ht="16.5" customHeight="1">
      <c r="A69" s="1810"/>
      <c r="B69" s="1811"/>
      <c r="C69" s="1812"/>
      <c r="D69" s="1813"/>
      <c r="E69" s="1814"/>
      <c r="F69" s="1577"/>
      <c r="G69" s="1577"/>
      <c r="H69" s="1576"/>
      <c r="I69" s="1746"/>
      <c r="J69" s="3657"/>
      <c r="K69" s="1331" t="s">
        <v>1392</v>
      </c>
      <c r="L69" s="1331"/>
      <c r="M69" s="302">
        <f ca="1">ROUND(SUM(M63:M68),0)</f>
        <v>404</v>
      </c>
      <c r="N69" s="2542">
        <f ca="1">M69/M49</f>
        <v>1.6385463984425697E-2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9" t="s">
        <v>1393</v>
      </c>
      <c r="B70" s="3620"/>
      <c r="C70" s="3620"/>
      <c r="D70" s="3620"/>
      <c r="E70" s="3620"/>
      <c r="F70" s="3620"/>
      <c r="G70" s="3620"/>
      <c r="H70" s="362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8" t="s">
        <v>1374</v>
      </c>
      <c r="B71" s="3599"/>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23482</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117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593" t="s">
        <v>1401</v>
      </c>
      <c r="F76" s="3567"/>
      <c r="G76" s="3567"/>
      <c r="H76" s="361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117</v>
      </c>
      <c r="D78" s="2574">
        <f>'数据-取费表'!B43</f>
        <v>5.000000000000001E-3</v>
      </c>
      <c r="E78" s="3577" t="s">
        <v>1405</v>
      </c>
      <c r="F78" s="3578"/>
      <c r="G78" s="3578"/>
      <c r="H78" s="358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23365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199.70085470085471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13978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9" t="s">
        <v>1409</v>
      </c>
      <c r="B83" s="3620"/>
      <c r="C83" s="3620"/>
      <c r="D83" s="3620"/>
      <c r="E83" s="3620"/>
      <c r="F83" s="3620"/>
      <c r="G83" s="3620"/>
      <c r="H83" s="362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8" t="s">
        <v>1374</v>
      </c>
      <c r="B84" s="3599"/>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23482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117</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6"/>
      <c r="G88" s="194" t="s">
        <v>1413</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6"/>
      <c r="G90" s="3659" t="s">
        <v>2127</v>
      </c>
      <c r="H90" s="3660"/>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577" t="s">
        <v>1418</v>
      </c>
      <c r="F91" s="3578"/>
      <c r="G91" s="357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577" t="s">
        <v>1421</v>
      </c>
      <c r="F92" s="3578"/>
      <c r="G92" s="3578"/>
      <c r="H92" s="3587"/>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117</v>
      </c>
      <c r="D93" s="2574">
        <f>'数据-取费表'!B43</f>
        <v>5.000000000000001E-3</v>
      </c>
      <c r="E93" s="3577" t="s">
        <v>1405</v>
      </c>
      <c r="F93" s="3578"/>
      <c r="G93" s="3578"/>
      <c r="H93" s="358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588" t="s">
        <v>1425</v>
      </c>
      <c r="F94" s="3589"/>
      <c r="G94" s="3589"/>
      <c r="H94" s="359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23365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199.70085470085471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13978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1" t="s">
        <v>1427</v>
      </c>
      <c r="B100" s="3562"/>
      <c r="C100" s="3562"/>
      <c r="D100" s="3579"/>
      <c r="E100" s="3562" t="s">
        <v>1428</v>
      </c>
      <c r="F100" s="3562"/>
      <c r="G100" s="3562"/>
      <c r="H100" s="3579"/>
      <c r="I100" s="129"/>
    </row>
    <row r="101" spans="1:35" ht="18.75" customHeight="1">
      <c r="A101" s="3640" t="s">
        <v>1429</v>
      </c>
      <c r="B101" s="3641"/>
      <c r="C101" s="2582" t="str">
        <f>C4</f>
        <v>成本法</v>
      </c>
      <c r="D101" s="2583" t="str">
        <f>D4</f>
        <v>假设开发法</v>
      </c>
      <c r="E101" s="3654" t="s">
        <v>1430</v>
      </c>
      <c r="F101" s="3611"/>
      <c r="G101" s="1826" t="s">
        <v>1431</v>
      </c>
      <c r="H101" s="2592">
        <f ca="1">H118</f>
        <v>24656</v>
      </c>
      <c r="I101" s="129"/>
    </row>
    <row r="102" spans="1:35" ht="18.75" customHeight="1">
      <c r="A102" s="3613" t="s">
        <v>1432</v>
      </c>
      <c r="B102" s="2581" t="s">
        <v>1431</v>
      </c>
      <c r="C102" s="2582">
        <f ca="1">IF(D32="楼面单价",ROUND(C19,0),C19)</f>
        <v>24563</v>
      </c>
      <c r="D102" s="2583">
        <f ca="1">IF(D32="楼面单价",ROUND(D19,0),D19)</f>
        <v>24748</v>
      </c>
      <c r="E102" s="3654"/>
      <c r="F102" s="3611"/>
      <c r="G102" s="1826" t="s">
        <v>1433</v>
      </c>
      <c r="H102" s="2552">
        <f ca="1">I118</f>
        <v>5178</v>
      </c>
      <c r="I102" s="129"/>
    </row>
    <row r="103" spans="1:35" ht="42.75" customHeight="1">
      <c r="A103" s="3613"/>
      <c r="B103" s="2581" t="s">
        <v>1433</v>
      </c>
      <c r="C103" s="2584">
        <f ca="1">C20</f>
        <v>5158</v>
      </c>
      <c r="D103" s="2585">
        <f ca="1">D20</f>
        <v>5197</v>
      </c>
      <c r="E103" s="3648" t="s">
        <v>1434</v>
      </c>
      <c r="F103" s="3649"/>
      <c r="G103" s="1827" t="s">
        <v>1435</v>
      </c>
      <c r="H103" s="2592">
        <f>IF(D36="正常操作",H104+H105+H106,H105+H106)</f>
        <v>0</v>
      </c>
      <c r="I103" s="129"/>
    </row>
    <row r="104" spans="1:35" ht="18.75" customHeight="1">
      <c r="A104" s="3613" t="s">
        <v>1436</v>
      </c>
      <c r="B104" s="2586" t="s">
        <v>1431</v>
      </c>
      <c r="C104" s="2587">
        <f ca="1">H118</f>
        <v>24656</v>
      </c>
      <c r="D104" s="2588"/>
      <c r="E104" s="1673" t="s">
        <v>1437</v>
      </c>
      <c r="F104" s="1665"/>
      <c r="G104" s="1827" t="s">
        <v>1435</v>
      </c>
      <c r="H104" s="2593">
        <f>IF(D36="同一抵押权人同一抵押物续贷",C36&amp;"（续贷，未扣减，详见特别提示）",C36)</f>
        <v>0</v>
      </c>
      <c r="I104" s="129"/>
    </row>
    <row r="105" spans="1:35" ht="18.75" customHeight="1" thickBot="1">
      <c r="A105" s="3614"/>
      <c r="B105" s="2589" t="s">
        <v>1433</v>
      </c>
      <c r="C105" s="2590">
        <f ca="1">I118</f>
        <v>5178</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610" t="str">
        <f>IF(项目基本情况!E8="已注销","——","3.房地产抵押价值")</f>
        <v>3.房地产抵押价值</v>
      </c>
      <c r="F107" s="3611"/>
      <c r="G107" s="1826" t="s">
        <v>1431</v>
      </c>
      <c r="H107" s="2592">
        <f ca="1">IF(E107="——","——",H101-H103)</f>
        <v>24656</v>
      </c>
      <c r="I107" s="129"/>
    </row>
    <row r="108" spans="1:35" ht="18.75" customHeight="1">
      <c r="A108" s="129"/>
      <c r="B108" s="129"/>
      <c r="C108" s="129"/>
      <c r="D108" s="129"/>
      <c r="E108" s="3610"/>
      <c r="F108" s="3611"/>
      <c r="G108" s="1826" t="s">
        <v>1433</v>
      </c>
      <c r="H108" s="2552">
        <f ca="1">IF(H107=H101,H102,ROUND(H107*10000/'数据-汇总表'!E3,0))</f>
        <v>5178</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6" t="s">
        <v>1431</v>
      </c>
      <c r="H109" s="2595" t="str">
        <f>IF(E109="——","——",H101-H105-H106)</f>
        <v>——</v>
      </c>
      <c r="I109" s="129"/>
    </row>
    <row r="110" spans="1:35" ht="18.75" customHeight="1">
      <c r="A110" s="129"/>
      <c r="B110" s="129"/>
      <c r="C110" s="129"/>
      <c r="D110" s="129"/>
      <c r="E110" s="3610"/>
      <c r="F110" s="3611"/>
      <c r="G110" s="1826" t="s">
        <v>1433</v>
      </c>
      <c r="H110" s="2552"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6" t="s">
        <v>1431</v>
      </c>
      <c r="H111" s="2592" t="str">
        <f>IF(E111="——","——",N59)</f>
        <v>——</v>
      </c>
      <c r="I111" s="129"/>
    </row>
    <row r="112" spans="1:35" ht="18.75" customHeight="1" thickBot="1">
      <c r="A112" s="129"/>
      <c r="B112" s="129"/>
      <c r="C112" s="129"/>
      <c r="D112" s="129"/>
      <c r="E112" s="3643"/>
      <c r="F112" s="3644"/>
      <c r="G112" s="1829" t="s">
        <v>1433</v>
      </c>
      <c r="H112" s="2596" t="str">
        <f>IF(E111="——","——",N61)</f>
        <v>——</v>
      </c>
      <c r="I112" s="129"/>
    </row>
    <row r="113" spans="1:27" ht="18.75" customHeight="1">
      <c r="A113" s="129"/>
      <c r="B113" s="129"/>
      <c r="C113" s="129"/>
      <c r="D113" s="129"/>
      <c r="E113" s="3615" t="s">
        <v>1439</v>
      </c>
      <c r="F113" s="3615"/>
      <c r="G113" s="3615"/>
      <c r="H113" s="3615"/>
      <c r="I113" s="129"/>
    </row>
    <row r="114" spans="1:27" ht="3.75" customHeight="1">
      <c r="A114" s="1746"/>
      <c r="B114" s="1746"/>
      <c r="C114" s="1746"/>
      <c r="D114" s="1746"/>
      <c r="E114" s="1808"/>
      <c r="F114" s="1808"/>
      <c r="G114" s="1808"/>
      <c r="H114" s="1808"/>
      <c r="I114" s="1746"/>
    </row>
    <row r="115" spans="1:27" ht="18.75" customHeight="1">
      <c r="A115" s="3625" t="s">
        <v>1441</v>
      </c>
      <c r="B115" s="3626"/>
      <c r="C115" s="3626"/>
      <c r="D115" s="3626"/>
      <c r="E115" s="3626"/>
      <c r="F115" s="3626"/>
      <c r="G115" s="3626"/>
      <c r="H115" s="3626"/>
      <c r="I115" s="3627"/>
    </row>
    <row r="116" spans="1:27" ht="27" customHeight="1">
      <c r="A116" s="3581" t="s">
        <v>1442</v>
      </c>
      <c r="B116" s="3616" t="s">
        <v>1443</v>
      </c>
      <c r="C116" s="3616" t="s">
        <v>1444</v>
      </c>
      <c r="D116" s="3629" t="s">
        <v>1445</v>
      </c>
      <c r="E116" s="3630"/>
      <c r="F116" s="3624" t="s">
        <v>1446</v>
      </c>
      <c r="G116" s="3624"/>
      <c r="H116" s="3581" t="s">
        <v>1447</v>
      </c>
      <c r="I116" s="3581"/>
    </row>
    <row r="117" spans="1:27" ht="18.75" customHeight="1">
      <c r="A117" s="3581"/>
      <c r="B117" s="3617"/>
      <c r="C117" s="3617"/>
      <c r="D117" s="2328" t="s">
        <v>1448</v>
      </c>
      <c r="E117" s="2328" t="s">
        <v>1449</v>
      </c>
      <c r="F117" s="2328" t="s">
        <v>1448</v>
      </c>
      <c r="G117" s="2328" t="s">
        <v>1450</v>
      </c>
      <c r="H117" s="2328" t="s">
        <v>1448</v>
      </c>
      <c r="I117" s="2328" t="s">
        <v>1450</v>
      </c>
    </row>
    <row r="118" spans="1:27" ht="24.75" customHeight="1">
      <c r="A118" s="2597" t="str">
        <f>项目基本情况!S2</f>
        <v>北京市顺义区赵全营镇板桥村房地产</v>
      </c>
      <c r="B118" s="2328">
        <f>M18</f>
        <v>47621.420000000006</v>
      </c>
      <c r="C118" s="2328">
        <f>M19</f>
        <v>17833.27</v>
      </c>
      <c r="D118" s="2328">
        <f ca="1">ROUND(IF(D32="总价",C34,E118*B118/10000),0)</f>
        <v>6854</v>
      </c>
      <c r="E118" s="2328">
        <f ca="1">ROUND(IF(C33="自定义",IF(D32="楼面单价",C34,D118*10000/B118),I118-G118),0)</f>
        <v>1440</v>
      </c>
      <c r="F118" s="2328">
        <f ca="1">ROUND(IF(D32="总价",C35,G118*B118/10000),0)</f>
        <v>17802</v>
      </c>
      <c r="G118" s="2328">
        <f ca="1">ROUND(IF(D32="楼面单价",C35,F118*10000/B118),0)</f>
        <v>3738</v>
      </c>
      <c r="H118" s="2328">
        <f ca="1">ROUND(IF(D32="总价",C32,I118*B118/10000),0)</f>
        <v>24656</v>
      </c>
      <c r="I118" s="2328">
        <f ca="1">ROUND(IF(D32="楼面单价",C32,H118*10000/B118),0)</f>
        <v>5178</v>
      </c>
    </row>
    <row r="119" spans="1:27" ht="18.75" customHeight="1">
      <c r="A119" s="3581" t="s">
        <v>1451</v>
      </c>
      <c r="B119" s="3581"/>
      <c r="C119" s="3581"/>
      <c r="D119" s="3621" t="str">
        <f ca="1">NUMBERSTRING(INT(D118*10000),2)&amp;"元整"</f>
        <v>陆仟捌佰伍拾肆万元整</v>
      </c>
      <c r="E119" s="3623"/>
      <c r="F119" s="3621" t="str">
        <f ca="1">NUMBERSTRING(INT(F118*10000),2)&amp;"元整"</f>
        <v>壹亿柒仟捌佰零贰万元整</v>
      </c>
      <c r="G119" s="3623"/>
      <c r="H119" s="3621" t="str">
        <f ca="1">NUMBERSTRING(INT(H118*10000),2)&amp;"元整"</f>
        <v>贰亿肆仟陆佰伍拾陆万元整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1" t="s">
        <v>1451</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24656</v>
      </c>
      <c r="E122" s="3646"/>
      <c r="F122" s="3646"/>
      <c r="G122" s="3646"/>
      <c r="H122" s="3646"/>
      <c r="I122" s="3647"/>
      <c r="AA122" s="725"/>
    </row>
    <row r="123" spans="1:27" ht="18.75" customHeight="1">
      <c r="A123" s="3581" t="s">
        <v>1451</v>
      </c>
      <c r="B123" s="3581"/>
      <c r="C123" s="3581"/>
      <c r="D123" s="3621" t="str">
        <f ca="1">NUMBERSTRING(INT(D122*10000),2)&amp;"元整"</f>
        <v>贰亿肆仟陆佰伍拾陆万元整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1451</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1451</v>
      </c>
      <c r="B127" s="3581"/>
      <c r="C127" s="3581"/>
      <c r="D127" s="3621" t="e">
        <f>NUMBERSTRING(INT(D126*10000),2)&amp;"元整"</f>
        <v>#VALUE!</v>
      </c>
      <c r="E127" s="3622"/>
      <c r="F127" s="3622"/>
      <c r="G127" s="3622"/>
      <c r="H127" s="3622"/>
      <c r="I127" s="3623"/>
      <c r="AA127" s="725"/>
    </row>
    <row r="128" spans="1:27" ht="21.75" customHeight="1">
      <c r="A128" s="3628" t="s">
        <v>1452</v>
      </c>
      <c r="B128" s="3628"/>
      <c r="C128" s="3628"/>
      <c r="D128" s="3628"/>
      <c r="E128" s="3628"/>
      <c r="F128" s="3628"/>
      <c r="G128" s="3628"/>
      <c r="H128" s="3628"/>
      <c r="I128" s="3628"/>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9</v>
      </c>
    </row>
    <row r="2" spans="1:9" s="200" customFormat="1" ht="18" customHeight="1">
      <c r="A2" s="201" t="s">
        <v>1461</v>
      </c>
      <c r="B2" s="202">
        <f ca="1">IF(D2="——",C52,C52-E2)</f>
        <v>24563</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5158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5530</v>
      </c>
      <c r="D5" s="211" t="s">
        <v>1468</v>
      </c>
      <c r="E5" s="212" t="s">
        <v>1469</v>
      </c>
      <c r="F5" s="212" t="s">
        <v>1470</v>
      </c>
      <c r="G5" s="213"/>
    </row>
    <row r="6" spans="1:9" s="214" customFormat="1" ht="13.5" customHeight="1">
      <c r="A6" s="778" t="s">
        <v>1471</v>
      </c>
      <c r="B6" s="215" t="s">
        <v>1472</v>
      </c>
      <c r="C6" s="216">
        <f>'土地比较法-工业'!B2</f>
        <v>5366</v>
      </c>
      <c r="D6" s="217"/>
      <c r="E6" s="218"/>
      <c r="F6" s="218"/>
      <c r="G6" s="219"/>
    </row>
    <row r="7" spans="1:9" s="214" customFormat="1" ht="13.5" customHeight="1">
      <c r="A7" s="778" t="s">
        <v>1473</v>
      </c>
      <c r="B7" s="215" t="s">
        <v>1474</v>
      </c>
      <c r="C7" s="220">
        <f>ROUND(C6*F7,0)</f>
        <v>164</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3515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3516</v>
      </c>
      <c r="H9" s="1137"/>
      <c r="I9" s="1857"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47621.420000000006</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47621.420000000006</v>
      </c>
      <c r="E19" s="211">
        <f>'数据-取费表'!B31</f>
        <v>200</v>
      </c>
      <c r="F19" s="231"/>
      <c r="G19" s="1855" t="s">
        <v>3517</v>
      </c>
    </row>
    <row r="20" spans="1:7" s="214" customFormat="1" ht="13.5" customHeight="1">
      <c r="A20" s="255" t="s">
        <v>1492</v>
      </c>
      <c r="B20" s="210" t="s">
        <v>1493</v>
      </c>
      <c r="C20" s="232">
        <f>ROUND((C5+C19)*F20,0)</f>
        <v>111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300</v>
      </c>
      <c r="D22" s="235">
        <f ca="1">C26</f>
        <v>5.0000000000000001E-4</v>
      </c>
      <c r="E22" s="236" t="s">
        <v>1497</v>
      </c>
      <c r="F22" s="237">
        <f ca="1">'数据-取费表'!B40</f>
        <v>3.5499999999999997E-2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297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381</v>
      </c>
      <c r="D27" s="235">
        <f ca="1">C29</f>
        <v>1.4E-3</v>
      </c>
      <c r="E27" s="236" t="s">
        <v>1513</v>
      </c>
      <c r="F27" s="246">
        <f ca="1">IF(B1="",'数据-取费表'!Q16,INDIRECT("'数据-取费表'!q"&amp;$G$1))</f>
        <v>0.09</v>
      </c>
      <c r="G27" s="247" t="s">
        <v>1514</v>
      </c>
    </row>
    <row r="28" spans="1:7" s="214" customFormat="1" ht="13.5" customHeight="1">
      <c r="A28" s="780" t="s">
        <v>346</v>
      </c>
      <c r="B28" s="248" t="s">
        <v>1515</v>
      </c>
      <c r="C28" s="249">
        <f ca="1">ROUND((C5+C19+C20)*F27*'数据-取费表'!B21/'数据-取费表'!B20,0)</f>
        <v>381</v>
      </c>
      <c r="D28" s="235"/>
      <c r="E28" s="236"/>
      <c r="F28" s="246"/>
      <c r="G28" s="247"/>
    </row>
    <row r="29" spans="1:7" s="214" customFormat="1" ht="13.5" customHeight="1">
      <c r="A29" s="780" t="s">
        <v>347</v>
      </c>
      <c r="B29" s="248" t="s">
        <v>1516</v>
      </c>
      <c r="C29" s="238">
        <f ca="1">ROUND(C21*F27*'数据-取费表'!B21/'数据-取费表'!B20,4)</f>
        <v>1.4E-3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6829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14408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12858</v>
      </c>
      <c r="D34" s="217"/>
      <c r="E34" s="220"/>
      <c r="F34" s="257">
        <f ca="1">IF('数据-取费表'!B24=0,1,IF(B1="",'数据-取费表'!N16,INDIRECT("'数据-取费表'!n"&amp;$G$1)))</f>
        <v>0.75</v>
      </c>
      <c r="G34" s="219" t="s">
        <v>1525</v>
      </c>
    </row>
    <row r="35" spans="1:7" ht="13.5" customHeight="1">
      <c r="A35" s="780" t="s">
        <v>351</v>
      </c>
      <c r="B35" s="215" t="s">
        <v>1526</v>
      </c>
      <c r="C35" s="220">
        <f ca="1">ROUND(C34*F35,0)</f>
        <v>643</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714</v>
      </c>
      <c r="D37" s="217">
        <f ca="1">D19</f>
        <v>47621.420000000006</v>
      </c>
      <c r="E37" s="249">
        <f>'数据-取费表'!B35</f>
        <v>200</v>
      </c>
      <c r="F37" s="259"/>
      <c r="G37" s="261" t="s">
        <v>1531</v>
      </c>
    </row>
    <row r="38" spans="1:7" ht="13.5" customHeight="1">
      <c r="A38" s="780" t="s">
        <v>354</v>
      </c>
      <c r="B38" s="215" t="s">
        <v>1532</v>
      </c>
      <c r="C38" s="220">
        <f ca="1">ROUND(C34*F38,0)</f>
        <v>193</v>
      </c>
      <c r="D38" s="220"/>
      <c r="E38" s="220"/>
      <c r="F38" s="259">
        <f>'数据-取费表'!B36</f>
        <v>1.4999999999999999E-2</v>
      </c>
      <c r="G38" s="219" t="s">
        <v>1527</v>
      </c>
    </row>
    <row r="39" spans="1:7" s="214" customFormat="1" ht="13.5" customHeight="1">
      <c r="A39" s="255" t="s">
        <v>1533</v>
      </c>
      <c r="B39" s="210" t="s">
        <v>1534</v>
      </c>
      <c r="C39" s="232">
        <f ca="1">ROUND(C33*F20,0)</f>
        <v>288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390</v>
      </c>
      <c r="D41" s="235">
        <f ca="1">C44</f>
        <v>5.0000000000000001E-4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382</v>
      </c>
      <c r="D42" s="238"/>
      <c r="E42" s="238"/>
      <c r="F42" s="239"/>
      <c r="G42" s="3661" t="s">
        <v>1543</v>
      </c>
    </row>
    <row r="43" spans="1:7" ht="13.5" customHeight="1">
      <c r="A43" s="780" t="s">
        <v>347</v>
      </c>
      <c r="B43" s="215" t="s">
        <v>1544</v>
      </c>
      <c r="C43" s="238">
        <f ca="1">ROUND(IF('数据-取费表'!B22&lt;=1,C39*F22*'数据-取费表'!B21/2,C39*(POWER((1+F22),'数据-取费表'!B21/2)-1)),0)</f>
        <v>8</v>
      </c>
      <c r="D43" s="238"/>
      <c r="E43" s="238"/>
      <c r="F43" s="239"/>
      <c r="G43" s="3662"/>
    </row>
    <row r="44" spans="1:7" ht="13.5" customHeight="1">
      <c r="A44" s="780" t="s">
        <v>348</v>
      </c>
      <c r="B44" s="215" t="s">
        <v>1545</v>
      </c>
      <c r="C44" s="238">
        <f ca="1">ROUND(IF('数据-取费表'!B22&lt;=1,C40*F22*'数据-取费表'!B21/2,C40*(POWER((1+F22),'数据-取费表'!B21/2)-1)),4)</f>
        <v>5.0000000000000001E-4</v>
      </c>
      <c r="D44" s="238"/>
      <c r="E44" s="238"/>
      <c r="F44" s="239"/>
      <c r="G44" s="3663"/>
    </row>
    <row r="45" spans="1:7" s="214" customFormat="1" ht="13.5" customHeight="1">
      <c r="A45" s="255" t="s">
        <v>1546</v>
      </c>
      <c r="B45" s="244" t="s">
        <v>1512</v>
      </c>
      <c r="C45" s="245">
        <f ca="1">C46</f>
        <v>1323</v>
      </c>
      <c r="D45" s="235">
        <f ca="1">C47</f>
        <v>1.8E-3</v>
      </c>
      <c r="E45" s="236" t="s">
        <v>1538</v>
      </c>
      <c r="F45" s="246">
        <f ca="1">F27</f>
        <v>0.09</v>
      </c>
      <c r="G45" s="247" t="s">
        <v>1547</v>
      </c>
    </row>
    <row r="46" spans="1:7" s="214" customFormat="1" ht="13.5" customHeight="1">
      <c r="A46" s="780" t="s">
        <v>346</v>
      </c>
      <c r="B46" s="248" t="s">
        <v>1548</v>
      </c>
      <c r="C46" s="249">
        <f ca="1">ROUND((C33+C39)*F27,0)</f>
        <v>1323</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17734</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17734</v>
      </c>
      <c r="D51" s="232"/>
      <c r="E51" s="232"/>
      <c r="F51" s="264"/>
      <c r="G51" s="234" t="s">
        <v>1559</v>
      </c>
    </row>
    <row r="52" spans="1:7" s="208" customFormat="1" ht="16.5" thickBot="1">
      <c r="A52" s="265" t="s">
        <v>1560</v>
      </c>
      <c r="B52" s="266"/>
      <c r="C52" s="267">
        <f ca="1">C31+C51</f>
        <v>24563</v>
      </c>
      <c r="D52" s="266"/>
      <c r="E52" s="266"/>
      <c r="F52" s="266"/>
      <c r="G52" s="268"/>
    </row>
    <row r="55" spans="1:7" ht="15">
      <c r="B55" s="270" t="s">
        <v>1561</v>
      </c>
      <c r="C55" s="271"/>
    </row>
    <row r="56" spans="1:7">
      <c r="B56" s="273" t="s">
        <v>802</v>
      </c>
      <c r="C56" s="275">
        <f ca="1">1-C57</f>
        <v>0.27800000000000002</v>
      </c>
    </row>
    <row r="57" spans="1:7">
      <c r="B57" s="273" t="s">
        <v>803</v>
      </c>
      <c r="C57" s="274">
        <f ca="1">ROUND(C51/C52,3)</f>
        <v>0.72199999999999998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北京市顺义区赵全营镇板桥村房地产抵押价值预评估</v>
      </c>
      <c r="C37" s="3478"/>
      <c r="D37" s="3478"/>
      <c r="E37" s="3478"/>
      <c r="F37" s="3478"/>
      <c r="G37" s="3478"/>
      <c r="H37" s="3478"/>
      <c r="I37" s="3478"/>
    </row>
    <row r="38" spans="1:9">
      <c r="A38" s="844"/>
      <c r="B38" s="844"/>
    </row>
    <row r="39" spans="1:9">
      <c r="A39" s="842" t="s">
        <v>371</v>
      </c>
      <c r="B39" s="842" t="s">
        <v>373</v>
      </c>
    </row>
    <row r="40" spans="1:9">
      <c r="A40" s="842"/>
      <c r="B40" s="1473" t="str">
        <f>项目基本情况!B5</f>
        <v>北京农商银行天通苑支行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20">
        <f ca="1">ROUND(IF(D2="——",C52/10000,C52/10000-E2),4)</f>
        <v>25059.1643</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5262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47621.420000000006</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9524284</v>
      </c>
      <c r="D19" s="849">
        <f ca="1">D9+D10</f>
        <v>47621.420000000006</v>
      </c>
      <c r="E19" s="211">
        <f>'数据-取费表'!B31</f>
        <v>200</v>
      </c>
      <c r="F19" s="231"/>
      <c r="G19" s="1855"/>
    </row>
    <row r="20" spans="1:7" s="214" customFormat="1" ht="13.5" customHeight="1">
      <c r="A20" s="255" t="s">
        <v>1573</v>
      </c>
      <c r="B20" s="210" t="s">
        <v>1574</v>
      </c>
      <c r="C20" s="232">
        <f ca="1">ROUND((C5+C19)*F20,0)</f>
        <v>190486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694989</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688227</v>
      </c>
      <c r="D24" s="238"/>
      <c r="E24" s="238"/>
      <c r="F24" s="239"/>
      <c r="G24" s="240" t="s">
        <v>1585</v>
      </c>
    </row>
    <row r="25" spans="1:7" s="214" customFormat="1" ht="24">
      <c r="A25" s="780" t="s">
        <v>1475</v>
      </c>
      <c r="B25" s="215" t="s">
        <v>1586</v>
      </c>
      <c r="C25" s="1128">
        <f ca="1">ROUND(IF('数据-取费表'!B22&lt;=1,C20*F22*'数据-取费表'!B22/2,C20*(POWER((1+F22),'数据-取费表'!B22/2)-1)),0)</f>
        <v>6762</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874329</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ROUND((C5+C19+C20)*F27,0)</f>
        <v>874329</v>
      </c>
      <c r="D28" s="235"/>
      <c r="E28" s="236"/>
      <c r="F28" s="246"/>
      <c r="G28" s="247"/>
    </row>
    <row r="29" spans="1:7" s="214" customFormat="1" ht="13.5" customHeight="1">
      <c r="A29" s="780"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12197695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192104809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171437112</v>
      </c>
      <c r="D34" s="217"/>
      <c r="E34" s="220"/>
      <c r="F34" s="257"/>
      <c r="G34" s="219"/>
    </row>
    <row r="35" spans="1:7" ht="13.5" customHeight="1">
      <c r="A35" s="780" t="s">
        <v>351</v>
      </c>
      <c r="B35" s="215" t="s">
        <v>1526</v>
      </c>
      <c r="C35" s="220">
        <f ca="1">ROUND(C34*F35,0)</f>
        <v>8571856</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9524284</v>
      </c>
      <c r="D37" s="217">
        <f ca="1">D19</f>
        <v>47621.420000000006</v>
      </c>
      <c r="E37" s="249">
        <f>'数据-取费表'!B35</f>
        <v>200</v>
      </c>
      <c r="F37" s="259"/>
      <c r="G37" s="261"/>
    </row>
    <row r="38" spans="1:7" ht="13.5" customHeight="1">
      <c r="A38" s="780" t="s">
        <v>354</v>
      </c>
      <c r="B38" s="215" t="s">
        <v>1532</v>
      </c>
      <c r="C38" s="220">
        <f ca="1">ROUND(C34*F38,0)</f>
        <v>2571557</v>
      </c>
      <c r="D38" s="220"/>
      <c r="E38" s="220"/>
      <c r="F38" s="259">
        <f>'数据-取费表'!B36</f>
        <v>1.4999999999999999E-2</v>
      </c>
      <c r="G38" s="219" t="s">
        <v>1527</v>
      </c>
    </row>
    <row r="39" spans="1:7" s="214" customFormat="1" ht="13.5" customHeight="1">
      <c r="A39" s="255" t="s">
        <v>1533</v>
      </c>
      <c r="B39" s="210" t="s">
        <v>1534</v>
      </c>
      <c r="C39" s="232">
        <f ca="1">ROUND(C33*F20,0)</f>
        <v>3842096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6956115</v>
      </c>
      <c r="D41" s="235">
        <f ca="1">C44</f>
        <v>6.9999999999999999E-4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6819721</v>
      </c>
      <c r="D42" s="238"/>
      <c r="E42" s="238"/>
      <c r="F42" s="239"/>
      <c r="G42" s="3661" t="s">
        <v>1590</v>
      </c>
    </row>
    <row r="43" spans="1:7" ht="13.5" customHeight="1">
      <c r="A43" s="780" t="s">
        <v>347</v>
      </c>
      <c r="B43" s="215" t="s">
        <v>1544</v>
      </c>
      <c r="C43" s="238">
        <f ca="1">ROUND(IF('数据-取费表'!B22&lt;=1,C39*F22*'数据-取费表'!B20/2,C39*(POWER((1+F22),'数据-取费表'!B20/2)-1)),0)</f>
        <v>136394</v>
      </c>
      <c r="D43" s="238"/>
      <c r="E43" s="238"/>
      <c r="F43" s="239"/>
      <c r="G43" s="3662"/>
    </row>
    <row r="44" spans="1:7" ht="13.5" customHeight="1">
      <c r="A44" s="780" t="s">
        <v>348</v>
      </c>
      <c r="B44" s="215" t="s">
        <v>1545</v>
      </c>
      <c r="C44" s="238">
        <f ca="1">ROUND(IF('数据-取费表'!B22&lt;=1,C40*F22*'数据-取费表'!B20/2,C40*(POWER((1+F22),'数据-取费表'!B20/2)-1)),4)</f>
        <v>6.9999999999999999E-4</v>
      </c>
      <c r="D44" s="238"/>
      <c r="E44" s="238"/>
      <c r="F44" s="239"/>
      <c r="G44" s="3663"/>
    </row>
    <row r="45" spans="1:7" s="214" customFormat="1" ht="13.5" customHeight="1">
      <c r="A45" s="255" t="s">
        <v>1546</v>
      </c>
      <c r="B45" s="244" t="s">
        <v>1512</v>
      </c>
      <c r="C45" s="245">
        <f ca="1">C46</f>
        <v>17635221</v>
      </c>
      <c r="D45" s="235">
        <f ca="1">C47</f>
        <v>1.8E-3</v>
      </c>
      <c r="E45" s="236" t="s">
        <v>1538</v>
      </c>
      <c r="F45" s="246">
        <f ca="1">F27</f>
        <v>0.09</v>
      </c>
      <c r="G45" s="247" t="s">
        <v>1547</v>
      </c>
    </row>
    <row r="46" spans="1:7" s="214" customFormat="1" ht="13.5" customHeight="1">
      <c r="A46" s="780" t="s">
        <v>346</v>
      </c>
      <c r="B46" s="248" t="s">
        <v>1548</v>
      </c>
      <c r="C46" s="249">
        <f ca="1">ROUND((C33+C39)*F27,0)</f>
        <v>17635221</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238393948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238393948</v>
      </c>
      <c r="D51" s="232"/>
      <c r="E51" s="232"/>
      <c r="F51" s="264"/>
      <c r="G51" s="234" t="s">
        <v>1559</v>
      </c>
    </row>
    <row r="52" spans="1:7" s="208" customFormat="1" ht="16.5" thickBot="1">
      <c r="A52" s="265" t="s">
        <v>1560</v>
      </c>
      <c r="B52" s="266"/>
      <c r="C52" s="267">
        <f ca="1">C31+C51</f>
        <v>250591643</v>
      </c>
      <c r="D52" s="266"/>
      <c r="E52" s="266"/>
      <c r="F52" s="266"/>
      <c r="G52" s="268"/>
    </row>
    <row r="55" spans="1:7" ht="15">
      <c r="B55" s="270" t="s">
        <v>1561</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 zoomScale="85" zoomScaleNormal="60" zoomScaleSheetLayoutView="85" workbookViewId="0">
      <selection activeCell="F17" sqref="F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5366</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1127</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64" t="s">
        <v>1769</v>
      </c>
      <c r="D4" s="3690"/>
      <c r="E4" s="3691" t="s">
        <v>1770</v>
      </c>
      <c r="F4" s="3692"/>
      <c r="G4" s="3664" t="s">
        <v>1771</v>
      </c>
      <c r="H4" s="3690"/>
      <c r="I4" s="3664" t="s">
        <v>1772</v>
      </c>
      <c r="J4" s="3690"/>
      <c r="K4" s="559" t="s">
        <v>1773</v>
      </c>
      <c r="L4" s="2711"/>
      <c r="M4" s="2712"/>
      <c r="N4" s="2712"/>
      <c r="O4" s="2712"/>
      <c r="P4" s="3693" t="s">
        <v>1774</v>
      </c>
      <c r="Q4" s="3694"/>
      <c r="R4" s="3670" t="s">
        <v>1770</v>
      </c>
      <c r="S4" s="3671"/>
      <c r="T4" s="3670" t="s">
        <v>1771</v>
      </c>
      <c r="U4" s="3671"/>
      <c r="V4" s="3683" t="s">
        <v>1772</v>
      </c>
      <c r="W4" s="3683"/>
      <c r="X4" s="1354"/>
      <c r="Y4" s="3670" t="s">
        <v>1774</v>
      </c>
      <c r="Z4" s="3671"/>
      <c r="AA4" s="3687" t="s">
        <v>1770</v>
      </c>
      <c r="AB4" s="3688" t="s">
        <v>1771</v>
      </c>
      <c r="AC4" s="3687" t="s">
        <v>1772</v>
      </c>
    </row>
    <row r="5" spans="1:29" ht="40.5" customHeight="1">
      <c r="A5" s="358"/>
      <c r="B5" s="359"/>
      <c r="C5" s="3674" t="s">
        <v>1672</v>
      </c>
      <c r="D5" s="3675"/>
      <c r="E5" s="3699" t="str">
        <f>案例!A10</f>
        <v>顺义区赵全营镇SY04-0100-6006-1-2地块</v>
      </c>
      <c r="F5" s="3700"/>
      <c r="G5" s="3674" t="str">
        <f>案例!A13</f>
        <v>顺义区赵全营镇SY04-0100-6006-3地块M4工业研发项目</v>
      </c>
      <c r="H5" s="3675"/>
      <c r="I5" s="3674" t="str">
        <f>案例!A15</f>
        <v>顺义区赵全营镇SY04-0100-6006-4地块M4工业研发项目</v>
      </c>
      <c r="J5" s="3675"/>
      <c r="K5" s="559"/>
      <c r="L5" s="2711"/>
      <c r="M5" s="2712"/>
      <c r="N5" s="2712"/>
      <c r="O5" s="2712"/>
      <c r="P5" s="3695"/>
      <c r="Q5" s="3696"/>
      <c r="R5" s="3672"/>
      <c r="S5" s="3673"/>
      <c r="T5" s="3672"/>
      <c r="U5" s="3673"/>
      <c r="V5" s="3683"/>
      <c r="W5" s="3683"/>
      <c r="X5" s="1354"/>
      <c r="Y5" s="3672"/>
      <c r="Z5" s="3673"/>
      <c r="AA5" s="3688"/>
      <c r="AB5" s="3688"/>
      <c r="AC5" s="3688"/>
    </row>
    <row r="6" spans="1:29" ht="15.75" thickBot="1">
      <c r="A6" s="360"/>
      <c r="B6" s="361"/>
      <c r="C6" s="3676" t="s">
        <v>1918</v>
      </c>
      <c r="D6" s="3677"/>
      <c r="E6" s="3679" t="s">
        <v>1918</v>
      </c>
      <c r="F6" s="3680"/>
      <c r="G6" s="3676" t="s">
        <v>1918</v>
      </c>
      <c r="H6" s="3677"/>
      <c r="I6" s="3676" t="s">
        <v>1918</v>
      </c>
      <c r="J6" s="3677"/>
      <c r="K6" s="559" t="s">
        <v>1677</v>
      </c>
      <c r="L6" s="2711"/>
      <c r="M6" s="2712"/>
      <c r="N6" s="2712"/>
      <c r="O6" s="2712"/>
      <c r="P6" s="3697"/>
      <c r="Q6" s="3698"/>
      <c r="R6" s="3672"/>
      <c r="S6" s="3673"/>
      <c r="T6" s="3681"/>
      <c r="U6" s="3682"/>
      <c r="V6" s="3683"/>
      <c r="W6" s="3683"/>
      <c r="X6" s="1354"/>
      <c r="Y6" s="3681"/>
      <c r="Z6" s="3682"/>
      <c r="AA6" s="3689"/>
      <c r="AB6" s="3689"/>
      <c r="AC6" s="3689"/>
    </row>
    <row r="7" spans="1:29" s="108" customFormat="1" ht="15.75" thickBot="1">
      <c r="A7" s="362" t="s">
        <v>1678</v>
      </c>
      <c r="B7" s="363"/>
      <c r="C7" s="364">
        <f>'数据-取费表'!B2</f>
        <v>45111</v>
      </c>
      <c r="D7" s="365">
        <v>100</v>
      </c>
      <c r="E7" s="366" t="str">
        <f>案例!J10</f>
        <v>2021-09-07</v>
      </c>
      <c r="F7" s="367">
        <f>SUMIF(65:65,YEAR(E7)&amp;"-"&amp;INT((MONTH(E7)+2)/3),66:66)</f>
        <v>98.399999999999977</v>
      </c>
      <c r="G7" s="1973" t="str">
        <f>案例!J13</f>
        <v>2019-07-16</v>
      </c>
      <c r="H7" s="365">
        <f>SUMIF(65:65,YEAR(G7)&amp;"-"&amp;INT((MONTH(G7)+2)/3),66:66)</f>
        <v>96.799999999999955</v>
      </c>
      <c r="I7" s="1973" t="str">
        <f>案例!J15</f>
        <v>2019-04-22</v>
      </c>
      <c r="J7" s="365">
        <f>SUMIF(65:65,YEAR(I7)&amp;"-"&amp;INT((MONTH(I7)+2)/3),66:66)</f>
        <v>96.599999999999952</v>
      </c>
      <c r="K7" s="560"/>
      <c r="L7" s="2713"/>
      <c r="M7" s="2714"/>
      <c r="N7" s="2714"/>
      <c r="O7" s="2714"/>
      <c r="P7" s="3668" t="s">
        <v>1679</v>
      </c>
      <c r="Q7" s="3678"/>
      <c r="R7" s="701" t="s">
        <v>14</v>
      </c>
      <c r="S7" s="702">
        <f t="shared" ref="S7:S15" si="0">F7</f>
        <v>98.399999999999977</v>
      </c>
      <c r="T7" s="701" t="s">
        <v>14</v>
      </c>
      <c r="U7" s="702">
        <f t="shared" ref="U7:U15" si="1">H7</f>
        <v>96.799999999999955</v>
      </c>
      <c r="V7" s="701" t="s">
        <v>14</v>
      </c>
      <c r="W7" s="702">
        <f t="shared" ref="W7:W15" si="2">J7</f>
        <v>96.599999999999952</v>
      </c>
      <c r="X7" s="703"/>
      <c r="Y7" s="3668" t="s">
        <v>1679</v>
      </c>
      <c r="Z7" s="3669"/>
      <c r="AA7" s="704">
        <f>D7/F7</f>
        <v>1.0162601626016263</v>
      </c>
      <c r="AB7" s="704">
        <f>D7/H7</f>
        <v>1.03305785123967</v>
      </c>
      <c r="AC7" s="704">
        <f>D7/J7</f>
        <v>1.0351966873706009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3"/>
      <c r="M8" s="2714"/>
      <c r="N8" s="2714"/>
      <c r="O8" s="2714"/>
      <c r="P8" s="3668" t="s">
        <v>1682</v>
      </c>
      <c r="Q8" s="3669"/>
      <c r="R8" s="701" t="s">
        <v>14</v>
      </c>
      <c r="S8" s="702">
        <f t="shared" si="0"/>
        <v>100</v>
      </c>
      <c r="T8" s="701" t="s">
        <v>14</v>
      </c>
      <c r="U8" s="702">
        <f t="shared" si="1"/>
        <v>100</v>
      </c>
      <c r="V8" s="701" t="s">
        <v>14</v>
      </c>
      <c r="W8" s="702">
        <f t="shared" si="2"/>
        <v>100</v>
      </c>
      <c r="X8" s="703"/>
      <c r="Y8" s="3668" t="s">
        <v>1682</v>
      </c>
      <c r="Z8" s="3669"/>
      <c r="AA8" s="704">
        <f t="shared" ref="AA8:AA40" si="3">D8/F8</f>
        <v>1</v>
      </c>
      <c r="AB8" s="704">
        <f t="shared" ref="AB8:AB40" si="4">D8/H8</f>
        <v>1</v>
      </c>
      <c r="AC8" s="704">
        <f t="shared" ref="AC8:AC40" si="5">D8/J8</f>
        <v>1</v>
      </c>
    </row>
    <row r="9" spans="1:29" s="108" customFormat="1">
      <c r="A9" s="369" t="s">
        <v>1683</v>
      </c>
      <c r="B9" s="63" t="s">
        <v>1684</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3"/>
      <c r="M9" s="2714"/>
      <c r="N9" s="2714"/>
      <c r="O9" s="2768"/>
      <c r="P9" s="3667"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16.75</v>
      </c>
      <c r="D10" s="127">
        <v>100</v>
      </c>
      <c r="E10" s="383">
        <v>20</v>
      </c>
      <c r="F10" s="127">
        <f>ROUND(100/'数据-取费表'!G16,0)</f>
        <v>112</v>
      </c>
      <c r="G10" s="383">
        <v>20</v>
      </c>
      <c r="H10" s="127">
        <f>ROUND(100/'数据-取费表'!G16,0)</f>
        <v>112</v>
      </c>
      <c r="I10" s="383">
        <v>20</v>
      </c>
      <c r="J10" s="127">
        <f>ROUND(100/'数据-取费表'!G16,0)</f>
        <v>112</v>
      </c>
      <c r="K10" s="620"/>
      <c r="L10" s="2715"/>
      <c r="M10" s="2716"/>
      <c r="N10" s="2716"/>
      <c r="O10" s="2769"/>
      <c r="P10" s="3667"/>
      <c r="Q10" s="1342" t="str">
        <f t="shared" si="6"/>
        <v>土地使用年限（年）</v>
      </c>
      <c r="R10" s="701" t="s">
        <v>14</v>
      </c>
      <c r="S10" s="702">
        <f t="shared" si="0"/>
        <v>112</v>
      </c>
      <c r="T10" s="701" t="s">
        <v>14</v>
      </c>
      <c r="U10" s="702">
        <f t="shared" si="1"/>
        <v>112</v>
      </c>
      <c r="V10" s="701" t="s">
        <v>14</v>
      </c>
      <c r="W10" s="702">
        <f t="shared" si="2"/>
        <v>112</v>
      </c>
      <c r="X10" s="703"/>
      <c r="Y10" s="3568"/>
      <c r="Z10" s="52" t="str">
        <f t="shared" si="7"/>
        <v>土地使用年限（年）</v>
      </c>
      <c r="AA10" s="704">
        <f t="shared" si="3"/>
        <v>0.8928571428571429</v>
      </c>
      <c r="AB10" s="704">
        <f t="shared" si="4"/>
        <v>0.8928571428571429</v>
      </c>
      <c r="AC10" s="704">
        <f t="shared" si="5"/>
        <v>0.8928571428571429</v>
      </c>
    </row>
    <row r="11" spans="1:29" ht="15.75" thickBot="1">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2</v>
      </c>
      <c r="L11" s="2717"/>
      <c r="M11" s="2712"/>
      <c r="N11" s="2712"/>
      <c r="O11" s="2770"/>
      <c r="P11" s="3667"/>
      <c r="Q11" s="1342"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7"/>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7"/>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7"/>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18"/>
      <c r="M15" s="2712"/>
      <c r="N15" s="2712"/>
      <c r="O15" s="2770"/>
      <c r="P15" s="3684" t="s">
        <v>1690</v>
      </c>
      <c r="Q15" s="1351" t="str">
        <f t="shared" si="6"/>
        <v>产业集聚程度</v>
      </c>
      <c r="R15" s="705" t="s">
        <v>14</v>
      </c>
      <c r="S15" s="706">
        <f t="shared" si="0"/>
        <v>100</v>
      </c>
      <c r="T15" s="705" t="s">
        <v>14</v>
      </c>
      <c r="U15" s="706">
        <f t="shared" si="1"/>
        <v>100</v>
      </c>
      <c r="V15" s="705" t="s">
        <v>14</v>
      </c>
      <c r="W15" s="706">
        <f t="shared" si="2"/>
        <v>100</v>
      </c>
      <c r="X15" s="1354"/>
      <c r="Y15" s="3684" t="s">
        <v>1690</v>
      </c>
      <c r="Z15" s="1355" t="str">
        <f t="shared" si="7"/>
        <v>产业集聚程度</v>
      </c>
      <c r="AA15" s="1352">
        <f t="shared" si="3"/>
        <v>1</v>
      </c>
      <c r="AB15" s="1352">
        <f t="shared" si="4"/>
        <v>1</v>
      </c>
      <c r="AC15" s="1352">
        <f t="shared" si="5"/>
        <v>1</v>
      </c>
    </row>
    <row r="16" spans="1:29" ht="15">
      <c r="A16" s="379"/>
      <c r="B16" s="578"/>
      <c r="C16" s="398" t="s">
        <v>3505</v>
      </c>
      <c r="D16" s="399"/>
      <c r="E16" s="398" t="s">
        <v>3505</v>
      </c>
      <c r="F16" s="399"/>
      <c r="G16" s="398" t="s">
        <v>3505</v>
      </c>
      <c r="H16" s="401"/>
      <c r="I16" s="398" t="s">
        <v>3505</v>
      </c>
      <c r="J16" s="399"/>
      <c r="K16" s="620"/>
      <c r="L16" s="2718"/>
      <c r="M16" s="2712"/>
      <c r="N16" s="2712"/>
      <c r="O16" s="2770"/>
      <c r="P16" s="3685"/>
      <c r="Q16" s="1351"/>
      <c r="R16" s="705"/>
      <c r="S16" s="706"/>
      <c r="T16" s="705"/>
      <c r="U16" s="706"/>
      <c r="V16" s="705"/>
      <c r="W16" s="706"/>
      <c r="X16" s="1354"/>
      <c r="Y16" s="3685"/>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8"/>
      <c r="M17" s="2712"/>
      <c r="N17" s="2712"/>
      <c r="O17" s="2770"/>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580"/>
      <c r="C18" s="398" t="s">
        <v>3506</v>
      </c>
      <c r="D18" s="399"/>
      <c r="E18" s="398" t="s">
        <v>3506</v>
      </c>
      <c r="F18" s="399"/>
      <c r="G18" s="398" t="s">
        <v>3506</v>
      </c>
      <c r="H18" s="399"/>
      <c r="I18" s="398" t="s">
        <v>3506</v>
      </c>
      <c r="J18" s="399"/>
      <c r="K18" s="620"/>
      <c r="L18" s="2718"/>
      <c r="M18" s="2712"/>
      <c r="N18" s="2712"/>
      <c r="O18" s="2770"/>
      <c r="P18" s="3685"/>
      <c r="Q18" s="1351"/>
      <c r="R18" s="705"/>
      <c r="S18" s="706"/>
      <c r="T18" s="705"/>
      <c r="U18" s="706"/>
      <c r="V18" s="705"/>
      <c r="W18" s="706"/>
      <c r="X18" s="1354"/>
      <c r="Y18" s="3685"/>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685"/>
      <c r="Q19" s="1351" t="str">
        <f t="shared" ref="Q19:Q33" si="8">B19</f>
        <v>区域土地利用方向</v>
      </c>
      <c r="R19" s="705" t="s">
        <v>14</v>
      </c>
      <c r="S19" s="706">
        <f>F19</f>
        <v>100</v>
      </c>
      <c r="T19" s="705" t="s">
        <v>14</v>
      </c>
      <c r="U19" s="706">
        <f>H19</f>
        <v>100</v>
      </c>
      <c r="V19" s="705" t="s">
        <v>14</v>
      </c>
      <c r="W19" s="706">
        <f>J19</f>
        <v>100</v>
      </c>
      <c r="X19" s="1354"/>
      <c r="Y19" s="3685"/>
      <c r="Z19" s="1355" t="str">
        <f>Q19</f>
        <v>区域土地利用方向</v>
      </c>
      <c r="AA19" s="1352">
        <f t="shared" si="3"/>
        <v>1</v>
      </c>
      <c r="AB19" s="1352">
        <f t="shared" si="4"/>
        <v>1</v>
      </c>
      <c r="AC19" s="1352">
        <f t="shared" si="5"/>
        <v>1</v>
      </c>
    </row>
    <row r="20" spans="1:29" ht="15">
      <c r="A20" s="358"/>
      <c r="B20" s="580"/>
      <c r="C20" s="398" t="s">
        <v>3505</v>
      </c>
      <c r="D20" s="399"/>
      <c r="E20" s="398" t="s">
        <v>3505</v>
      </c>
      <c r="F20" s="399"/>
      <c r="G20" s="398" t="s">
        <v>3505</v>
      </c>
      <c r="H20" s="399"/>
      <c r="I20" s="398" t="s">
        <v>3505</v>
      </c>
      <c r="J20" s="399"/>
      <c r="K20" s="740"/>
      <c r="L20" s="2718"/>
      <c r="M20" s="2712"/>
      <c r="N20" s="2712"/>
      <c r="O20" s="2770"/>
      <c r="P20" s="3685"/>
      <c r="Q20" s="1351"/>
      <c r="R20" s="705"/>
      <c r="S20" s="706"/>
      <c r="T20" s="705"/>
      <c r="U20" s="706"/>
      <c r="V20" s="705"/>
      <c r="W20" s="706"/>
      <c r="X20" s="1354"/>
      <c r="Y20" s="3685"/>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685"/>
      <c r="Q21" s="1351" t="str">
        <f t="shared" si="8"/>
        <v>环境状况</v>
      </c>
      <c r="R21" s="705" t="s">
        <v>14</v>
      </c>
      <c r="S21" s="706">
        <f>F21</f>
        <v>100</v>
      </c>
      <c r="T21" s="705" t="s">
        <v>14</v>
      </c>
      <c r="U21" s="706">
        <f>H21</f>
        <v>100</v>
      </c>
      <c r="V21" s="705" t="s">
        <v>14</v>
      </c>
      <c r="W21" s="706">
        <f>J21</f>
        <v>100</v>
      </c>
      <c r="X21" s="1354"/>
      <c r="Y21" s="3685"/>
      <c r="Z21" s="1355" t="str">
        <f>Q21</f>
        <v>环境状况</v>
      </c>
      <c r="AA21" s="1352">
        <f t="shared" si="3"/>
        <v>1</v>
      </c>
      <c r="AB21" s="1352">
        <f t="shared" si="4"/>
        <v>1</v>
      </c>
      <c r="AC21" s="1352">
        <f t="shared" si="5"/>
        <v>1</v>
      </c>
    </row>
    <row r="22" spans="1:29" ht="15">
      <c r="A22" s="358"/>
      <c r="B22" s="580"/>
      <c r="C22" s="398" t="s">
        <v>3505</v>
      </c>
      <c r="D22" s="399"/>
      <c r="E22" s="398" t="s">
        <v>3505</v>
      </c>
      <c r="F22" s="399"/>
      <c r="G22" s="398" t="s">
        <v>3505</v>
      </c>
      <c r="H22" s="399"/>
      <c r="I22" s="398" t="s">
        <v>3505</v>
      </c>
      <c r="J22" s="399"/>
      <c r="K22" s="620"/>
      <c r="L22" s="2718"/>
      <c r="M22" s="2712"/>
      <c r="N22" s="2712"/>
      <c r="O22" s="2770"/>
      <c r="P22" s="3685"/>
      <c r="Q22" s="1351"/>
      <c r="R22" s="705"/>
      <c r="S22" s="706"/>
      <c r="T22" s="705"/>
      <c r="U22" s="706"/>
      <c r="V22" s="705"/>
      <c r="W22" s="706"/>
      <c r="X22" s="1354"/>
      <c r="Y22" s="3685"/>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3"/>
      <c r="M23" s="2714"/>
      <c r="N23" s="2714"/>
      <c r="O23" s="2768"/>
      <c r="P23" s="3685"/>
      <c r="Q23" s="1342" t="str">
        <f t="shared" si="8"/>
        <v>公共配套设施</v>
      </c>
      <c r="R23" s="701" t="s">
        <v>14</v>
      </c>
      <c r="S23" s="702">
        <f>F23</f>
        <v>100</v>
      </c>
      <c r="T23" s="701" t="s">
        <v>14</v>
      </c>
      <c r="U23" s="702">
        <f>H23</f>
        <v>100</v>
      </c>
      <c r="V23" s="701" t="s">
        <v>14</v>
      </c>
      <c r="W23" s="702">
        <f>J23</f>
        <v>100</v>
      </c>
      <c r="X23" s="703"/>
      <c r="Y23" s="3685"/>
      <c r="Z23" s="52" t="str">
        <f>Q23</f>
        <v>公共配套设施</v>
      </c>
      <c r="AA23" s="1352">
        <f>D23/F23</f>
        <v>1</v>
      </c>
      <c r="AB23" s="1352">
        <f>D23/H23</f>
        <v>1</v>
      </c>
      <c r="AC23" s="1352">
        <f>D23/J23</f>
        <v>1</v>
      </c>
    </row>
    <row r="24" spans="1:29" s="108" customFormat="1" ht="15">
      <c r="A24" s="597"/>
      <c r="B24" s="580"/>
      <c r="C24" s="1977" t="s">
        <v>3506</v>
      </c>
      <c r="D24" s="399"/>
      <c r="E24" s="1977" t="s">
        <v>3506</v>
      </c>
      <c r="F24" s="399"/>
      <c r="G24" s="1977" t="s">
        <v>3506</v>
      </c>
      <c r="H24" s="399"/>
      <c r="I24" s="1977" t="s">
        <v>3506</v>
      </c>
      <c r="J24" s="399"/>
      <c r="K24" s="620"/>
      <c r="L24" s="2713"/>
      <c r="M24" s="2714"/>
      <c r="N24" s="2714"/>
      <c r="O24" s="2768"/>
      <c r="P24" s="3685"/>
      <c r="Q24" s="1342"/>
      <c r="R24" s="701"/>
      <c r="S24" s="702"/>
      <c r="T24" s="701"/>
      <c r="U24" s="702"/>
      <c r="V24" s="701"/>
      <c r="W24" s="702"/>
      <c r="X24" s="703"/>
      <c r="Y24" s="3685"/>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685"/>
      <c r="Q25" s="1342"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2">
        <f>D25/F25</f>
        <v>1</v>
      </c>
      <c r="AB25" s="1352">
        <f>D25/H25</f>
        <v>1</v>
      </c>
      <c r="AC25" s="1352">
        <f>D25/J25</f>
        <v>1</v>
      </c>
    </row>
    <row r="26" spans="1:29" s="108" customFormat="1" ht="15.75" thickBot="1">
      <c r="A26" s="597"/>
      <c r="B26" s="580"/>
      <c r="C26" s="1977" t="s">
        <v>3509</v>
      </c>
      <c r="D26" s="399"/>
      <c r="E26" s="1977" t="s">
        <v>3509</v>
      </c>
      <c r="F26" s="399"/>
      <c r="G26" s="1977" t="s">
        <v>3509</v>
      </c>
      <c r="H26" s="399"/>
      <c r="I26" s="1977" t="s">
        <v>3509</v>
      </c>
      <c r="J26" s="399"/>
      <c r="K26" s="620"/>
      <c r="L26" s="2713"/>
      <c r="M26" s="2714"/>
      <c r="N26" s="2714"/>
      <c r="O26" s="2768"/>
      <c r="P26" s="3685"/>
      <c r="Q26" s="1342"/>
      <c r="R26" s="701"/>
      <c r="S26" s="702"/>
      <c r="T26" s="701"/>
      <c r="U26" s="702"/>
      <c r="V26" s="701"/>
      <c r="W26" s="702"/>
      <c r="X26" s="703"/>
      <c r="Y26" s="3685"/>
      <c r="Z26" s="52"/>
      <c r="AA26" s="704">
        <v>1</v>
      </c>
      <c r="AB26" s="704">
        <v>1</v>
      </c>
      <c r="AC26" s="704">
        <v>1</v>
      </c>
    </row>
    <row r="27" spans="1:29" ht="15" hidden="1">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5"/>
      <c r="Z27" s="1355" t="str">
        <f t="shared" ref="Z27:Z40" si="13">Q27</f>
        <v>临街状况</v>
      </c>
      <c r="AA27" s="1352">
        <f t="shared" si="3"/>
        <v>1</v>
      </c>
      <c r="AB27" s="1352">
        <f t="shared" si="4"/>
        <v>1</v>
      </c>
      <c r="AC27" s="1352">
        <f t="shared" si="5"/>
        <v>1</v>
      </c>
    </row>
    <row r="28" spans="1:29" ht="27" hidden="1">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5"/>
      <c r="Q28" s="1351" t="str">
        <f t="shared" si="8"/>
        <v>毗邻道路的类型与等级</v>
      </c>
      <c r="R28" s="705" t="s">
        <v>14</v>
      </c>
      <c r="S28" s="706">
        <f t="shared" si="10"/>
        <v>100</v>
      </c>
      <c r="T28" s="705" t="s">
        <v>14</v>
      </c>
      <c r="U28" s="706">
        <f t="shared" si="11"/>
        <v>100</v>
      </c>
      <c r="V28" s="705" t="s">
        <v>14</v>
      </c>
      <c r="W28" s="706">
        <f t="shared" si="12"/>
        <v>100</v>
      </c>
      <c r="X28" s="1354"/>
      <c r="Y28" s="3685"/>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18"/>
      <c r="M29" s="2712"/>
      <c r="N29" s="2712"/>
      <c r="O29" s="2770"/>
      <c r="P29" s="3685"/>
      <c r="Q29" s="1351"/>
      <c r="R29" s="705"/>
      <c r="S29" s="706"/>
      <c r="T29" s="705"/>
      <c r="U29" s="706"/>
      <c r="V29" s="705"/>
      <c r="W29" s="706"/>
      <c r="X29" s="1354"/>
      <c r="Y29" s="3685"/>
      <c r="Z29" s="1355"/>
      <c r="AA29" s="1352">
        <v>1</v>
      </c>
      <c r="AB29" s="1352">
        <v>1</v>
      </c>
      <c r="AC29" s="1352">
        <v>1</v>
      </c>
    </row>
    <row r="30" spans="1:29" ht="15" hidden="1">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5"/>
      <c r="Q30" s="1351" t="str">
        <f t="shared" si="8"/>
        <v>土地级别</v>
      </c>
      <c r="R30" s="705" t="s">
        <v>14</v>
      </c>
      <c r="S30" s="706">
        <f t="shared" si="10"/>
        <v>100</v>
      </c>
      <c r="T30" s="705" t="s">
        <v>14</v>
      </c>
      <c r="U30" s="706">
        <f t="shared" si="11"/>
        <v>100</v>
      </c>
      <c r="V30" s="705" t="s">
        <v>14</v>
      </c>
      <c r="W30" s="706">
        <f t="shared" si="12"/>
        <v>100</v>
      </c>
      <c r="X30" s="1354"/>
      <c r="Y30" s="3685"/>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5"/>
      <c r="Q31" s="1351">
        <f t="shared" si="8"/>
        <v>111</v>
      </c>
      <c r="R31" s="705" t="s">
        <v>14</v>
      </c>
      <c r="S31" s="706">
        <f t="shared" si="10"/>
        <v>100</v>
      </c>
      <c r="T31" s="705" t="s">
        <v>14</v>
      </c>
      <c r="U31" s="706">
        <f t="shared" si="11"/>
        <v>100</v>
      </c>
      <c r="V31" s="705" t="s">
        <v>14</v>
      </c>
      <c r="W31" s="706">
        <f t="shared" si="12"/>
        <v>100</v>
      </c>
      <c r="X31" s="1354"/>
      <c r="Y31" s="3685"/>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1" t="s">
        <v>1695</v>
      </c>
      <c r="Q32" s="1351">
        <f t="shared" si="8"/>
        <v>111</v>
      </c>
      <c r="R32" s="705" t="s">
        <v>14</v>
      </c>
      <c r="S32" s="706">
        <f t="shared" si="10"/>
        <v>100</v>
      </c>
      <c r="T32" s="705" t="s">
        <v>14</v>
      </c>
      <c r="U32" s="706">
        <f t="shared" si="11"/>
        <v>100</v>
      </c>
      <c r="V32" s="705" t="s">
        <v>14</v>
      </c>
      <c r="W32" s="706">
        <f t="shared" si="12"/>
        <v>100</v>
      </c>
      <c r="X32" s="1354"/>
      <c r="Y32" s="3686" t="s">
        <v>1695</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6"/>
      <c r="Q33" s="1351">
        <f t="shared" si="8"/>
        <v>111</v>
      </c>
      <c r="R33" s="708" t="s">
        <v>14</v>
      </c>
      <c r="S33" s="709">
        <f t="shared" si="10"/>
        <v>100</v>
      </c>
      <c r="T33" s="708" t="s">
        <v>14</v>
      </c>
      <c r="U33" s="709">
        <f t="shared" si="11"/>
        <v>100</v>
      </c>
      <c r="V33" s="708" t="s">
        <v>14</v>
      </c>
      <c r="W33" s="709">
        <f t="shared" si="12"/>
        <v>100</v>
      </c>
      <c r="X33" s="710"/>
      <c r="Y33" s="3686"/>
      <c r="Z33" s="711">
        <f t="shared" si="13"/>
        <v>111</v>
      </c>
      <c r="AA33" s="1352">
        <f t="shared" si="3"/>
        <v>1</v>
      </c>
      <c r="AB33" s="1352">
        <f t="shared" si="4"/>
        <v>1</v>
      </c>
      <c r="AC33" s="1352">
        <f t="shared" si="5"/>
        <v>1</v>
      </c>
    </row>
    <row r="34" spans="1:31" ht="15">
      <c r="A34" s="391" t="s">
        <v>1693</v>
      </c>
      <c r="B34" s="407" t="s">
        <v>1873</v>
      </c>
      <c r="C34" s="627">
        <f>'数据-基础表'!A3</f>
        <v>19340</v>
      </c>
      <c r="D34" s="418">
        <v>100</v>
      </c>
      <c r="E34" s="627">
        <f>案例!I10</f>
        <v>16627.21</v>
      </c>
      <c r="F34" s="418">
        <f>LOOKUP(E34,108:108,109:109)-LOOKUP(C34,108:108,109:109)+100</f>
        <v>100</v>
      </c>
      <c r="G34" s="627">
        <f>案例!I13</f>
        <v>16697.47</v>
      </c>
      <c r="H34" s="418">
        <f>LOOKUP(G34,108:108,109:109)-LOOKUP(C34,108:108,109:109)+100</f>
        <v>100</v>
      </c>
      <c r="I34" s="479">
        <f>案例!I15</f>
        <v>8700</v>
      </c>
      <c r="J34" s="418">
        <f>LOOKUP(I34,108:108,109:109)-LOOKUP(C34,108:108,109:109)+100</f>
        <v>98</v>
      </c>
      <c r="K34" s="562"/>
      <c r="L34" s="2718"/>
      <c r="M34" s="2712"/>
      <c r="N34" s="2712"/>
      <c r="O34" s="2770"/>
      <c r="P34" s="3686"/>
      <c r="Q34" s="1351" t="str">
        <f>B34</f>
        <v>宗地面积</v>
      </c>
      <c r="R34" s="705" t="s">
        <v>14</v>
      </c>
      <c r="S34" s="706">
        <f t="shared" si="10"/>
        <v>100</v>
      </c>
      <c r="T34" s="705" t="s">
        <v>14</v>
      </c>
      <c r="U34" s="706">
        <f t="shared" si="11"/>
        <v>100</v>
      </c>
      <c r="V34" s="705" t="s">
        <v>14</v>
      </c>
      <c r="W34" s="706">
        <f t="shared" si="12"/>
        <v>98</v>
      </c>
      <c r="X34" s="1354"/>
      <c r="Y34" s="3686"/>
      <c r="Z34" s="1355" t="str">
        <f t="shared" si="13"/>
        <v>宗地面积</v>
      </c>
      <c r="AA34" s="1352">
        <f t="shared" si="3"/>
        <v>1</v>
      </c>
      <c r="AB34" s="1352">
        <f t="shared" si="4"/>
        <v>1</v>
      </c>
      <c r="AC34" s="1352">
        <f t="shared" si="5"/>
        <v>1.0204081632653061</v>
      </c>
    </row>
    <row r="35" spans="1:31" ht="15">
      <c r="A35" s="423"/>
      <c r="B35" s="375" t="s">
        <v>1874</v>
      </c>
      <c r="C35" s="1905" t="s">
        <v>3510</v>
      </c>
      <c r="D35" s="386">
        <v>100</v>
      </c>
      <c r="E35" s="1905" t="s">
        <v>3510</v>
      </c>
      <c r="F35" s="386">
        <f>SUMIF(110:110,E35,111:111)-SUMIF(110:110,C35,111:111)+100</f>
        <v>100</v>
      </c>
      <c r="G35" s="1905" t="s">
        <v>3510</v>
      </c>
      <c r="H35" s="386">
        <f>SUMIF(110:110,G35,111:111)-SUMIF(110:110,C35,111:111)+100</f>
        <v>100</v>
      </c>
      <c r="I35" s="1905" t="s">
        <v>3510</v>
      </c>
      <c r="J35" s="386">
        <f>SUMIF(110:110,I35,111:111)-SUMIF(110:110,C35,111:111)+100</f>
        <v>100</v>
      </c>
      <c r="K35" s="561">
        <v>1</v>
      </c>
      <c r="L35" s="2718"/>
      <c r="M35" s="2712"/>
      <c r="N35" s="2712"/>
      <c r="O35" s="2770"/>
      <c r="P35" s="3686"/>
      <c r="Q35" s="1351" t="str">
        <f t="shared" ref="Q35:Q40" si="14">B35</f>
        <v>宗地形状</v>
      </c>
      <c r="R35" s="705" t="s">
        <v>14</v>
      </c>
      <c r="S35" s="706">
        <f t="shared" si="10"/>
        <v>100</v>
      </c>
      <c r="T35" s="705" t="s">
        <v>14</v>
      </c>
      <c r="U35" s="706">
        <f t="shared" si="11"/>
        <v>100</v>
      </c>
      <c r="V35" s="705" t="s">
        <v>14</v>
      </c>
      <c r="W35" s="706">
        <f t="shared" si="12"/>
        <v>100</v>
      </c>
      <c r="X35" s="1354"/>
      <c r="Y35" s="3686"/>
      <c r="Z35" s="1355" t="str">
        <f t="shared" si="13"/>
        <v>宗地形状</v>
      </c>
      <c r="AA35" s="1352">
        <f t="shared" si="3"/>
        <v>1</v>
      </c>
      <c r="AB35" s="1352">
        <f t="shared" si="4"/>
        <v>1</v>
      </c>
      <c r="AC35" s="1352">
        <f t="shared" si="5"/>
        <v>1</v>
      </c>
    </row>
    <row r="36" spans="1:31" s="108" customFormat="1" ht="15">
      <c r="A36" s="424"/>
      <c r="B36" s="375" t="s">
        <v>1876</v>
      </c>
      <c r="C36" s="1979" t="s">
        <v>3509</v>
      </c>
      <c r="D36" s="127">
        <v>100</v>
      </c>
      <c r="E36" s="1979" t="s">
        <v>3509</v>
      </c>
      <c r="F36" s="386">
        <f>SUMIF(112:112,E36,113:113)-SUMIF(112:112,C36,113:113)+100</f>
        <v>100</v>
      </c>
      <c r="G36" s="1979" t="s">
        <v>3509</v>
      </c>
      <c r="H36" s="386">
        <f>SUMIF(112:112,G36,113:113)-SUMIF(112:112,C36,113:113)+100</f>
        <v>100</v>
      </c>
      <c r="I36" s="1979" t="s">
        <v>3509</v>
      </c>
      <c r="J36" s="386">
        <f>SUMIF(112:112,I36,113:113)-SUMIF(112:112,C36,113:113)+100</f>
        <v>100</v>
      </c>
      <c r="K36" s="561">
        <v>1</v>
      </c>
      <c r="L36" s="2713"/>
      <c r="M36" s="2714"/>
      <c r="N36" s="2714"/>
      <c r="O36" s="2768"/>
      <c r="P36" s="3686"/>
      <c r="Q36" s="1351"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75" thickBot="1">
      <c r="A37" s="423"/>
      <c r="B37" s="375" t="s">
        <v>1877</v>
      </c>
      <c r="C37" s="1905" t="s">
        <v>3505</v>
      </c>
      <c r="D37" s="386">
        <v>100</v>
      </c>
      <c r="E37" s="1905" t="s">
        <v>3505</v>
      </c>
      <c r="F37" s="386">
        <f>SUMIF(114:114,E37,115:115)-SUMIF(114:114,C37,115:115)+100</f>
        <v>100</v>
      </c>
      <c r="G37" s="1905" t="s">
        <v>3505</v>
      </c>
      <c r="H37" s="386">
        <f>SUMIF(114:114,G37,115:115)-SUMIF(114:114,C37,115:115)+100</f>
        <v>100</v>
      </c>
      <c r="I37" s="1905" t="s">
        <v>3505</v>
      </c>
      <c r="J37" s="386">
        <f>SUMIF(114:114,I37,115:115)-SUMIF(114:114,C37,115:115)+100</f>
        <v>100</v>
      </c>
      <c r="K37" s="561">
        <v>1</v>
      </c>
      <c r="L37" s="2718"/>
      <c r="M37" s="2712"/>
      <c r="N37" s="2712"/>
      <c r="O37" s="2770"/>
      <c r="P37" s="3686" t="s">
        <v>1695</v>
      </c>
      <c r="Q37" s="1351" t="str">
        <f t="shared" si="14"/>
        <v>工程地质条件</v>
      </c>
      <c r="R37" s="705" t="s">
        <v>14</v>
      </c>
      <c r="S37" s="706">
        <f t="shared" si="10"/>
        <v>100</v>
      </c>
      <c r="T37" s="705" t="s">
        <v>14</v>
      </c>
      <c r="U37" s="706">
        <f t="shared" si="11"/>
        <v>100</v>
      </c>
      <c r="V37" s="705" t="s">
        <v>14</v>
      </c>
      <c r="W37" s="706">
        <f t="shared" si="12"/>
        <v>100</v>
      </c>
      <c r="X37" s="1354"/>
      <c r="Y37" s="3686" t="s">
        <v>1695</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6"/>
      <c r="Q38" s="1351">
        <f t="shared" si="14"/>
        <v>111</v>
      </c>
      <c r="R38" s="705" t="s">
        <v>14</v>
      </c>
      <c r="S38" s="706">
        <f t="shared" si="10"/>
        <v>100</v>
      </c>
      <c r="T38" s="705" t="s">
        <v>14</v>
      </c>
      <c r="U38" s="706">
        <f t="shared" si="11"/>
        <v>100</v>
      </c>
      <c r="V38" s="705" t="s">
        <v>14</v>
      </c>
      <c r="W38" s="706">
        <f t="shared" si="12"/>
        <v>100</v>
      </c>
      <c r="X38" s="1354"/>
      <c r="Y38" s="3686"/>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6"/>
      <c r="Q39" s="1351">
        <f t="shared" si="14"/>
        <v>111</v>
      </c>
      <c r="R39" s="705" t="s">
        <v>14</v>
      </c>
      <c r="S39" s="706">
        <f t="shared" si="10"/>
        <v>100</v>
      </c>
      <c r="T39" s="705" t="s">
        <v>14</v>
      </c>
      <c r="U39" s="706">
        <f t="shared" si="11"/>
        <v>100</v>
      </c>
      <c r="V39" s="705" t="s">
        <v>14</v>
      </c>
      <c r="W39" s="706">
        <f t="shared" si="12"/>
        <v>100</v>
      </c>
      <c r="X39" s="1354"/>
      <c r="Y39" s="3686"/>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6"/>
      <c r="Q40" s="1351">
        <f t="shared" si="14"/>
        <v>111</v>
      </c>
      <c r="R40" s="708" t="s">
        <v>14</v>
      </c>
      <c r="S40" s="709">
        <f t="shared" si="10"/>
        <v>100</v>
      </c>
      <c r="T40" s="708" t="s">
        <v>14</v>
      </c>
      <c r="U40" s="709">
        <f t="shared" si="11"/>
        <v>100</v>
      </c>
      <c r="V40" s="708" t="s">
        <v>14</v>
      </c>
      <c r="W40" s="709">
        <f t="shared" si="12"/>
        <v>100</v>
      </c>
      <c r="X40" s="710"/>
      <c r="Y40" s="3686"/>
      <c r="Z40" s="711">
        <f t="shared" si="13"/>
        <v>111</v>
      </c>
      <c r="AA40" s="1352">
        <f t="shared" si="3"/>
        <v>1</v>
      </c>
      <c r="AB40" s="1352">
        <f t="shared" si="4"/>
        <v>1</v>
      </c>
      <c r="AC40" s="1352">
        <f t="shared" si="5"/>
        <v>1</v>
      </c>
    </row>
    <row r="41" spans="1:31" ht="15">
      <c r="A41" s="430" t="s">
        <v>1843</v>
      </c>
      <c r="B41" s="1981" t="s">
        <v>3514</v>
      </c>
      <c r="C41" s="630" t="s">
        <v>0</v>
      </c>
      <c r="D41" s="432"/>
      <c r="E41" s="433">
        <f>案例!N10</f>
        <v>1708</v>
      </c>
      <c r="F41" s="434"/>
      <c r="G41" s="435">
        <f>案例!N13</f>
        <v>1656</v>
      </c>
      <c r="H41" s="436"/>
      <c r="I41" s="433">
        <f>案例!N15</f>
        <v>1656</v>
      </c>
      <c r="J41" s="436"/>
      <c r="K41" s="714"/>
      <c r="L41" s="2720"/>
      <c r="M41" s="2712"/>
      <c r="N41" s="2712"/>
      <c r="O41" s="2721"/>
      <c r="P41" s="3667" t="str">
        <f>A41</f>
        <v>成交单价</v>
      </c>
      <c r="Q41" s="3667"/>
      <c r="R41" s="3683">
        <f>E41</f>
        <v>1708</v>
      </c>
      <c r="S41" s="3683"/>
      <c r="T41" s="3683">
        <f>G41</f>
        <v>1656</v>
      </c>
      <c r="U41" s="3683"/>
      <c r="V41" s="3683">
        <f>I41</f>
        <v>1656</v>
      </c>
      <c r="W41" s="3683"/>
      <c r="X41" s="690"/>
      <c r="Y41" s="712"/>
      <c r="Z41" s="690"/>
      <c r="AA41" s="690"/>
      <c r="AB41" s="690"/>
      <c r="AC41" s="690"/>
    </row>
    <row r="42" spans="1:31" ht="15.75" thickBot="1">
      <c r="A42" s="437" t="s">
        <v>1792</v>
      </c>
      <c r="B42" s="631"/>
      <c r="C42" s="440">
        <f>R43</f>
        <v>1546</v>
      </c>
      <c r="D42" s="2316" t="s">
        <v>2136</v>
      </c>
      <c r="E42" s="440">
        <f>R42</f>
        <v>1550</v>
      </c>
      <c r="F42" s="2317"/>
      <c r="G42" s="439">
        <f>T42</f>
        <v>1527</v>
      </c>
      <c r="H42" s="2317"/>
      <c r="I42" s="440">
        <f>V42</f>
        <v>1562</v>
      </c>
      <c r="J42" s="2317"/>
      <c r="K42" s="2319">
        <f>F42+H42+J42</f>
        <v>0</v>
      </c>
      <c r="L42" s="2720"/>
      <c r="M42" s="2712"/>
      <c r="N42" s="2712"/>
      <c r="O42" s="2721"/>
      <c r="P42" s="3667" t="str">
        <f>A42</f>
        <v>比较价值（元/平方米）</v>
      </c>
      <c r="Q42" s="3667"/>
      <c r="R42" s="3705">
        <f>ROUND(PRODUCT(R41,AA7:AA40),0)</f>
        <v>1550</v>
      </c>
      <c r="S42" s="3705"/>
      <c r="T42" s="3705">
        <f>ROUND(PRODUCT(T41,AB7:AB40),0)</f>
        <v>1527</v>
      </c>
      <c r="U42" s="3705"/>
      <c r="V42" s="3705">
        <f>ROUND(PRODUCT(V41,AC7:AC40),0)</f>
        <v>1562</v>
      </c>
      <c r="W42" s="3705"/>
      <c r="X42" s="690"/>
      <c r="Y42" s="690"/>
      <c r="Z42" s="690"/>
      <c r="AA42" s="690"/>
      <c r="AB42" s="690"/>
      <c r="AC42" s="690"/>
    </row>
    <row r="43" spans="1:31" ht="15.75" thickBot="1">
      <c r="A43" s="441" t="s">
        <v>1793</v>
      </c>
      <c r="B43" s="442"/>
      <c r="C43" s="443">
        <f>R43</f>
        <v>1546</v>
      </c>
      <c r="D43" s="443"/>
      <c r="E43" s="443"/>
      <c r="F43" s="443"/>
      <c r="G43" s="443"/>
      <c r="H43" s="443"/>
      <c r="I43" s="443"/>
      <c r="J43" s="443"/>
      <c r="K43" s="715"/>
      <c r="L43" s="2720"/>
      <c r="M43" s="2712"/>
      <c r="N43" s="2712"/>
      <c r="O43" s="2721"/>
      <c r="P43" s="3702" t="str">
        <f>A43</f>
        <v>估价对象XX用房的比较价值（楼面单价，元/平方米）</v>
      </c>
      <c r="Q43" s="3703"/>
      <c r="R43" s="3704">
        <f>ROUND(IF(D42="简单平均",AVERAGE(R42:W42),R42*F42+T42*H42+V42*J42),0)</f>
        <v>1546</v>
      </c>
      <c r="S43" s="3704"/>
      <c r="T43" s="3704"/>
      <c r="U43" s="3704"/>
      <c r="V43" s="3704"/>
      <c r="W43" s="370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f>IF(E41&lt;E42,E42/E41-1,E41/E42-1)</f>
        <v>0.10193548387096785</v>
      </c>
      <c r="F46" s="449" t="str">
        <f>IF(OR(E46&gt;=0.3,E46&lt;=-0.3),"超过30%","")</f>
        <v/>
      </c>
      <c r="G46" s="448">
        <f>IF(G41&lt;G42,G42/G41-1,G41/G42-1)</f>
        <v>8.4479371316306562E-2</v>
      </c>
      <c r="H46" s="449" t="str">
        <f>IF(OR(G46&gt;=0.3,G46&lt;=-0.3),"超过30%","")</f>
        <v/>
      </c>
      <c r="I46" s="448">
        <f>IF(I41&lt;I42,I42/I41-1,I41/I42-1)</f>
        <v>6.0179257362355854E-2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f>IF(E42&lt;G42,G42/E42-1,E42/G42-1)</f>
        <v>1.5062213490504295E-2</v>
      </c>
      <c r="F47" s="449" t="str">
        <f>IF(OR(E47&gt;=0.2,E47&lt;=-0.2),"超过20%","")</f>
        <v/>
      </c>
      <c r="G47" s="448">
        <f>IF(G42&lt;I42,I42/G42-1,G42/I42-1)</f>
        <v>2.2920759659462941E-2</v>
      </c>
      <c r="H47" s="449" t="str">
        <f>IF(OR(G47&gt;=0.2,G47&lt;=-0.2),"超过20%","")</f>
        <v/>
      </c>
      <c r="I47" s="448">
        <f>IF(I42&lt;E42,E42/I42-1,I42/E42-1)</f>
        <v>7.7419354838710319E-3</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664" t="s">
        <v>1886</v>
      </c>
      <c r="H50" s="3665"/>
      <c r="I50" s="1355" t="s">
        <v>1921</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f>C43</f>
        <v>1546</v>
      </c>
      <c r="C51" s="638">
        <v>1</v>
      </c>
      <c r="D51" s="944">
        <v>1</v>
      </c>
      <c r="E51" s="638">
        <f>'数据-汇总表'!E8+'数据-汇总表'!E9</f>
        <v>34710.700000000004</v>
      </c>
      <c r="F51" s="639">
        <f t="shared" ref="F51:F60" si="15">ROUND(B51*E51/10000,0)</f>
        <v>5366</v>
      </c>
      <c r="G51" s="3666"/>
      <c r="H51" s="366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f>ROUND($C$43*C52*D52,0)</f>
        <v>0</v>
      </c>
      <c r="C52" s="171">
        <f t="shared" ref="C52:C60" si="16">IF($C$50="北京市系数",I52,J52)</f>
        <v>0</v>
      </c>
      <c r="D52" s="945">
        <v>0.25</v>
      </c>
      <c r="E52" s="642"/>
      <c r="F52" s="639">
        <f t="shared" si="15"/>
        <v>0</v>
      </c>
      <c r="G52" s="3002" t="s">
        <v>1891</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f t="shared" si="17"/>
        <v>0</v>
      </c>
      <c r="C57" s="171">
        <f t="shared" si="16"/>
        <v>0</v>
      </c>
      <c r="D57" s="945">
        <v>0.25</v>
      </c>
      <c r="E57" s="3476">
        <f>'数据-汇总表'!E12</f>
        <v>1009.6600000000001</v>
      </c>
      <c r="F57" s="639">
        <f t="shared" si="15"/>
        <v>0</v>
      </c>
      <c r="G57" s="892" t="s">
        <v>21</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f t="shared" si="17"/>
        <v>0</v>
      </c>
      <c r="C58" s="171">
        <f t="shared" si="16"/>
        <v>0</v>
      </c>
      <c r="D58" s="945">
        <v>0.25</v>
      </c>
      <c r="E58" s="3476">
        <f>'数据-汇总表'!E13</f>
        <v>5273.85</v>
      </c>
      <c r="F58" s="639">
        <f t="shared" si="15"/>
        <v>0</v>
      </c>
      <c r="G58" s="892" t="s">
        <v>3529</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5366</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3468">
        <v>43862</v>
      </c>
      <c r="Q65" s="3468">
        <v>43831</v>
      </c>
      <c r="R65" s="3468">
        <v>43556</v>
      </c>
      <c r="S65" s="3468">
        <v>43525</v>
      </c>
      <c r="T65" s="3468">
        <v>43497</v>
      </c>
      <c r="U65" s="3468">
        <v>43466</v>
      </c>
      <c r="V65" s="2737"/>
      <c r="W65" s="2737"/>
      <c r="X65" s="2737"/>
      <c r="Y65" s="2737"/>
      <c r="Z65" s="2737"/>
      <c r="AA65" s="2737"/>
      <c r="AB65" s="2737"/>
      <c r="AC65" s="2737"/>
      <c r="AD65" s="2737"/>
      <c r="AE65" s="2737"/>
    </row>
    <row r="66" spans="1:31" s="108" customFormat="1" ht="30.75" customHeight="1">
      <c r="A66" s="1993" t="s">
        <v>1922</v>
      </c>
      <c r="B66" s="288" t="str">
        <f>"北京市平均增长率"&amp;TEXT(基准地价修正!P28,"0.00%")</f>
        <v>北京市平均增长率0.00%</v>
      </c>
      <c r="C66" s="552">
        <v>100</v>
      </c>
      <c r="D66" s="544">
        <f>C66-0.2</f>
        <v>99.8</v>
      </c>
      <c r="E66" s="544">
        <f t="shared" ref="E66:U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544">
        <f t="shared" si="20"/>
        <v>97.399999999999963</v>
      </c>
      <c r="Q66" s="544">
        <f t="shared" si="20"/>
        <v>97.19999999999996</v>
      </c>
      <c r="R66" s="544">
        <f t="shared" si="20"/>
        <v>96.999999999999957</v>
      </c>
      <c r="S66" s="544">
        <f t="shared" si="20"/>
        <v>96.799999999999955</v>
      </c>
      <c r="T66" s="544">
        <f t="shared" si="20"/>
        <v>96.599999999999952</v>
      </c>
      <c r="U66" s="544">
        <f t="shared" si="20"/>
        <v>96.399999999999949</v>
      </c>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1718</v>
      </c>
      <c r="B70" s="477" t="s">
        <v>1684</v>
      </c>
      <c r="C70" s="3467" t="s">
        <v>3508</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2" t="str">
        <f t="shared" si="26"/>
        <v>(含)-</v>
      </c>
      <c r="L107" s="1332" t="str">
        <f t="shared" si="26"/>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10000</v>
      </c>
      <c r="E108" s="544">
        <v>20000</v>
      </c>
      <c r="F108" s="544">
        <v>30000</v>
      </c>
      <c r="G108" s="544">
        <v>40000</v>
      </c>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v>102</v>
      </c>
      <c r="E109" s="540">
        <v>104</v>
      </c>
      <c r="F109" s="540">
        <v>106</v>
      </c>
      <c r="G109" s="540">
        <v>108</v>
      </c>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3469" t="s">
        <v>3511</v>
      </c>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3470" t="s">
        <v>3512</v>
      </c>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3470" t="s">
        <v>3513</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6" priority="18" stopIfTrue="1" operator="containsText" text="超过">
      <formula>NOT(ISERROR(SEARCH("超过",F46)))</formula>
    </cfRule>
  </conditionalFormatting>
  <conditionalFormatting sqref="J48">
    <cfRule type="containsText" dxfId="175" priority="17" stopIfTrue="1" operator="containsText" text="超过">
      <formula>NOT(ISERROR(SEARCH("超过",J48)))</formula>
    </cfRule>
  </conditionalFormatting>
  <conditionalFormatting sqref="H48">
    <cfRule type="containsText" dxfId="174" priority="16" stopIfTrue="1" operator="containsText" text="超过">
      <formula>NOT(ISERROR(SEARCH("超过",H48)))</formula>
    </cfRule>
  </conditionalFormatting>
  <conditionalFormatting sqref="F48">
    <cfRule type="containsText" dxfId="173" priority="15" stopIfTrue="1" operator="containsText" text="超过">
      <formula>NOT(ISERROR(SEARCH("超过",F48)))</formula>
    </cfRule>
  </conditionalFormatting>
  <conditionalFormatting sqref="F47 H47 J47">
    <cfRule type="containsText" dxfId="172" priority="14" stopIfTrue="1" operator="containsText" text="超过">
      <formula>NOT(ISERROR(SEARCH("超过",F47)))</formula>
    </cfRule>
  </conditionalFormatting>
  <conditionalFormatting sqref="E46">
    <cfRule type="expression" dxfId="171" priority="13" stopIfTrue="1">
      <formula>$F$46="超过30%"</formula>
    </cfRule>
  </conditionalFormatting>
  <conditionalFormatting sqref="G48">
    <cfRule type="expression" dxfId="170" priority="12" stopIfTrue="1">
      <formula>$H$48="超过30%"</formula>
    </cfRule>
  </conditionalFormatting>
  <conditionalFormatting sqref="E48">
    <cfRule type="expression" dxfId="169" priority="10" stopIfTrue="1">
      <formula>$F$48="超过30%"</formula>
    </cfRule>
  </conditionalFormatting>
  <conditionalFormatting sqref="G46">
    <cfRule type="expression" dxfId="168" priority="9" stopIfTrue="1">
      <formula>$H$46="超过30%"</formula>
    </cfRule>
  </conditionalFormatting>
  <conditionalFormatting sqref="G47">
    <cfRule type="expression" dxfId="167" priority="8" stopIfTrue="1">
      <formula>$H$47="超过20%"</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E47">
    <cfRule type="expression" dxfId="163" priority="53" stopIfTrue="1">
      <formula>#REF!+$F$47="超过20%"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G10" sqref="G10:G15"/>
    </sheetView>
  </sheetViews>
  <sheetFormatPr defaultRowHeight="13.5"/>
  <cols>
    <col min="1" max="1" width="12" style="3461" customWidth="1"/>
    <col min="2" max="2" width="20" style="3461" customWidth="1"/>
    <col min="3" max="3" width="7.875" style="3461" customWidth="1"/>
    <col min="4" max="5" width="8.375" style="3461" customWidth="1"/>
    <col min="6" max="6" width="8.625" style="3461" customWidth="1"/>
    <col min="7" max="7" width="11.125" style="3461" customWidth="1"/>
    <col min="8" max="8" width="9.875" style="3461" customWidth="1"/>
    <col min="9" max="9" width="10.75" style="3461" customWidth="1"/>
    <col min="10" max="10" width="10.875" style="3461" customWidth="1"/>
    <col min="11" max="11" width="12.375" style="3461" customWidth="1"/>
    <col min="12" max="12" width="11.25" style="3461" customWidth="1"/>
    <col min="13" max="13" width="11.875" style="3461" customWidth="1"/>
    <col min="14" max="14" width="9.5" style="3461" customWidth="1"/>
    <col min="15" max="15" width="4.875" style="3461" customWidth="1"/>
    <col min="16" max="16" width="9.875" style="3461" customWidth="1"/>
    <col min="17" max="17" width="20" style="3461" hidden="1" customWidth="1"/>
    <col min="18" max="18" width="20" style="3461" customWidth="1"/>
    <col min="19" max="16384" width="9" style="3461"/>
  </cols>
  <sheetData>
    <row r="1" spans="1:17">
      <c r="A1" s="3461" t="s">
        <v>3410</v>
      </c>
      <c r="B1" s="3461" t="s">
        <v>3411</v>
      </c>
      <c r="C1" s="3461" t="s">
        <v>3412</v>
      </c>
      <c r="D1" s="3461" t="s">
        <v>3413</v>
      </c>
      <c r="E1" s="3461" t="s">
        <v>3414</v>
      </c>
      <c r="F1" s="3461" t="s">
        <v>3415</v>
      </c>
      <c r="G1" s="3461" t="s">
        <v>3416</v>
      </c>
      <c r="H1" s="3461" t="s">
        <v>3417</v>
      </c>
      <c r="I1" s="3461" t="s">
        <v>3418</v>
      </c>
      <c r="J1" s="3461" t="s">
        <v>3419</v>
      </c>
      <c r="K1" s="3461" t="s">
        <v>3420</v>
      </c>
      <c r="L1" s="3461" t="s">
        <v>3421</v>
      </c>
      <c r="M1" s="3461" t="s">
        <v>3422</v>
      </c>
      <c r="N1" s="3461" t="s">
        <v>3423</v>
      </c>
      <c r="O1" s="3461" t="s">
        <v>3424</v>
      </c>
      <c r="P1" s="3461" t="s">
        <v>3425</v>
      </c>
      <c r="Q1" s="3461" t="s">
        <v>3426</v>
      </c>
    </row>
    <row r="2" spans="1:17">
      <c r="A2" s="3461" t="s">
        <v>3427</v>
      </c>
      <c r="B2" s="3461" t="s">
        <v>3428</v>
      </c>
      <c r="C2" s="3461" t="s">
        <v>3429</v>
      </c>
      <c r="D2" s="3461" t="s">
        <v>2481</v>
      </c>
      <c r="E2" s="3461" t="s">
        <v>3430</v>
      </c>
      <c r="F2" s="3461">
        <v>1.5</v>
      </c>
      <c r="G2" s="3461" t="s">
        <v>3431</v>
      </c>
      <c r="H2" s="3461">
        <v>141254.67000000001</v>
      </c>
      <c r="I2" s="3461">
        <v>94169.78</v>
      </c>
      <c r="J2" s="3461" t="s">
        <v>3432</v>
      </c>
      <c r="K2" s="3461">
        <v>15396.76</v>
      </c>
      <c r="L2" s="3462">
        <v>45098.000497685185</v>
      </c>
      <c r="M2" s="3461">
        <v>15396.76</v>
      </c>
      <c r="N2" s="3461">
        <v>1090</v>
      </c>
      <c r="O2" s="3461">
        <v>0</v>
      </c>
      <c r="P2" s="3461" t="s">
        <v>3433</v>
      </c>
      <c r="Q2" s="3461">
        <v>3080</v>
      </c>
    </row>
    <row r="3" spans="1:17">
      <c r="A3" s="3461" t="s">
        <v>3434</v>
      </c>
      <c r="B3" s="3461" t="s">
        <v>3435</v>
      </c>
      <c r="C3" s="3461" t="s">
        <v>3429</v>
      </c>
      <c r="D3" s="3461" t="s">
        <v>2481</v>
      </c>
      <c r="E3" s="3461" t="s">
        <v>3430</v>
      </c>
      <c r="F3" s="3461" t="s">
        <v>3436</v>
      </c>
      <c r="G3" s="3461" t="s">
        <v>3437</v>
      </c>
      <c r="H3" s="3461">
        <v>84245.85</v>
      </c>
      <c r="I3" s="3461">
        <v>84245.85</v>
      </c>
      <c r="J3" s="3461" t="s">
        <v>3438</v>
      </c>
      <c r="K3" s="3461">
        <v>23049.66</v>
      </c>
      <c r="L3" s="3462">
        <v>44931.000497685185</v>
      </c>
      <c r="M3" s="3461">
        <v>23049.66</v>
      </c>
      <c r="N3" s="3461">
        <v>2736</v>
      </c>
      <c r="O3" s="3461">
        <v>0</v>
      </c>
      <c r="P3" s="3461" t="s">
        <v>3439</v>
      </c>
      <c r="Q3" s="3461">
        <v>4610</v>
      </c>
    </row>
    <row r="4" spans="1:17">
      <c r="A4" s="3461" t="s">
        <v>3440</v>
      </c>
      <c r="B4" s="3461" t="s">
        <v>3441</v>
      </c>
      <c r="C4" s="3461" t="s">
        <v>3429</v>
      </c>
      <c r="D4" s="3461" t="s">
        <v>2481</v>
      </c>
      <c r="E4" s="3461" t="s">
        <v>3430</v>
      </c>
      <c r="F4" s="3461" t="s">
        <v>3442</v>
      </c>
      <c r="G4" s="3461" t="s">
        <v>3443</v>
      </c>
      <c r="H4" s="3461">
        <v>60326.05</v>
      </c>
      <c r="I4" s="3461">
        <v>40217.370000000003</v>
      </c>
      <c r="J4" s="3461" t="s">
        <v>3444</v>
      </c>
      <c r="K4" s="3461">
        <v>4964.83</v>
      </c>
      <c r="L4" s="3462">
        <v>44832.000497685185</v>
      </c>
      <c r="M4" s="3461">
        <v>4964.83</v>
      </c>
      <c r="N4" s="3461">
        <v>823</v>
      </c>
      <c r="O4" s="3461">
        <v>0</v>
      </c>
      <c r="P4" s="3461" t="s">
        <v>3445</v>
      </c>
      <c r="Q4" s="3461">
        <v>1000</v>
      </c>
    </row>
    <row r="5" spans="1:17">
      <c r="A5" s="3461" t="s">
        <v>3446</v>
      </c>
      <c r="B5" s="3461" t="s">
        <v>3447</v>
      </c>
      <c r="C5" s="3461" t="s">
        <v>3429</v>
      </c>
      <c r="D5" s="3461" t="s">
        <v>2481</v>
      </c>
      <c r="E5" s="3461" t="s">
        <v>3430</v>
      </c>
      <c r="F5" s="3461" t="s">
        <v>3442</v>
      </c>
      <c r="G5" s="3461" t="s">
        <v>3443</v>
      </c>
      <c r="H5" s="3461">
        <v>97536.66</v>
      </c>
      <c r="I5" s="3461">
        <v>65024.44</v>
      </c>
      <c r="J5" s="3461" t="s">
        <v>3448</v>
      </c>
      <c r="K5" s="3461">
        <v>8017.51</v>
      </c>
      <c r="L5" s="3462">
        <v>44761.000497685185</v>
      </c>
      <c r="M5" s="3461">
        <v>8017.51</v>
      </c>
      <c r="N5" s="3461">
        <v>822</v>
      </c>
      <c r="O5" s="3461">
        <v>0</v>
      </c>
      <c r="P5" s="3461" t="s">
        <v>3449</v>
      </c>
      <c r="Q5" s="3461">
        <v>1600</v>
      </c>
    </row>
    <row r="6" spans="1:17">
      <c r="A6" s="3461" t="s">
        <v>3450</v>
      </c>
      <c r="B6" s="3461" t="s">
        <v>3451</v>
      </c>
      <c r="C6" s="3461" t="s">
        <v>3429</v>
      </c>
      <c r="D6" s="3461" t="s">
        <v>2481</v>
      </c>
      <c r="E6" s="3461" t="s">
        <v>3430</v>
      </c>
      <c r="F6" s="3461" t="s">
        <v>3442</v>
      </c>
      <c r="G6" s="3461" t="s">
        <v>3443</v>
      </c>
      <c r="H6" s="3461">
        <v>39975.61</v>
      </c>
      <c r="I6" s="3461">
        <v>26650.41</v>
      </c>
      <c r="J6" s="3461" t="s">
        <v>3452</v>
      </c>
      <c r="K6" s="3461">
        <v>3258.01</v>
      </c>
      <c r="L6" s="3462">
        <v>44760.000497685185</v>
      </c>
      <c r="M6" s="3461">
        <v>3258.01</v>
      </c>
      <c r="N6" s="3461">
        <v>815</v>
      </c>
      <c r="O6" s="3461">
        <v>0</v>
      </c>
      <c r="P6" s="3461" t="s">
        <v>3453</v>
      </c>
      <c r="Q6" s="3461">
        <v>650</v>
      </c>
    </row>
    <row r="7" spans="1:17">
      <c r="A7" s="3461" t="s">
        <v>3454</v>
      </c>
      <c r="B7" s="3461" t="s">
        <v>3455</v>
      </c>
      <c r="C7" s="3461" t="s">
        <v>3429</v>
      </c>
      <c r="D7" s="3461" t="s">
        <v>2481</v>
      </c>
      <c r="E7" s="3461" t="s">
        <v>3430</v>
      </c>
      <c r="F7" s="3461" t="s">
        <v>3456</v>
      </c>
      <c r="G7" s="3461" t="s">
        <v>3443</v>
      </c>
      <c r="H7" s="3461">
        <v>100726.26</v>
      </c>
      <c r="I7" s="3461">
        <v>77481.740000000005</v>
      </c>
      <c r="J7" s="3461" t="s">
        <v>3452</v>
      </c>
      <c r="K7" s="3461">
        <v>8098.39</v>
      </c>
      <c r="L7" s="3462">
        <v>44760.000497685185</v>
      </c>
      <c r="M7" s="3461">
        <v>8098.39</v>
      </c>
      <c r="N7" s="3461">
        <v>804</v>
      </c>
      <c r="O7" s="3461">
        <v>0</v>
      </c>
      <c r="P7" s="3461" t="s">
        <v>3457</v>
      </c>
      <c r="Q7" s="3461">
        <v>1600</v>
      </c>
    </row>
    <row r="8" spans="1:17">
      <c r="A8" s="3461" t="s">
        <v>3458</v>
      </c>
      <c r="B8" s="3461" t="s">
        <v>3459</v>
      </c>
      <c r="C8" s="3461" t="s">
        <v>3429</v>
      </c>
      <c r="D8" s="3461" t="s">
        <v>2481</v>
      </c>
      <c r="E8" s="3461" t="s">
        <v>3430</v>
      </c>
      <c r="F8" s="3461" t="s">
        <v>3436</v>
      </c>
      <c r="G8" s="3461" t="s">
        <v>3460</v>
      </c>
      <c r="H8" s="3461">
        <v>48135.07</v>
      </c>
      <c r="I8" s="3461">
        <v>48135.07</v>
      </c>
      <c r="J8" s="3461" t="s">
        <v>3461</v>
      </c>
      <c r="K8" s="3461">
        <v>12487.17</v>
      </c>
      <c r="L8" s="3462">
        <v>44714.000497685185</v>
      </c>
      <c r="M8" s="3461">
        <v>12487.17</v>
      </c>
      <c r="N8" s="3461">
        <v>2594</v>
      </c>
      <c r="O8" s="3461">
        <v>0</v>
      </c>
      <c r="P8" s="3461" t="s">
        <v>3462</v>
      </c>
      <c r="Q8" s="3461">
        <v>2500</v>
      </c>
    </row>
    <row r="9" spans="1:17">
      <c r="A9" s="3461" t="s">
        <v>3463</v>
      </c>
      <c r="B9" s="3461" t="s">
        <v>3464</v>
      </c>
      <c r="C9" s="3461" t="s">
        <v>3429</v>
      </c>
      <c r="D9" s="3461" t="s">
        <v>2481</v>
      </c>
      <c r="E9" s="3461" t="s">
        <v>3430</v>
      </c>
      <c r="F9" s="3461" t="s">
        <v>3465</v>
      </c>
      <c r="G9" s="3461" t="s">
        <v>3443</v>
      </c>
      <c r="H9" s="3461">
        <v>22386</v>
      </c>
      <c r="I9" s="3461">
        <v>13991.5</v>
      </c>
      <c r="J9" s="3461" t="s">
        <v>3466</v>
      </c>
      <c r="K9" s="3461">
        <v>1811.03</v>
      </c>
      <c r="L9" s="3462">
        <v>44446.000497685185</v>
      </c>
      <c r="M9" s="3461">
        <v>1811.03</v>
      </c>
      <c r="N9" s="3461">
        <v>809</v>
      </c>
      <c r="O9" s="3461">
        <v>0</v>
      </c>
      <c r="P9" s="3461" t="s">
        <v>3467</v>
      </c>
      <c r="Q9" s="3461">
        <v>360</v>
      </c>
    </row>
    <row r="10" spans="1:17" s="3463" customFormat="1">
      <c r="A10" s="3463" t="s">
        <v>3468</v>
      </c>
      <c r="B10" s="3463" t="s">
        <v>3469</v>
      </c>
      <c r="C10" s="3463" t="s">
        <v>3429</v>
      </c>
      <c r="D10" s="3463" t="s">
        <v>2481</v>
      </c>
      <c r="E10" s="3463" t="s">
        <v>3430</v>
      </c>
      <c r="F10" s="3463" t="s">
        <v>3470</v>
      </c>
      <c r="G10" s="3463" t="s">
        <v>3443</v>
      </c>
      <c r="H10" s="3463">
        <v>29928.97</v>
      </c>
      <c r="I10" s="3463">
        <v>16627.21</v>
      </c>
      <c r="J10" s="3463" t="s">
        <v>3466</v>
      </c>
      <c r="K10" s="3463">
        <v>5111.87</v>
      </c>
      <c r="L10" s="3464">
        <v>44446.000497685185</v>
      </c>
      <c r="M10" s="3463">
        <v>5111.87</v>
      </c>
      <c r="N10" s="3463">
        <v>1708</v>
      </c>
      <c r="O10" s="3463">
        <v>0</v>
      </c>
      <c r="P10" s="3463" t="s">
        <v>3471</v>
      </c>
      <c r="Q10" s="3463">
        <v>1020</v>
      </c>
    </row>
    <row r="11" spans="1:17">
      <c r="A11" s="3461" t="s">
        <v>3472</v>
      </c>
      <c r="B11" s="3461" t="s">
        <v>3473</v>
      </c>
      <c r="C11" s="3461" t="s">
        <v>3429</v>
      </c>
      <c r="D11" s="3461" t="s">
        <v>2481</v>
      </c>
      <c r="E11" s="3461" t="s">
        <v>3430</v>
      </c>
      <c r="F11" s="3461" t="s">
        <v>3474</v>
      </c>
      <c r="G11" s="3461" t="s">
        <v>3475</v>
      </c>
      <c r="H11" s="3461">
        <v>200000</v>
      </c>
      <c r="I11" s="3461">
        <v>100000</v>
      </c>
      <c r="J11" s="3461" t="s">
        <v>3476</v>
      </c>
      <c r="K11" s="3461">
        <v>13020</v>
      </c>
      <c r="L11" s="3462">
        <v>44307.000497685185</v>
      </c>
      <c r="M11" s="3461">
        <v>13020</v>
      </c>
      <c r="N11" s="3461">
        <v>651</v>
      </c>
      <c r="O11" s="3461">
        <v>0</v>
      </c>
      <c r="P11" s="3461" t="s">
        <v>3477</v>
      </c>
      <c r="Q11" s="3461">
        <v>2600</v>
      </c>
    </row>
    <row r="12" spans="1:17" s="3465" customFormat="1">
      <c r="A12" s="3465" t="s">
        <v>3478</v>
      </c>
      <c r="B12" s="3465" t="s">
        <v>3479</v>
      </c>
      <c r="C12" s="3465" t="s">
        <v>3429</v>
      </c>
      <c r="D12" s="3465" t="s">
        <v>2481</v>
      </c>
      <c r="E12" s="3465" t="s">
        <v>3430</v>
      </c>
      <c r="F12" s="3465" t="s">
        <v>3480</v>
      </c>
      <c r="G12" s="3465" t="s">
        <v>3481</v>
      </c>
      <c r="H12" s="3465">
        <v>34812</v>
      </c>
      <c r="I12" s="3465">
        <v>19340</v>
      </c>
      <c r="J12" s="3465" t="s">
        <v>3482</v>
      </c>
      <c r="K12" s="3465">
        <v>5764.87</v>
      </c>
      <c r="L12" s="3466">
        <v>43873.000497685185</v>
      </c>
      <c r="M12" s="3465">
        <v>5764.87</v>
      </c>
      <c r="N12" s="3465">
        <v>1656</v>
      </c>
      <c r="O12" s="3465">
        <v>0</v>
      </c>
      <c r="P12" s="3465" t="s">
        <v>3483</v>
      </c>
      <c r="Q12" s="3465">
        <v>1800</v>
      </c>
    </row>
    <row r="13" spans="1:17" s="3463" customFormat="1">
      <c r="A13" s="3463" t="s">
        <v>3484</v>
      </c>
      <c r="B13" s="3463" t="s">
        <v>3485</v>
      </c>
      <c r="C13" s="3463" t="s">
        <v>3429</v>
      </c>
      <c r="D13" s="3463" t="s">
        <v>2481</v>
      </c>
      <c r="E13" s="3463" t="s">
        <v>3430</v>
      </c>
      <c r="F13" s="3463">
        <v>1.8</v>
      </c>
      <c r="G13" s="3463" t="s">
        <v>3486</v>
      </c>
      <c r="H13" s="3463">
        <v>30055</v>
      </c>
      <c r="I13" s="3463">
        <v>16697.47</v>
      </c>
      <c r="J13" s="3463" t="s">
        <v>3487</v>
      </c>
      <c r="K13" s="3463">
        <v>4977.1099999999997</v>
      </c>
      <c r="L13" s="3464">
        <v>43662.000497685185</v>
      </c>
      <c r="M13" s="3463">
        <v>4977.1099999999997</v>
      </c>
      <c r="N13" s="3463">
        <v>1656</v>
      </c>
      <c r="O13" s="3463">
        <v>0</v>
      </c>
      <c r="P13" s="3463" t="s">
        <v>3488</v>
      </c>
      <c r="Q13" s="3463">
        <v>1500</v>
      </c>
    </row>
    <row r="14" spans="1:17">
      <c r="A14" s="3461" t="s">
        <v>3489</v>
      </c>
      <c r="B14" s="3461" t="s">
        <v>3490</v>
      </c>
      <c r="C14" s="3461" t="s">
        <v>3429</v>
      </c>
      <c r="D14" s="3461" t="s">
        <v>2481</v>
      </c>
      <c r="E14" s="3461" t="s">
        <v>3430</v>
      </c>
      <c r="F14" s="3461">
        <v>2</v>
      </c>
      <c r="G14" s="3461" t="s">
        <v>3486</v>
      </c>
      <c r="H14" s="3461">
        <v>93237</v>
      </c>
      <c r="I14" s="3461">
        <v>46618.33</v>
      </c>
      <c r="J14" s="3461" t="s">
        <v>3491</v>
      </c>
      <c r="K14" s="3461">
        <v>16204.59</v>
      </c>
      <c r="L14" s="3462">
        <v>43577.000497685185</v>
      </c>
      <c r="M14" s="3461">
        <v>16204.59</v>
      </c>
      <c r="N14" s="3461">
        <v>1738</v>
      </c>
      <c r="O14" s="3461">
        <v>0</v>
      </c>
      <c r="P14" s="3461" t="s">
        <v>3492</v>
      </c>
      <c r="Q14" s="3461">
        <v>4850</v>
      </c>
    </row>
    <row r="15" spans="1:17" s="3463" customFormat="1">
      <c r="A15" s="3463" t="s">
        <v>3493</v>
      </c>
      <c r="B15" s="3463" t="s">
        <v>3494</v>
      </c>
      <c r="C15" s="3463" t="s">
        <v>3429</v>
      </c>
      <c r="D15" s="3463" t="s">
        <v>2481</v>
      </c>
      <c r="E15" s="3463" t="s">
        <v>3430</v>
      </c>
      <c r="F15" s="3463">
        <v>1.8</v>
      </c>
      <c r="G15" s="3463" t="s">
        <v>3486</v>
      </c>
      <c r="H15" s="3463">
        <v>15660</v>
      </c>
      <c r="I15" s="3463">
        <v>8700</v>
      </c>
      <c r="J15" s="3463" t="s">
        <v>3491</v>
      </c>
      <c r="K15" s="3463">
        <v>2593.3000000000002</v>
      </c>
      <c r="L15" s="3464">
        <v>43577.000497685185</v>
      </c>
      <c r="M15" s="3463">
        <v>2593.3000000000002</v>
      </c>
      <c r="N15" s="3463">
        <v>1656</v>
      </c>
      <c r="O15" s="3463">
        <v>0</v>
      </c>
      <c r="P15" s="3463" t="s">
        <v>3495</v>
      </c>
      <c r="Q15" s="3463">
        <v>780</v>
      </c>
    </row>
    <row r="16" spans="1:17">
      <c r="A16" s="3461" t="s">
        <v>3496</v>
      </c>
      <c r="B16" s="3461" t="s">
        <v>3497</v>
      </c>
      <c r="C16" s="3461" t="s">
        <v>3429</v>
      </c>
      <c r="D16" s="3461" t="s">
        <v>2481</v>
      </c>
      <c r="E16" s="3461" t="s">
        <v>3430</v>
      </c>
      <c r="F16" s="3461">
        <v>0.8</v>
      </c>
      <c r="G16" s="3461" t="s">
        <v>3498</v>
      </c>
      <c r="H16" s="3461">
        <v>3424</v>
      </c>
      <c r="I16" s="3461">
        <v>4280.58</v>
      </c>
      <c r="J16" s="3461" t="s">
        <v>3499</v>
      </c>
      <c r="K16" s="3461">
        <v>642.09</v>
      </c>
      <c r="L16" s="3462">
        <v>43094.000497685185</v>
      </c>
      <c r="M16" s="3461">
        <v>642.09</v>
      </c>
      <c r="N16" s="3461">
        <v>1875</v>
      </c>
      <c r="O16" s="3461">
        <v>0</v>
      </c>
      <c r="P16" s="3461" t="s">
        <v>3500</v>
      </c>
      <c r="Q16" s="3461">
        <v>200</v>
      </c>
    </row>
  </sheetData>
  <phoneticPr fontId="134"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A8" sqref="A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2"/>
      <c r="F1" s="2802"/>
      <c r="G1" s="2667"/>
      <c r="H1" s="2802"/>
      <c r="I1" s="2802"/>
      <c r="J1" s="2802"/>
      <c r="K1" s="2803">
        <f>MATCH(C1,'数据-取费表'!A6:A16,0)+5</f>
        <v>9</v>
      </c>
    </row>
    <row r="2" spans="1:33" ht="18" customHeight="1">
      <c r="A2" s="201" t="s">
        <v>1461</v>
      </c>
      <c r="B2" s="204">
        <f ca="1">C32</f>
        <v>24748</v>
      </c>
      <c r="C2" s="276" t="s">
        <v>1594</v>
      </c>
      <c r="D2" s="276"/>
      <c r="E2" s="2802"/>
      <c r="F2" s="2802"/>
      <c r="G2" s="2802"/>
      <c r="H2" s="2802"/>
      <c r="I2" s="2802"/>
      <c r="J2" s="2802"/>
      <c r="K2" s="2802"/>
    </row>
    <row r="3" spans="1:33" ht="18" customHeight="1" thickBot="1">
      <c r="A3" s="203" t="s">
        <v>1463</v>
      </c>
      <c r="B3" s="204">
        <f ca="1">ROUND(B2*10000/IF(C1="",'数据-汇总表'!E3,INDIRECT("'数据-取费表'!K"&amp;$K$1)),0)</f>
        <v>5197</v>
      </c>
      <c r="C3" s="276" t="s">
        <v>1595</v>
      </c>
      <c r="D3" s="276"/>
      <c r="E3" s="2802"/>
      <c r="F3" s="2802"/>
      <c r="G3" s="2802"/>
      <c r="H3" s="2802"/>
      <c r="I3" s="2802"/>
      <c r="J3" s="2802"/>
      <c r="K3" s="2802"/>
    </row>
    <row r="4" spans="1:33" s="785" customFormat="1" ht="16.5" customHeight="1">
      <c r="A4" s="782" t="s">
        <v>1596</v>
      </c>
      <c r="B4" s="783"/>
      <c r="C4" s="824">
        <f ca="1">SUM(C8:K8)</f>
        <v>33827</v>
      </c>
      <c r="D4" s="783"/>
      <c r="E4" s="783"/>
      <c r="F4" s="783"/>
      <c r="G4" s="783"/>
      <c r="H4" s="783"/>
      <c r="I4" s="783"/>
      <c r="J4" s="783"/>
      <c r="K4" s="784"/>
    </row>
    <row r="5" spans="1:33" s="789" customFormat="1" ht="15">
      <c r="A5" s="786" t="s">
        <v>1597</v>
      </c>
      <c r="B5" s="787" t="s">
        <v>1598</v>
      </c>
      <c r="C5" s="1859" t="s">
        <v>3</v>
      </c>
      <c r="D5" s="1859" t="s">
        <v>3338</v>
      </c>
      <c r="E5" s="1859" t="s">
        <v>3399</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8452</v>
      </c>
      <c r="D6" s="791">
        <f ca="1">'收益法(仓储)'!B3</f>
        <v>4140</v>
      </c>
      <c r="E6" s="791">
        <f ca="1">'收益法(车库)'!B3</f>
        <v>1579</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 ca="1">收益法!B2</f>
        <v>32576</v>
      </c>
      <c r="D8" s="825">
        <f ca="1">'收益法(仓储)'!B2</f>
        <v>418</v>
      </c>
      <c r="E8" s="825">
        <f ca="1">'收益法(车库)'!B2</f>
        <v>833</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4286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1612</v>
      </c>
      <c r="C12" s="21">
        <f ca="1">ROUND(C11*F12,0)</f>
        <v>214</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238</v>
      </c>
      <c r="D14" s="846">
        <f ca="1">IF(C1="",'数据-汇总表'!E3,INDIRECT("'数据-取费表'!K"&amp;$K$1)+INDIRECT("'数据-取费表'!S"&amp;$K$1))</f>
        <v>47621.420000000006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4802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47621.420000000006</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47621.420000000006</v>
      </c>
      <c r="E20" s="21">
        <f>'数据-取费表'!B28</f>
        <v>0</v>
      </c>
      <c r="F20" s="804"/>
      <c r="G20" s="12"/>
      <c r="H20" s="809"/>
      <c r="I20" s="809"/>
      <c r="J20" s="809"/>
      <c r="K20" s="810"/>
    </row>
    <row r="21" spans="1:33" s="803" customFormat="1" ht="13.5" customHeight="1">
      <c r="A21" s="790" t="s">
        <v>357</v>
      </c>
      <c r="B21" s="813" t="s">
        <v>1627</v>
      </c>
      <c r="C21" s="814">
        <f ca="1">C16+C17+C18</f>
        <v>4802</v>
      </c>
      <c r="D21" s="815"/>
      <c r="E21" s="281"/>
      <c r="F21" s="281"/>
      <c r="G21" s="131" t="s">
        <v>1628</v>
      </c>
      <c r="H21" s="807"/>
      <c r="I21" s="807"/>
      <c r="J21" s="807"/>
      <c r="K21" s="808"/>
    </row>
    <row r="22" spans="1:33" s="803" customFormat="1" ht="13.5" customHeight="1">
      <c r="A22" s="790" t="s">
        <v>1600</v>
      </c>
      <c r="B22" s="813" t="s">
        <v>1629</v>
      </c>
      <c r="C22" s="814">
        <f ca="1">ROUND(C21*F22,0)</f>
        <v>96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169</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44</v>
      </c>
      <c r="D25" s="280">
        <f ca="1">C26</f>
        <v>1.8100000000000002E-2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1.8100000000000002E-2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44</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456</v>
      </c>
      <c r="D28" s="280">
        <f ca="1">C29</f>
        <v>2.3199999999999998E-2</v>
      </c>
      <c r="E28" s="282" t="s">
        <v>12</v>
      </c>
      <c r="F28" s="288">
        <f ca="1">IF(C1="",'数据-取费表'!Q16,INDIRECT("'数据-取费表'!q"&amp;$K$1))</f>
        <v>0.09</v>
      </c>
      <c r="G28" s="817"/>
      <c r="H28" s="818"/>
      <c r="I28" s="818"/>
      <c r="J28" s="818"/>
      <c r="K28" s="819"/>
    </row>
    <row r="29" spans="1:33" s="291" customFormat="1" ht="13.5" customHeight="1">
      <c r="A29" s="800" t="s">
        <v>358</v>
      </c>
      <c r="B29" s="822" t="s">
        <v>1642</v>
      </c>
      <c r="C29" s="284">
        <f ca="1">ROUND((1+C24)*F28*'数据-取费表'!B24/'数据-取费表'!B20,4)</f>
        <v>2.3199999999999998E-2</v>
      </c>
      <c r="D29" s="284"/>
      <c r="E29" s="285"/>
      <c r="F29" s="290"/>
      <c r="G29" s="131" t="s">
        <v>1643</v>
      </c>
      <c r="H29" s="807"/>
      <c r="I29" s="807"/>
      <c r="J29" s="807"/>
      <c r="K29" s="808"/>
    </row>
    <row r="30" spans="1:33" s="291" customFormat="1" ht="13.5" customHeight="1">
      <c r="A30" s="800" t="s">
        <v>359</v>
      </c>
      <c r="B30" s="822" t="s">
        <v>1644</v>
      </c>
      <c r="C30" s="292">
        <f ca="1">ROUND((C21+C22+C23)*F28,0)</f>
        <v>456</v>
      </c>
      <c r="D30" s="284"/>
      <c r="E30" s="285"/>
      <c r="F30" s="290"/>
      <c r="G30" s="131"/>
      <c r="H30" s="807"/>
      <c r="I30" s="807"/>
      <c r="J30" s="807"/>
      <c r="K30" s="808"/>
    </row>
    <row r="31" spans="1:33" s="803" customFormat="1" ht="13.5" customHeight="1" thickBot="1">
      <c r="A31" s="1865" t="s">
        <v>1645</v>
      </c>
      <c r="B31" s="833" t="s">
        <v>1646</v>
      </c>
      <c r="C31" s="834">
        <f ca="1">ROUND(C4*F31/(1+'数据-取费表'!C42),0)</f>
        <v>1772</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24748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3522</v>
      </c>
      <c r="E1" s="1362" t="s">
        <v>678</v>
      </c>
      <c r="F1" s="1062">
        <f ca="1">J53</f>
        <v>16.25</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32576</v>
      </c>
      <c r="C2" s="1386" t="s">
        <v>805</v>
      </c>
      <c r="D2" s="1386"/>
      <c r="E2" s="1387"/>
      <c r="F2" s="1388"/>
      <c r="G2" s="2702"/>
      <c r="H2" s="2691"/>
      <c r="I2" s="2691"/>
      <c r="J2" s="2691"/>
      <c r="K2" s="2692"/>
      <c r="L2" s="2691"/>
      <c r="M2" s="2691"/>
    </row>
    <row r="3" spans="1:37" ht="18" customHeight="1" thickBot="1">
      <c r="A3" s="1389" t="s">
        <v>806</v>
      </c>
      <c r="B3" s="1390">
        <f ca="1">IF(ISERROR(B2*10000/F43),0,ROUND(B2*10000/F43,0))</f>
        <v>8452</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2789</v>
      </c>
      <c r="D5" s="1363" t="s">
        <v>693</v>
      </c>
      <c r="E5" s="1071"/>
      <c r="F5" s="1072"/>
      <c r="G5" s="1383"/>
      <c r="H5" s="299">
        <v>1</v>
      </c>
      <c r="I5" s="300" t="s">
        <v>692</v>
      </c>
      <c r="J5" s="1070">
        <f ca="1">J6+J10+J12</f>
        <v>0</v>
      </c>
      <c r="K5" s="1363" t="s">
        <v>693</v>
      </c>
      <c r="L5" s="1071"/>
      <c r="M5" s="1072"/>
    </row>
    <row r="6" spans="1:37" ht="18" customHeight="1">
      <c r="A6" s="1069" t="s">
        <v>398</v>
      </c>
      <c r="B6" s="3708" t="s">
        <v>694</v>
      </c>
      <c r="C6" s="1074">
        <f ca="1">ROUND(F6*F8*F7*(1-F9)/10000,0)</f>
        <v>2786</v>
      </c>
      <c r="D6" s="155" t="s">
        <v>2107</v>
      </c>
      <c r="E6" s="302" t="s">
        <v>696</v>
      </c>
      <c r="F6" s="303">
        <f ca="1">INDIRECT("'数据-取费表'!u"&amp;$G$1)</f>
        <v>2.2000000000000002</v>
      </c>
      <c r="G6" s="1383"/>
      <c r="H6" s="1069" t="s">
        <v>398</v>
      </c>
      <c r="I6" s="3708" t="s">
        <v>694</v>
      </c>
      <c r="J6" s="301">
        <f ca="1">ROUND(M6*M8*M7*(1-M9)/10000,0)</f>
        <v>0</v>
      </c>
      <c r="K6" s="155" t="s">
        <v>2106</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38544.04</v>
      </c>
      <c r="G7" s="1383"/>
      <c r="H7" s="304"/>
      <c r="I7" s="3709"/>
      <c r="J7" s="306"/>
      <c r="K7" s="307"/>
      <c r="L7" s="302" t="s">
        <v>697</v>
      </c>
      <c r="M7" s="303">
        <f ca="1">F7</f>
        <v>38544.04</v>
      </c>
    </row>
    <row r="8" spans="1:37" ht="18" customHeight="1">
      <c r="A8" s="304"/>
      <c r="B8" s="3709"/>
      <c r="C8" s="306"/>
      <c r="D8" s="307"/>
      <c r="E8" s="302" t="s">
        <v>698</v>
      </c>
      <c r="F8" s="303">
        <f ca="1">INDIRECT("'数据-取费表'!ai"&amp;$G$1)</f>
        <v>365</v>
      </c>
      <c r="G8" s="1383"/>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3"/>
      <c r="H9" s="304"/>
      <c r="I9" s="3710"/>
      <c r="J9" s="306"/>
      <c r="K9" s="307"/>
      <c r="L9" s="313" t="s">
        <v>699</v>
      </c>
      <c r="M9" s="314">
        <f ca="1">INDIRECT("'数据-取费表'!ab"&amp;$G$1)</f>
        <v>0</v>
      </c>
    </row>
    <row r="10" spans="1:37" ht="18" customHeight="1">
      <c r="A10" s="1069" t="s">
        <v>402</v>
      </c>
      <c r="B10" s="1364" t="s">
        <v>700</v>
      </c>
      <c r="C10" s="316">
        <f ca="1">ROUND(IF(F10="押一",C6/12*F11,IF(F10="押二",C6/12*2*F11,IF(F10="押三",C6/12*3*F11,C11*F11))),0)</f>
        <v>3</v>
      </c>
      <c r="D10" s="1365" t="s">
        <v>2115</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20684</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14741</v>
      </c>
      <c r="D14" s="1344" t="s">
        <v>708</v>
      </c>
      <c r="E14" s="1341"/>
      <c r="F14" s="319"/>
      <c r="G14" s="1383"/>
      <c r="H14" s="982" t="s">
        <v>398</v>
      </c>
      <c r="I14" s="302" t="s">
        <v>709</v>
      </c>
      <c r="J14" s="21">
        <f ca="1">C29</f>
        <v>20684</v>
      </c>
      <c r="K14" s="12"/>
      <c r="L14" s="807"/>
      <c r="M14" s="808"/>
    </row>
    <row r="15" spans="1:37" s="1396" customFormat="1" ht="18" customHeight="1" thickBot="1">
      <c r="A15" s="982" t="s">
        <v>399</v>
      </c>
      <c r="B15" s="302" t="s">
        <v>710</v>
      </c>
      <c r="C15" s="21">
        <f ca="1">ROUND(C14*F15,0)</f>
        <v>737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106</v>
      </c>
      <c r="K16" s="1087" t="s">
        <v>715</v>
      </c>
      <c r="L16" s="1088"/>
      <c r="M16" s="1072"/>
    </row>
    <row r="17" spans="1:37" s="1396" customFormat="1" ht="18" customHeight="1">
      <c r="A17" s="982" t="s">
        <v>681</v>
      </c>
      <c r="B17" s="302" t="s">
        <v>716</v>
      </c>
      <c r="C17" s="21">
        <f ca="1">ROUND(F17*(F43+INDIRECT("'数据-取费表'!S"&amp;$G$1))/10000,0)</f>
        <v>819</v>
      </c>
      <c r="D17" s="302" t="s">
        <v>717</v>
      </c>
      <c r="E17" s="302" t="s">
        <v>718</v>
      </c>
      <c r="F17" s="23">
        <f>'数据-取费表'!B35</f>
        <v>200</v>
      </c>
      <c r="G17" s="1395"/>
      <c r="H17" s="982" t="s">
        <v>398</v>
      </c>
      <c r="I17" s="302" t="s">
        <v>719</v>
      </c>
      <c r="J17" s="2315">
        <f ca="1">ROUND(IF(AND(项目基本情况!B11="自然人",项目基本情况!B10="北京市"),J6*M17/(1+'数据-取费表'!C42),J18+J19+J20),2)</f>
        <v>2.2999999999999998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16518</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330</v>
      </c>
      <c r="D20" s="323" t="s">
        <v>729</v>
      </c>
      <c r="E20" s="302" t="s">
        <v>712</v>
      </c>
      <c r="F20" s="322">
        <f>'数据-取费表'!B37</f>
        <v>0.02</v>
      </c>
      <c r="G20" s="1395"/>
      <c r="H20" s="982" t="s">
        <v>680</v>
      </c>
      <c r="I20" s="155" t="s">
        <v>730</v>
      </c>
      <c r="J20" s="22">
        <f ca="1">ROUND(M20*M21/10000,2)</f>
        <v>2.2999999999999998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15333.56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103.42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-106</v>
      </c>
      <c r="K25" s="1095" t="s">
        <v>753</v>
      </c>
      <c r="L25" s="1096"/>
      <c r="M25" s="1097"/>
    </row>
    <row r="26" spans="1:37">
      <c r="A26" s="982" t="s">
        <v>397</v>
      </c>
      <c r="B26" s="302" t="s">
        <v>754</v>
      </c>
      <c r="C26" s="21">
        <f ca="1">ROUND((C19+C20)*F26,0)</f>
        <v>1685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20684</v>
      </c>
      <c r="D29" s="1092"/>
      <c r="E29" s="1090"/>
      <c r="F29" s="1093"/>
      <c r="G29" s="1395"/>
      <c r="H29" s="334" t="s">
        <v>396</v>
      </c>
      <c r="I29" s="335" t="s">
        <v>768</v>
      </c>
      <c r="J29" s="336">
        <f ca="1">ROUND(J26/(1+F40)^F41,0)</f>
        <v>0</v>
      </c>
      <c r="K29" s="337" t="s">
        <v>769</v>
      </c>
      <c r="L29" s="338"/>
      <c r="M29" s="339">
        <f ca="1">INDIRECT("'数据-取费表'!k"&amp;$G$1)</f>
        <v>38544.04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605</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466.63</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145.93</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318.39999999999998</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2.2999999999999998</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15333.56</v>
      </c>
      <c r="G35" s="1383"/>
      <c r="H35" s="2693"/>
      <c r="I35" s="1397"/>
      <c r="J35" s="1398"/>
      <c r="K35" s="2697"/>
      <c r="L35" s="2696"/>
      <c r="M35" s="2696"/>
    </row>
    <row r="36" spans="1:18" ht="18" customHeight="1">
      <c r="A36" s="1102" t="s">
        <v>402</v>
      </c>
      <c r="B36" s="302" t="s">
        <v>738</v>
      </c>
      <c r="C36" s="21">
        <f ca="1">ROUND(C29*F36,2)</f>
        <v>103.42</v>
      </c>
      <c r="D36" s="1343"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20.68</v>
      </c>
      <c r="D37" s="1343"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13.95</v>
      </c>
      <c r="D38" s="1092" t="s">
        <v>748</v>
      </c>
      <c r="E38" s="1090" t="s">
        <v>744</v>
      </c>
      <c r="F38" s="1086">
        <f ca="1">INDIRECT("'数据-取费表'!Am"&amp;$G$1)</f>
        <v>5.0000000000000001E-3</v>
      </c>
      <c r="G38" s="1383"/>
      <c r="H38" s="2696"/>
      <c r="I38" s="1397">
        <f ca="1">C39/C5</f>
        <v>0.78307637145930442</v>
      </c>
      <c r="J38" s="1398"/>
      <c r="K38" s="2700"/>
      <c r="L38" s="2696"/>
      <c r="M38" s="2696"/>
    </row>
    <row r="39" spans="1:18" ht="24.6" customHeight="1" thickTop="1">
      <c r="A39" s="1079" t="s">
        <v>394</v>
      </c>
      <c r="B39" s="1094" t="s">
        <v>772</v>
      </c>
      <c r="C39" s="310">
        <f ca="1">C5-C30</f>
        <v>2184</v>
      </c>
      <c r="D39" s="1095" t="s">
        <v>773</v>
      </c>
      <c r="E39" s="1096"/>
      <c r="F39" s="1097"/>
      <c r="G39" s="1383"/>
      <c r="H39" s="2696"/>
      <c r="I39" s="1397"/>
      <c r="J39" s="1398"/>
      <c r="K39" s="2700"/>
      <c r="L39" s="2696"/>
      <c r="M39" s="2696"/>
    </row>
    <row r="40" spans="1:18" ht="18" customHeight="1">
      <c r="A40" s="299" t="s">
        <v>395</v>
      </c>
      <c r="B40" s="300" t="s">
        <v>774</v>
      </c>
      <c r="C40" s="301">
        <f ca="1">ROUND(C39*(1-((1+F42)/(1+F40))^F41)/(F40-F42),0)</f>
        <v>28306</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7344</v>
      </c>
      <c r="D43" s="337" t="s">
        <v>777</v>
      </c>
      <c r="E43" s="338" t="s">
        <v>778</v>
      </c>
      <c r="F43" s="339">
        <f ca="1">INDIRECT("'数据-取费表'!k"&amp;$G$1)</f>
        <v>38544.04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-29686</v>
      </c>
      <c r="D46" s="1405" t="str">
        <f>C2</f>
        <v>万元</v>
      </c>
      <c r="E46" s="1399"/>
      <c r="F46" s="1399"/>
      <c r="I46" s="1406" t="s">
        <v>810</v>
      </c>
      <c r="J46" s="1407"/>
      <c r="K46" s="1408"/>
      <c r="L46" s="1409">
        <f ca="1">IF(M47="住宅",0,IF(L48&gt;J51,L60,J60))</f>
        <v>4270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28306</v>
      </c>
      <c r="R47" s="1419" t="s">
        <v>818</v>
      </c>
    </row>
    <row r="48" spans="1:18" s="1383" customFormat="1" ht="28.5" thickBot="1">
      <c r="A48" s="1110" t="s">
        <v>438</v>
      </c>
      <c r="B48" s="300" t="s">
        <v>692</v>
      </c>
      <c r="C48" s="1358">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4270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20684</v>
      </c>
      <c r="R49" s="1419" t="s">
        <v>818</v>
      </c>
    </row>
    <row r="50" spans="1:18" s="1383" customFormat="1" ht="13.5" thickBot="1">
      <c r="A50" s="976"/>
      <c r="B50" s="979"/>
      <c r="C50" s="1118"/>
      <c r="D50" s="953"/>
      <c r="E50" s="1056" t="s">
        <v>697</v>
      </c>
      <c r="F50" s="1057">
        <f ca="1">F7</f>
        <v>38544.04</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13058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6" t="s">
        <v>837</v>
      </c>
      <c r="L53" s="3707"/>
      <c r="O53" s="1417" t="s">
        <v>409</v>
      </c>
      <c r="P53" s="1418" t="s">
        <v>838</v>
      </c>
      <c r="Q53" s="1419">
        <f ca="1">Q47+Q48</f>
        <v>32576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20684</v>
      </c>
      <c r="D56" s="1446"/>
      <c r="E56" s="1447"/>
      <c r="F56" s="1439"/>
      <c r="I56" s="1448" t="s">
        <v>842</v>
      </c>
      <c r="J56" s="3477" t="s">
        <v>3530</v>
      </c>
      <c r="K56" s="1420" t="s">
        <v>843</v>
      </c>
      <c r="L56" s="1423" t="str">
        <f ca="1">IF(L48&lt;J51,"——",L48-J53)</f>
        <v>——</v>
      </c>
      <c r="O56" s="1417" t="s">
        <v>403</v>
      </c>
      <c r="P56" s="1418" t="s">
        <v>817</v>
      </c>
      <c r="Q56" s="1419">
        <f ca="1">C40+J29</f>
        <v>28306</v>
      </c>
      <c r="R56" s="1419" t="s">
        <v>818</v>
      </c>
    </row>
    <row r="57" spans="1:18" s="1383" customFormat="1" ht="24.75" thickBot="1">
      <c r="A57" s="1450"/>
      <c r="B57" s="950" t="s">
        <v>767</v>
      </c>
      <c r="C57" s="238">
        <f ca="1">C29</f>
        <v>20684</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126</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14913</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4270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2.2999999999999998</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28306</v>
      </c>
      <c r="R62" s="1419" t="s">
        <v>410</v>
      </c>
    </row>
    <row r="63" spans="1:18" s="1383" customFormat="1" ht="13.5" thickBot="1">
      <c r="A63" s="326"/>
      <c r="B63" s="956"/>
      <c r="C63" s="26"/>
      <c r="D63" s="966"/>
      <c r="E63" s="950" t="s">
        <v>788</v>
      </c>
      <c r="F63" s="303">
        <f t="shared" ca="1" si="0"/>
        <v>15333.56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103.42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20.68</v>
      </c>
      <c r="D65" s="964" t="s">
        <v>743</v>
      </c>
      <c r="E65" s="950" t="s">
        <v>744</v>
      </c>
      <c r="F65" s="330">
        <f t="shared" ca="1" si="0"/>
        <v>1E-3</v>
      </c>
      <c r="I65" s="1461" t="s">
        <v>867</v>
      </c>
      <c r="J65" s="1462">
        <v>40</v>
      </c>
      <c r="K65" s="1462">
        <v>30</v>
      </c>
      <c r="L65" s="1462">
        <v>50</v>
      </c>
      <c r="M65" s="1464">
        <v>0.02</v>
      </c>
      <c r="O65" s="1417" t="s">
        <v>403</v>
      </c>
      <c r="P65" s="1418" t="s">
        <v>868</v>
      </c>
      <c r="Q65" s="1419">
        <f ca="1">C40+J29</f>
        <v>28306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-126</v>
      </c>
      <c r="D67" s="963" t="s">
        <v>753</v>
      </c>
      <c r="E67" s="968"/>
      <c r="F67" s="969"/>
      <c r="O67" s="1427" t="s">
        <v>405</v>
      </c>
      <c r="P67" s="1418" t="s">
        <v>850</v>
      </c>
      <c r="Q67" s="1465">
        <f ca="1">L51</f>
        <v>13058</v>
      </c>
      <c r="R67" s="1419" t="s">
        <v>870</v>
      </c>
    </row>
    <row r="68" spans="1:18" s="1383" customFormat="1" ht="16.5" thickBot="1">
      <c r="A68" s="947" t="s">
        <v>395</v>
      </c>
      <c r="B68" s="948" t="s">
        <v>774</v>
      </c>
      <c r="C68" s="301">
        <f ca="1">ROUND(C67*(1-((1+F70)/(1+F68))^F69)/(F68-F70),0)</f>
        <v>-1380</v>
      </c>
      <c r="D68" s="965" t="s">
        <v>758</v>
      </c>
      <c r="E68" s="950" t="s">
        <v>759</v>
      </c>
      <c r="F68" s="312">
        <f ca="1">F40</f>
        <v>0.05</v>
      </c>
      <c r="O68" s="1427" t="s">
        <v>406</v>
      </c>
      <c r="P68" s="1466" t="s">
        <v>871</v>
      </c>
      <c r="Q68" s="1419">
        <f ca="1">ROUND(Q69-Q70*Q71,0)</f>
        <v>633</v>
      </c>
      <c r="R68" s="1419" t="s">
        <v>414</v>
      </c>
    </row>
    <row r="69" spans="1:18" s="1383" customFormat="1" ht="13.5" thickBot="1">
      <c r="A69" s="951"/>
      <c r="B69" s="952"/>
      <c r="C69" s="306"/>
      <c r="D69" s="970" t="s">
        <v>762</v>
      </c>
      <c r="E69" s="950" t="s">
        <v>763</v>
      </c>
      <c r="F69" s="333">
        <f ca="1">F41</f>
        <v>16.25</v>
      </c>
      <c r="O69" s="1427" t="s">
        <v>411</v>
      </c>
      <c r="P69" s="1466" t="s">
        <v>872</v>
      </c>
      <c r="Q69" s="1419">
        <f ca="1">C39</f>
        <v>2184</v>
      </c>
      <c r="R69" s="1419" t="s">
        <v>818</v>
      </c>
    </row>
    <row r="70" spans="1:18" s="1383" customFormat="1" ht="13.5" thickBot="1">
      <c r="A70" s="954"/>
      <c r="B70" s="955"/>
      <c r="C70" s="310"/>
      <c r="D70" s="966"/>
      <c r="E70" s="950" t="s">
        <v>766</v>
      </c>
      <c r="F70" s="1054"/>
      <c r="O70" s="1427" t="s">
        <v>412</v>
      </c>
      <c r="P70" s="1466" t="s">
        <v>873</v>
      </c>
      <c r="Q70" s="1419">
        <f ca="1">C13</f>
        <v>20684</v>
      </c>
      <c r="R70" s="1419" t="s">
        <v>818</v>
      </c>
    </row>
    <row r="71" spans="1:18" s="1383" customFormat="1" ht="13.5" thickBot="1">
      <c r="A71" s="971" t="s">
        <v>396</v>
      </c>
      <c r="B71" s="972" t="s">
        <v>776</v>
      </c>
      <c r="C71" s="336">
        <f ca="1">ROUND(C68*10000/F71,0)</f>
        <v>-358</v>
      </c>
      <c r="D71" s="973" t="s">
        <v>777</v>
      </c>
      <c r="E71" s="974" t="s">
        <v>778</v>
      </c>
      <c r="F71" s="339">
        <f ca="1">F43</f>
        <v>38544.04</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1551</v>
      </c>
      <c r="D75" s="1383"/>
      <c r="E75" s="1383"/>
      <c r="F75" s="1383"/>
      <c r="K75" s="1401"/>
      <c r="L75" s="1383"/>
      <c r="O75" s="1417" t="s">
        <v>409</v>
      </c>
      <c r="P75" s="1418" t="s">
        <v>838</v>
      </c>
      <c r="Q75" s="1419">
        <f ca="1">Q65+Q66</f>
        <v>28306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0.29000000000000004</v>
      </c>
    </row>
    <row r="80" spans="1:18">
      <c r="B80" s="340" t="s">
        <v>800</v>
      </c>
      <c r="C80" s="274">
        <f ca="1">ROUND(C75/C39,3)</f>
        <v>0.71</v>
      </c>
    </row>
    <row r="81" spans="2:3">
      <c r="B81" s="270" t="s">
        <v>801</v>
      </c>
      <c r="C81" s="238"/>
    </row>
    <row r="82" spans="2:3">
      <c r="B82" s="273" t="s">
        <v>802</v>
      </c>
      <c r="C82" s="275">
        <f ca="1">1-C83</f>
        <v>0.26900000000000002</v>
      </c>
    </row>
    <row r="83" spans="2:3">
      <c r="B83" s="273" t="s">
        <v>803</v>
      </c>
      <c r="C83" s="274">
        <f ca="1">ROUND(C13/C40,3)</f>
        <v>0.73099999999999998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8" t="s">
        <v>694</v>
      </c>
      <c r="C6" s="1074">
        <f ca="1">ROUND(F6*F8*F7*(1-F9),0)</f>
        <v>0</v>
      </c>
      <c r="D6" s="155" t="s">
        <v>2104</v>
      </c>
      <c r="E6" s="302" t="s">
        <v>696</v>
      </c>
      <c r="F6" s="303">
        <f ca="1">INDIRECT("'数据-取费表'!u"&amp;$G$1)</f>
        <v>0</v>
      </c>
      <c r="G6" s="1383"/>
      <c r="H6" s="1069" t="s">
        <v>398</v>
      </c>
      <c r="I6" s="3708" t="s">
        <v>694</v>
      </c>
      <c r="J6" s="301">
        <f ca="1">ROUND(M6*M8*M7*(1-M9),0)</f>
        <v>0</v>
      </c>
      <c r="K6" s="1375" t="s">
        <v>2105</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0</v>
      </c>
      <c r="G7" s="1383"/>
      <c r="H7" s="304"/>
      <c r="I7" s="3709"/>
      <c r="J7" s="306"/>
      <c r="K7" s="307"/>
      <c r="L7" s="302" t="s">
        <v>697</v>
      </c>
      <c r="M7" s="303">
        <f ca="1">F7</f>
        <v>0</v>
      </c>
    </row>
    <row r="8" spans="1:37" ht="18" customHeight="1">
      <c r="A8" s="304"/>
      <c r="B8" s="3709"/>
      <c r="C8" s="306"/>
      <c r="D8" s="307"/>
      <c r="E8" s="302" t="s">
        <v>698</v>
      </c>
      <c r="F8" s="303">
        <f ca="1">INDIRECT("'数据-取费表'!ai"&amp;$G$1)</f>
        <v>0</v>
      </c>
      <c r="G8" s="1383"/>
      <c r="H8" s="304"/>
      <c r="I8" s="3709"/>
      <c r="J8" s="306"/>
      <c r="K8" s="307"/>
      <c r="L8" s="302" t="s">
        <v>698</v>
      </c>
      <c r="M8" s="303">
        <f ca="1">INDIRECT("'数据-取费表'!ai"&amp;$G$1)</f>
        <v>0</v>
      </c>
    </row>
    <row r="9" spans="1:37" ht="18" customHeight="1">
      <c r="A9" s="304"/>
      <c r="B9" s="3710"/>
      <c r="C9" s="306"/>
      <c r="D9" s="307"/>
      <c r="E9" s="302" t="s">
        <v>699</v>
      </c>
      <c r="F9" s="312">
        <f ca="1">INDIRECT("'数据-取费表'!w"&amp;$G$1)</f>
        <v>0</v>
      </c>
      <c r="G9" s="1383"/>
      <c r="H9" s="304"/>
      <c r="I9" s="371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1"/>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706" t="s">
        <v>837</v>
      </c>
      <c r="L53" s="370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4" t="s">
        <v>2317</v>
      </c>
      <c r="B2" s="2839" t="e">
        <f>IF(D2="——",C40,C40+E2)</f>
        <v>#DIV/0!</v>
      </c>
      <c r="C2" s="2840" t="s">
        <v>2318</v>
      </c>
      <c r="D2" s="3439" t="s">
        <v>3363</v>
      </c>
      <c r="E2" s="3440"/>
      <c r="F2" s="2842"/>
      <c r="G2" s="2843"/>
      <c r="H2" s="2844"/>
      <c r="I2" s="2845"/>
      <c r="J2" s="3717" t="s">
        <v>2319</v>
      </c>
      <c r="K2" s="3718"/>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19" t="s">
        <v>2329</v>
      </c>
      <c r="K3" s="3720"/>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19" t="s">
        <v>2331</v>
      </c>
      <c r="K4" s="3720"/>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25" t="s">
        <v>2335</v>
      </c>
      <c r="B6" s="3726"/>
      <c r="C6" s="3727"/>
      <c r="D6" s="2866"/>
      <c r="E6" s="2867"/>
      <c r="F6" s="2868"/>
      <c r="G6" s="2869"/>
      <c r="H6" s="2844"/>
      <c r="I6" s="2845"/>
      <c r="J6" s="3711">
        <v>1</v>
      </c>
      <c r="K6" s="3712"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11"/>
      <c r="K7" s="3713"/>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28" t="s">
        <v>2349</v>
      </c>
      <c r="C8" s="3729"/>
      <c r="D8" s="2885" t="s">
        <v>2350</v>
      </c>
      <c r="E8" s="2886" t="s">
        <v>2351</v>
      </c>
      <c r="F8" s="2887" t="s">
        <v>2352</v>
      </c>
      <c r="G8" s="2888"/>
      <c r="H8" s="2844"/>
      <c r="I8" s="2845"/>
      <c r="J8" s="3711"/>
      <c r="K8" s="3713"/>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28" t="s">
        <v>2355</v>
      </c>
      <c r="C9" s="3729"/>
      <c r="D9" s="2885">
        <f>ROUND(D6*E9,0)</f>
        <v>0</v>
      </c>
      <c r="E9" s="2889"/>
      <c r="F9" s="2890" t="s">
        <v>2356</v>
      </c>
      <c r="G9" s="2869"/>
      <c r="H9" s="2844"/>
      <c r="I9" s="2845"/>
      <c r="J9" s="3711"/>
      <c r="K9" s="3713"/>
      <c r="L9" s="2879" t="s">
        <v>2357</v>
      </c>
      <c r="M9" s="2880"/>
      <c r="N9" s="2856"/>
      <c r="O9" s="2881"/>
      <c r="P9" s="2881"/>
      <c r="Q9" s="2882">
        <v>365</v>
      </c>
      <c r="R9" s="2883">
        <f t="shared" si="0"/>
        <v>0</v>
      </c>
      <c r="S9" s="2837"/>
      <c r="T9" s="2837"/>
      <c r="U9" s="2837"/>
      <c r="V9" s="2845"/>
    </row>
    <row r="10" spans="1:22" s="2849" customFormat="1" ht="13.15" customHeight="1">
      <c r="A10" s="2884">
        <v>2</v>
      </c>
      <c r="B10" s="3728" t="s">
        <v>2358</v>
      </c>
      <c r="C10" s="3729"/>
      <c r="D10" s="2885">
        <f>ROUND(D6*E10,0)</f>
        <v>0</v>
      </c>
      <c r="E10" s="2889"/>
      <c r="F10" s="2890" t="s">
        <v>2359</v>
      </c>
      <c r="G10" s="2869"/>
      <c r="H10" s="2844"/>
      <c r="I10" s="2845"/>
      <c r="J10" s="3711"/>
      <c r="K10" s="3713"/>
      <c r="L10" s="2879" t="s">
        <v>2360</v>
      </c>
      <c r="M10" s="2880"/>
      <c r="N10" s="2856"/>
      <c r="O10" s="2881"/>
      <c r="P10" s="2881"/>
      <c r="Q10" s="2882">
        <v>365</v>
      </c>
      <c r="R10" s="2883">
        <f t="shared" si="0"/>
        <v>0</v>
      </c>
      <c r="S10" s="2837"/>
      <c r="T10" s="2837"/>
      <c r="U10" s="2837"/>
      <c r="V10" s="2845"/>
    </row>
    <row r="11" spans="1:22" s="2849" customFormat="1" ht="13.15" customHeight="1">
      <c r="A11" s="2884">
        <v>3</v>
      </c>
      <c r="B11" s="3728" t="s">
        <v>2361</v>
      </c>
      <c r="C11" s="3729"/>
      <c r="D11" s="2885">
        <f>D12+D14+D15+D16</f>
        <v>0</v>
      </c>
      <c r="E11" s="2891" t="e">
        <f>D11/D6</f>
        <v>#DIV/0!</v>
      </c>
      <c r="F11" s="2887"/>
      <c r="G11" s="2888"/>
      <c r="H11" s="2844"/>
      <c r="I11" s="2845"/>
      <c r="J11" s="3711"/>
      <c r="K11" s="3713"/>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21" t="s">
        <v>2364</v>
      </c>
      <c r="C12" s="3722"/>
      <c r="D12" s="2893">
        <f>ROUND(D13*1.2%*(1-30%),0)</f>
        <v>0</v>
      </c>
      <c r="E12" s="2894">
        <v>1.2E-2</v>
      </c>
      <c r="F12" s="2887" t="s">
        <v>2365</v>
      </c>
      <c r="G12" s="2888"/>
      <c r="H12" s="2844"/>
      <c r="I12" s="2845"/>
      <c r="J12" s="3711"/>
      <c r="K12" s="3713"/>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11"/>
      <c r="K13" s="3713"/>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21" t="s">
        <v>2370</v>
      </c>
      <c r="C14" s="3722"/>
      <c r="D14" s="2893">
        <f>ROUND(E14*B5/10000,0)</f>
        <v>0</v>
      </c>
      <c r="E14" s="2882"/>
      <c r="F14" s="2887" t="s">
        <v>2371</v>
      </c>
      <c r="G14" s="2888"/>
      <c r="H14" s="2844"/>
      <c r="I14" s="2845"/>
      <c r="J14" s="3711"/>
      <c r="K14" s="3714"/>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21" t="s">
        <v>2374</v>
      </c>
      <c r="C15" s="3722"/>
      <c r="D15" s="2893">
        <f>ROUND(D6*E15,0)</f>
        <v>0</v>
      </c>
      <c r="E15" s="2894">
        <v>5.5E-2</v>
      </c>
      <c r="F15" s="2887" t="s">
        <v>2375</v>
      </c>
      <c r="G15" s="2869"/>
      <c r="H15" s="2844"/>
      <c r="I15" s="2845"/>
      <c r="J15" s="3711">
        <v>2</v>
      </c>
      <c r="K15" s="3712"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21" t="s">
        <v>2383</v>
      </c>
      <c r="C16" s="3722"/>
      <c r="D16" s="2904">
        <f>D6*E16</f>
        <v>0</v>
      </c>
      <c r="E16" s="2905"/>
      <c r="F16" s="2890" t="s">
        <v>2384</v>
      </c>
      <c r="G16" s="2869"/>
      <c r="H16" s="2844"/>
      <c r="I16" s="2845"/>
      <c r="J16" s="3711"/>
      <c r="K16" s="3713"/>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23" t="s">
        <v>2386</v>
      </c>
      <c r="C17" s="3724"/>
      <c r="D17" s="2907">
        <f>ROUND(D6*E17,0)</f>
        <v>0</v>
      </c>
      <c r="E17" s="2908"/>
      <c r="F17" s="2909" t="s">
        <v>2387</v>
      </c>
      <c r="G17" s="2869"/>
      <c r="H17" s="2844"/>
      <c r="I17" s="2845"/>
      <c r="J17" s="3711"/>
      <c r="K17" s="3713"/>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11"/>
      <c r="K18" s="3713"/>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11"/>
      <c r="K19" s="3714"/>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1">
        <v>3</v>
      </c>
      <c r="K20" s="3712"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11"/>
      <c r="K21" s="3713"/>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11"/>
      <c r="K22" s="3713"/>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11"/>
      <c r="K23" s="3713"/>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11"/>
      <c r="K24" s="3714"/>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15">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17" t="s">
        <v>2319</v>
      </c>
      <c r="K32" s="3718"/>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19" t="s">
        <v>2329</v>
      </c>
      <c r="K33" s="3720"/>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19" t="s">
        <v>2331</v>
      </c>
      <c r="K34" s="372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11">
        <v>1</v>
      </c>
      <c r="K36" s="3712"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11"/>
      <c r="K40" s="3714"/>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5">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33827</v>
      </c>
      <c r="C2" s="1871" t="s">
        <v>1650</v>
      </c>
      <c r="D2" s="1872" t="s">
        <v>1651</v>
      </c>
      <c r="E2" s="2604">
        <f>SUM(E6:E13)</f>
        <v>47621.420000000006</v>
      </c>
      <c r="F2" s="2703"/>
      <c r="G2" s="1488"/>
      <c r="H2" s="1488"/>
      <c r="I2" s="1488"/>
      <c r="J2" s="1488"/>
      <c r="K2" s="1488"/>
      <c r="L2" s="1488"/>
      <c r="M2" s="1488"/>
      <c r="N2" s="1488"/>
      <c r="O2" s="1488"/>
      <c r="P2" s="1488"/>
      <c r="Q2" s="1488"/>
      <c r="R2" s="1488"/>
      <c r="S2" s="1488"/>
    </row>
    <row r="3" spans="1:22" ht="15.75">
      <c r="A3" s="1869" t="s">
        <v>686</v>
      </c>
      <c r="B3" s="2598">
        <f ca="1">ROUND(B2*10000/E2,0)</f>
        <v>7103</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c r="A6" s="2601" t="str">
        <f>'数据-取费表'!AN6</f>
        <v>收益法</v>
      </c>
      <c r="B6" s="2599">
        <f ca="1">IF(F6="是",'数据-取费表'!AO6,0)</f>
        <v>32576</v>
      </c>
      <c r="C6" s="1871" t="s">
        <v>1650</v>
      </c>
      <c r="D6" s="2705"/>
      <c r="E6" s="2603">
        <f>IF(OR(A6=0,F6="否"),0,'数据-取费表'!K6+'数据-取费表'!S6)</f>
        <v>40946.29</v>
      </c>
      <c r="F6" s="1875" t="s">
        <v>1656</v>
      </c>
      <c r="G6" s="1488"/>
      <c r="H6" s="1488"/>
      <c r="I6" s="1488"/>
      <c r="J6" s="1488"/>
      <c r="K6" s="1488"/>
      <c r="L6" s="1488"/>
      <c r="M6" s="1488"/>
      <c r="N6" s="1488"/>
      <c r="O6" s="1488"/>
      <c r="P6" s="1488"/>
      <c r="Q6" s="1488"/>
      <c r="R6" s="1488"/>
      <c r="S6" s="1488"/>
    </row>
    <row r="7" spans="1:22">
      <c r="A7" s="2601" t="str">
        <f>'数据-取费表'!AN7</f>
        <v>收益法(仓储)</v>
      </c>
      <c r="B7" s="2599">
        <f ca="1">IF(F7="是",'数据-取费表'!AO7,0)</f>
        <v>418</v>
      </c>
      <c r="C7" s="1871" t="s">
        <v>1650</v>
      </c>
      <c r="D7" s="2705"/>
      <c r="E7" s="2603">
        <f>IF(OR(A7=0,F7="否"),0,'数据-取费表'!K7+'数据-取费表'!S7)</f>
        <v>1072.5900000000001</v>
      </c>
      <c r="F7" s="1875" t="s">
        <v>1656</v>
      </c>
      <c r="G7" s="1488"/>
      <c r="H7" s="1488"/>
      <c r="I7" s="1488"/>
      <c r="J7" s="1488"/>
      <c r="K7" s="1488"/>
      <c r="L7" s="1488"/>
      <c r="M7" s="1488"/>
      <c r="N7" s="1488"/>
      <c r="O7" s="1488"/>
      <c r="P7" s="1488"/>
      <c r="Q7" s="1488"/>
      <c r="R7" s="1488"/>
      <c r="S7" s="1488"/>
    </row>
    <row r="8" spans="1:22">
      <c r="A8" s="2601" t="str">
        <f>'数据-取费表'!AN8</f>
        <v>收益法(车库)</v>
      </c>
      <c r="B8" s="2599">
        <f ca="1">IF(F8="是",'数据-取费表'!AO8,0)</f>
        <v>833</v>
      </c>
      <c r="C8" s="1871" t="s">
        <v>1650</v>
      </c>
      <c r="D8" s="2705"/>
      <c r="E8" s="2603">
        <f>IF(OR(A8=0,F8="否"),0,'数据-取费表'!K8+'数据-取费表'!S8)</f>
        <v>5602.54</v>
      </c>
      <c r="F8" s="1875" t="s">
        <v>1656</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1650</v>
      </c>
      <c r="D9" s="2705"/>
      <c r="E9" s="2603">
        <f>IF(OR(A9=0,F9="否"),0,'数据-取费表'!K9+'数据-取费表'!S9)</f>
        <v>0</v>
      </c>
      <c r="F9" s="1875" t="s">
        <v>1656</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1650</v>
      </c>
      <c r="D10" s="2705"/>
      <c r="E10" s="2603">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1650</v>
      </c>
      <c r="D11" s="2705"/>
      <c r="E11" s="2603">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1650</v>
      </c>
      <c r="D12" s="2705"/>
      <c r="E12" s="2603">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1650</v>
      </c>
      <c r="D13" s="2706"/>
      <c r="E13" s="2603">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47621.420000000006</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1665</v>
      </c>
      <c r="B4" s="356"/>
      <c r="C4" s="3664" t="s">
        <v>1666</v>
      </c>
      <c r="D4" s="3690"/>
      <c r="E4" s="3691" t="s">
        <v>1667</v>
      </c>
      <c r="F4" s="3692"/>
      <c r="G4" s="3664" t="s">
        <v>1668</v>
      </c>
      <c r="H4" s="3690"/>
      <c r="I4" s="3664" t="s">
        <v>1669</v>
      </c>
      <c r="J4" s="3690"/>
      <c r="K4" s="1888" t="s">
        <v>1670</v>
      </c>
      <c r="L4" s="2711"/>
      <c r="M4" s="2712"/>
      <c r="N4" s="2712"/>
      <c r="O4" s="2712"/>
      <c r="P4" s="3693" t="s">
        <v>1671</v>
      </c>
      <c r="Q4" s="3694"/>
      <c r="R4" s="3670" t="s">
        <v>1667</v>
      </c>
      <c r="S4" s="3671"/>
      <c r="T4" s="3670" t="s">
        <v>1668</v>
      </c>
      <c r="U4" s="3671"/>
      <c r="V4" s="3683" t="s">
        <v>1669</v>
      </c>
      <c r="W4" s="3683"/>
      <c r="X4" s="1354"/>
      <c r="Y4" s="3670" t="s">
        <v>1671</v>
      </c>
      <c r="Z4" s="3671"/>
      <c r="AA4" s="3687" t="s">
        <v>1667</v>
      </c>
      <c r="AB4" s="3687" t="s">
        <v>1668</v>
      </c>
      <c r="AC4" s="3687" t="s">
        <v>1669</v>
      </c>
    </row>
    <row r="5" spans="1:29" ht="15">
      <c r="A5" s="358"/>
      <c r="B5" s="359"/>
      <c r="C5" s="3674" t="s">
        <v>1672</v>
      </c>
      <c r="D5" s="3675"/>
      <c r="E5" s="3699" t="s">
        <v>1673</v>
      </c>
      <c r="F5" s="3700"/>
      <c r="G5" s="3674" t="s">
        <v>1674</v>
      </c>
      <c r="H5" s="3675"/>
      <c r="I5" s="3674" t="s">
        <v>1675</v>
      </c>
      <c r="J5" s="3675"/>
      <c r="K5" s="1889"/>
      <c r="L5" s="2711"/>
      <c r="M5" s="2712"/>
      <c r="N5" s="2712"/>
      <c r="O5" s="2712"/>
      <c r="P5" s="3695"/>
      <c r="Q5" s="3696"/>
      <c r="R5" s="3672"/>
      <c r="S5" s="3673"/>
      <c r="T5" s="3672"/>
      <c r="U5" s="3673"/>
      <c r="V5" s="3683"/>
      <c r="W5" s="3683"/>
      <c r="X5" s="1354"/>
      <c r="Y5" s="3672"/>
      <c r="Z5" s="3673"/>
      <c r="AA5" s="3688"/>
      <c r="AB5" s="3688"/>
      <c r="AC5" s="3688"/>
    </row>
    <row r="6" spans="1:29" ht="15.75" thickBot="1">
      <c r="A6" s="360"/>
      <c r="B6" s="361"/>
      <c r="C6" s="3740" t="s">
        <v>1676</v>
      </c>
      <c r="D6" s="3741"/>
      <c r="E6" s="3742" t="s">
        <v>1676</v>
      </c>
      <c r="F6" s="3743"/>
      <c r="G6" s="3740" t="s">
        <v>1676</v>
      </c>
      <c r="H6" s="3741"/>
      <c r="I6" s="3740" t="s">
        <v>1676</v>
      </c>
      <c r="J6" s="3741"/>
      <c r="K6" s="1889" t="s">
        <v>1677</v>
      </c>
      <c r="L6" s="2711"/>
      <c r="M6" s="2712"/>
      <c r="N6" s="2712"/>
      <c r="O6" s="2712"/>
      <c r="P6" s="3697"/>
      <c r="Q6" s="3698"/>
      <c r="R6" s="3672"/>
      <c r="S6" s="3673"/>
      <c r="T6" s="3681"/>
      <c r="U6" s="3682"/>
      <c r="V6" s="3683"/>
      <c r="W6" s="3683"/>
      <c r="X6" s="1354"/>
      <c r="Y6" s="3681"/>
      <c r="Z6" s="3682"/>
      <c r="AA6" s="3689"/>
      <c r="AB6" s="3689"/>
      <c r="AC6" s="3689"/>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68" t="s">
        <v>1679</v>
      </c>
      <c r="Q7" s="3678"/>
      <c r="R7" s="701" t="s">
        <v>20</v>
      </c>
      <c r="S7" s="702">
        <f t="shared" ref="S7:S15" si="0">F7</f>
        <v>0</v>
      </c>
      <c r="T7" s="701" t="s">
        <v>20</v>
      </c>
      <c r="U7" s="702">
        <f t="shared" ref="U7:U15" si="1">H7</f>
        <v>0</v>
      </c>
      <c r="V7" s="701" t="s">
        <v>20</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68" t="s">
        <v>1682</v>
      </c>
      <c r="Q8" s="3669"/>
      <c r="R8" s="701" t="s">
        <v>20</v>
      </c>
      <c r="S8" s="702">
        <f t="shared" si="0"/>
        <v>100</v>
      </c>
      <c r="T8" s="701" t="s">
        <v>20</v>
      </c>
      <c r="U8" s="702">
        <f t="shared" si="1"/>
        <v>100</v>
      </c>
      <c r="V8" s="701" t="s">
        <v>20</v>
      </c>
      <c r="W8" s="702">
        <f t="shared" si="2"/>
        <v>100</v>
      </c>
      <c r="X8" s="703"/>
      <c r="Y8" s="3668" t="s">
        <v>1682</v>
      </c>
      <c r="Z8" s="366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66"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66"/>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6"/>
      <c r="Q11" s="1342"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66"/>
      <c r="Q12" s="1342">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66"/>
      <c r="Q13" s="1342">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66"/>
      <c r="Q14" s="1342">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8" t="s">
        <v>1690</v>
      </c>
      <c r="Q15" s="1351" t="str">
        <f t="shared" si="6"/>
        <v>居住社区成熟度</v>
      </c>
      <c r="R15" s="705" t="s">
        <v>18</v>
      </c>
      <c r="S15" s="706">
        <f t="shared" si="0"/>
        <v>100</v>
      </c>
      <c r="T15" s="705" t="s">
        <v>18</v>
      </c>
      <c r="U15" s="706">
        <f t="shared" si="1"/>
        <v>100</v>
      </c>
      <c r="V15" s="705" t="s">
        <v>18</v>
      </c>
      <c r="W15" s="706">
        <f t="shared" si="2"/>
        <v>100</v>
      </c>
      <c r="X15" s="1354"/>
      <c r="Y15" s="3684"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39"/>
      <c r="Q16" s="1351"/>
      <c r="R16" s="705"/>
      <c r="S16" s="706"/>
      <c r="T16" s="705"/>
      <c r="U16" s="706"/>
      <c r="V16" s="705"/>
      <c r="W16" s="706"/>
      <c r="X16" s="1354"/>
      <c r="Y16" s="3685"/>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9"/>
      <c r="Q17" s="1351" t="str">
        <f>B17</f>
        <v>交通便捷度</v>
      </c>
      <c r="R17" s="705" t="s">
        <v>18</v>
      </c>
      <c r="S17" s="706">
        <f>F17</f>
        <v>100</v>
      </c>
      <c r="T17" s="705" t="s">
        <v>18</v>
      </c>
      <c r="U17" s="706">
        <f>H17</f>
        <v>100</v>
      </c>
      <c r="V17" s="705" t="s">
        <v>18</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39"/>
      <c r="Q18" s="1351"/>
      <c r="R18" s="705"/>
      <c r="S18" s="706"/>
      <c r="T18" s="705"/>
      <c r="U18" s="706"/>
      <c r="V18" s="705"/>
      <c r="W18" s="706"/>
      <c r="X18" s="1354"/>
      <c r="Y18" s="3685"/>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9"/>
      <c r="Q19" s="1351" t="str">
        <f>B19</f>
        <v>公共配套设施</v>
      </c>
      <c r="R19" s="705" t="s">
        <v>18</v>
      </c>
      <c r="S19" s="706">
        <f>F19</f>
        <v>100</v>
      </c>
      <c r="T19" s="705" t="s">
        <v>18</v>
      </c>
      <c r="U19" s="706">
        <f>H19</f>
        <v>100</v>
      </c>
      <c r="V19" s="705" t="s">
        <v>18</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39"/>
      <c r="Q20" s="1351"/>
      <c r="R20" s="705"/>
      <c r="S20" s="706"/>
      <c r="T20" s="705"/>
      <c r="U20" s="706"/>
      <c r="V20" s="705"/>
      <c r="W20" s="706"/>
      <c r="X20" s="1354"/>
      <c r="Y20" s="3685"/>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9"/>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739"/>
      <c r="Q22" s="1351"/>
      <c r="R22" s="705"/>
      <c r="S22" s="706"/>
      <c r="T22" s="705"/>
      <c r="U22" s="706"/>
      <c r="V22" s="705"/>
      <c r="W22" s="706"/>
      <c r="X22" s="1354"/>
      <c r="Y22" s="3685"/>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9"/>
      <c r="Q23" s="1351" t="str">
        <f>B23</f>
        <v>自然及人文环境</v>
      </c>
      <c r="R23" s="705" t="s">
        <v>18</v>
      </c>
      <c r="S23" s="706">
        <f>F23</f>
        <v>100</v>
      </c>
      <c r="T23" s="705" t="s">
        <v>18</v>
      </c>
      <c r="U23" s="706">
        <f>H23</f>
        <v>100</v>
      </c>
      <c r="V23" s="705" t="s">
        <v>18</v>
      </c>
      <c r="W23" s="706">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39"/>
      <c r="Q24" s="1351"/>
      <c r="R24" s="705"/>
      <c r="S24" s="706"/>
      <c r="T24" s="705"/>
      <c r="U24" s="706"/>
      <c r="V24" s="705"/>
      <c r="W24" s="706"/>
      <c r="X24" s="1354"/>
      <c r="Y24" s="3685"/>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3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39"/>
      <c r="Q26" s="1351" t="str">
        <f t="shared" si="11"/>
        <v>朝向</v>
      </c>
      <c r="R26" s="705" t="s">
        <v>18</v>
      </c>
      <c r="S26" s="706">
        <f t="shared" si="12"/>
        <v>100</v>
      </c>
      <c r="T26" s="705" t="s">
        <v>18</v>
      </c>
      <c r="U26" s="706">
        <f t="shared" si="13"/>
        <v>100</v>
      </c>
      <c r="V26" s="705" t="s">
        <v>18</v>
      </c>
      <c r="W26" s="706">
        <f t="shared" si="14"/>
        <v>100</v>
      </c>
      <c r="X26" s="1354"/>
      <c r="Y26" s="368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9"/>
      <c r="Q27" s="1342">
        <f t="shared" si="11"/>
        <v>111</v>
      </c>
      <c r="R27" s="701" t="s">
        <v>18</v>
      </c>
      <c r="S27" s="702">
        <f t="shared" si="12"/>
        <v>100</v>
      </c>
      <c r="T27" s="701" t="s">
        <v>18</v>
      </c>
      <c r="U27" s="702">
        <f t="shared" si="13"/>
        <v>100</v>
      </c>
      <c r="V27" s="701" t="s">
        <v>18</v>
      </c>
      <c r="W27" s="702">
        <f t="shared" si="14"/>
        <v>100</v>
      </c>
      <c r="X27" s="703"/>
      <c r="Y27" s="368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9"/>
      <c r="Q28" s="1351">
        <f t="shared" si="11"/>
        <v>111</v>
      </c>
      <c r="R28" s="705" t="s">
        <v>18</v>
      </c>
      <c r="S28" s="706">
        <f t="shared" si="12"/>
        <v>100</v>
      </c>
      <c r="T28" s="705" t="s">
        <v>18</v>
      </c>
      <c r="U28" s="706">
        <f t="shared" si="13"/>
        <v>100</v>
      </c>
      <c r="V28" s="705" t="s">
        <v>18</v>
      </c>
      <c r="W28" s="706">
        <f t="shared" si="14"/>
        <v>100</v>
      </c>
      <c r="X28" s="1354"/>
      <c r="Y28" s="368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9"/>
      <c r="Q29" s="1351">
        <f t="shared" si="11"/>
        <v>111</v>
      </c>
      <c r="R29" s="705" t="s">
        <v>18</v>
      </c>
      <c r="S29" s="706">
        <f t="shared" si="12"/>
        <v>100</v>
      </c>
      <c r="T29" s="705" t="s">
        <v>18</v>
      </c>
      <c r="U29" s="706">
        <f t="shared" si="13"/>
        <v>100</v>
      </c>
      <c r="V29" s="705" t="s">
        <v>18</v>
      </c>
      <c r="W29" s="706">
        <f t="shared" si="14"/>
        <v>100</v>
      </c>
      <c r="X29" s="1354"/>
      <c r="Y29" s="368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9"/>
      <c r="Q30" s="1351">
        <f t="shared" si="11"/>
        <v>111</v>
      </c>
      <c r="R30" s="705" t="s">
        <v>18</v>
      </c>
      <c r="S30" s="706">
        <f t="shared" si="12"/>
        <v>100</v>
      </c>
      <c r="T30" s="705" t="s">
        <v>18</v>
      </c>
      <c r="U30" s="706">
        <f t="shared" si="13"/>
        <v>100</v>
      </c>
      <c r="V30" s="705" t="s">
        <v>18</v>
      </c>
      <c r="W30" s="706">
        <f t="shared" si="14"/>
        <v>100</v>
      </c>
      <c r="X30" s="1354"/>
      <c r="Y30" s="368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9"/>
      <c r="Q31" s="1351">
        <f t="shared" si="11"/>
        <v>111</v>
      </c>
      <c r="R31" s="705" t="s">
        <v>18</v>
      </c>
      <c r="S31" s="706">
        <f t="shared" si="12"/>
        <v>100</v>
      </c>
      <c r="T31" s="705" t="s">
        <v>18</v>
      </c>
      <c r="U31" s="706">
        <f t="shared" si="13"/>
        <v>100</v>
      </c>
      <c r="V31" s="705" t="s">
        <v>18</v>
      </c>
      <c r="W31" s="706">
        <f t="shared" si="14"/>
        <v>100</v>
      </c>
      <c r="X31" s="1354"/>
      <c r="Y31" s="3685"/>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34" t="s">
        <v>1695</v>
      </c>
      <c r="Q32" s="1351" t="str">
        <f t="shared" si="11"/>
        <v>建筑类型</v>
      </c>
      <c r="R32" s="705" t="s">
        <v>18</v>
      </c>
      <c r="S32" s="706">
        <f t="shared" si="12"/>
        <v>100</v>
      </c>
      <c r="T32" s="705" t="s">
        <v>18</v>
      </c>
      <c r="U32" s="706">
        <f t="shared" si="13"/>
        <v>100</v>
      </c>
      <c r="V32" s="705" t="s">
        <v>18</v>
      </c>
      <c r="W32" s="706">
        <f t="shared" si="14"/>
        <v>100</v>
      </c>
      <c r="X32" s="1354"/>
      <c r="Y32" s="3686"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35"/>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35"/>
      <c r="Q34" s="1351" t="str">
        <f t="shared" si="11"/>
        <v>建筑结构</v>
      </c>
      <c r="R34" s="705" t="s">
        <v>18</v>
      </c>
      <c r="S34" s="706">
        <f t="shared" si="12"/>
        <v>100</v>
      </c>
      <c r="T34" s="705" t="s">
        <v>18</v>
      </c>
      <c r="U34" s="706">
        <f t="shared" si="13"/>
        <v>100</v>
      </c>
      <c r="V34" s="705" t="s">
        <v>18</v>
      </c>
      <c r="W34" s="706">
        <f t="shared" si="14"/>
        <v>100</v>
      </c>
      <c r="X34" s="1354"/>
      <c r="Y34" s="3686"/>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35"/>
      <c r="Q35" s="1351" t="str">
        <f t="shared" si="11"/>
        <v>建筑品质</v>
      </c>
      <c r="R35" s="705" t="s">
        <v>18</v>
      </c>
      <c r="S35" s="706">
        <f t="shared" si="12"/>
        <v>100</v>
      </c>
      <c r="T35" s="705" t="s">
        <v>18</v>
      </c>
      <c r="U35" s="706">
        <f t="shared" si="13"/>
        <v>100</v>
      </c>
      <c r="V35" s="705" t="s">
        <v>18</v>
      </c>
      <c r="W35" s="706">
        <f t="shared" si="14"/>
        <v>100</v>
      </c>
      <c r="X35" s="1354"/>
      <c r="Y35" s="3686"/>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35"/>
      <c r="Q36" s="1351" t="str">
        <f t="shared" si="11"/>
        <v>公共部分装修</v>
      </c>
      <c r="R36" s="705" t="s">
        <v>18</v>
      </c>
      <c r="S36" s="706">
        <f t="shared" si="12"/>
        <v>100</v>
      </c>
      <c r="T36" s="705" t="s">
        <v>18</v>
      </c>
      <c r="U36" s="706">
        <f t="shared" si="13"/>
        <v>100</v>
      </c>
      <c r="V36" s="705" t="s">
        <v>18</v>
      </c>
      <c r="W36" s="706">
        <f t="shared" si="14"/>
        <v>100</v>
      </c>
      <c r="X36" s="1354"/>
      <c r="Y36" s="3686"/>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5"/>
      <c r="Q37" s="1342"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35" t="s">
        <v>1695</v>
      </c>
      <c r="Q38" s="1351" t="str">
        <f t="shared" si="11"/>
        <v>物业管理</v>
      </c>
      <c r="R38" s="705" t="s">
        <v>18</v>
      </c>
      <c r="S38" s="706">
        <f t="shared" si="12"/>
        <v>100</v>
      </c>
      <c r="T38" s="705" t="s">
        <v>18</v>
      </c>
      <c r="U38" s="706">
        <f t="shared" si="13"/>
        <v>100</v>
      </c>
      <c r="V38" s="705" t="s">
        <v>18</v>
      </c>
      <c r="W38" s="706">
        <f t="shared" si="14"/>
        <v>100</v>
      </c>
      <c r="X38" s="1354"/>
      <c r="Y38" s="3686"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35"/>
      <c r="Q39" s="1351" t="str">
        <f t="shared" si="11"/>
        <v>市政基础设施</v>
      </c>
      <c r="R39" s="705" t="s">
        <v>18</v>
      </c>
      <c r="S39" s="706">
        <f t="shared" si="12"/>
        <v>100</v>
      </c>
      <c r="T39" s="705" t="s">
        <v>18</v>
      </c>
      <c r="U39" s="706">
        <f t="shared" si="13"/>
        <v>100</v>
      </c>
      <c r="V39" s="705" t="s">
        <v>18</v>
      </c>
      <c r="W39" s="706">
        <f t="shared" si="14"/>
        <v>100</v>
      </c>
      <c r="X39" s="1354"/>
      <c r="Y39" s="3686"/>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35"/>
      <c r="Q40" s="1351" t="str">
        <f t="shared" si="11"/>
        <v>房型</v>
      </c>
      <c r="R40" s="705" t="s">
        <v>18</v>
      </c>
      <c r="S40" s="706">
        <f t="shared" si="12"/>
        <v>100</v>
      </c>
      <c r="T40" s="705" t="s">
        <v>18</v>
      </c>
      <c r="U40" s="706">
        <f t="shared" si="13"/>
        <v>100</v>
      </c>
      <c r="V40" s="705" t="s">
        <v>18</v>
      </c>
      <c r="W40" s="706">
        <f t="shared" si="14"/>
        <v>100</v>
      </c>
      <c r="X40" s="1354"/>
      <c r="Y40" s="3686"/>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35"/>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35"/>
      <c r="Q42" s="1351" t="str">
        <f t="shared" si="11"/>
        <v>内部装修</v>
      </c>
      <c r="R42" s="705" t="s">
        <v>18</v>
      </c>
      <c r="S42" s="706">
        <f t="shared" si="12"/>
        <v>100</v>
      </c>
      <c r="T42" s="705" t="s">
        <v>18</v>
      </c>
      <c r="U42" s="706">
        <f t="shared" si="13"/>
        <v>100</v>
      </c>
      <c r="V42" s="705" t="s">
        <v>18</v>
      </c>
      <c r="W42" s="706">
        <f t="shared" si="14"/>
        <v>100</v>
      </c>
      <c r="X42" s="1354"/>
      <c r="Y42" s="3686"/>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35"/>
      <c r="Q43" s="1351" t="str">
        <f t="shared" si="11"/>
        <v>内部装修维护情况</v>
      </c>
      <c r="R43" s="705" t="s">
        <v>18</v>
      </c>
      <c r="S43" s="706">
        <f t="shared" si="12"/>
        <v>100</v>
      </c>
      <c r="T43" s="705" t="s">
        <v>18</v>
      </c>
      <c r="U43" s="706">
        <f t="shared" si="13"/>
        <v>100</v>
      </c>
      <c r="V43" s="705" t="s">
        <v>18</v>
      </c>
      <c r="W43" s="706">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5"/>
      <c r="Q44" s="1342">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5"/>
      <c r="Q45" s="1351">
        <f t="shared" si="11"/>
        <v>111</v>
      </c>
      <c r="R45" s="705" t="s">
        <v>18</v>
      </c>
      <c r="S45" s="706">
        <f t="shared" si="12"/>
        <v>100</v>
      </c>
      <c r="T45" s="705" t="s">
        <v>18</v>
      </c>
      <c r="U45" s="706">
        <f t="shared" si="13"/>
        <v>100</v>
      </c>
      <c r="V45" s="705" t="s">
        <v>18</v>
      </c>
      <c r="W45" s="706">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6"/>
      <c r="Q46" s="1351">
        <f t="shared" si="11"/>
        <v>111</v>
      </c>
      <c r="R46" s="705" t="s">
        <v>17</v>
      </c>
      <c r="S46" s="706">
        <f t="shared" si="12"/>
        <v>100</v>
      </c>
      <c r="T46" s="705" t="s">
        <v>17</v>
      </c>
      <c r="U46" s="706">
        <f t="shared" si="13"/>
        <v>100</v>
      </c>
      <c r="V46" s="705" t="s">
        <v>17</v>
      </c>
      <c r="W46" s="706">
        <f t="shared" si="14"/>
        <v>100</v>
      </c>
      <c r="X46" s="1354"/>
      <c r="Y46" s="3737"/>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0"/>
      <c r="M47" s="2721"/>
      <c r="N47" s="2712"/>
      <c r="O47" s="2721"/>
      <c r="P47" s="3667" t="str">
        <f>A47</f>
        <v>成交单价（元/平方米）</v>
      </c>
      <c r="Q47" s="3667"/>
      <c r="R47" s="3733">
        <f>E47</f>
        <v>0</v>
      </c>
      <c r="S47" s="3733"/>
      <c r="T47" s="3733">
        <f>G47</f>
        <v>0</v>
      </c>
      <c r="U47" s="3733"/>
      <c r="V47" s="3733">
        <f>I47</f>
        <v>0</v>
      </c>
      <c r="W47" s="3733"/>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0"/>
      <c r="M48" s="2721"/>
      <c r="N48" s="2721"/>
      <c r="O48" s="2721"/>
      <c r="P48" s="3667" t="str">
        <f>A48</f>
        <v>比较价值（元/平方米）</v>
      </c>
      <c r="Q48" s="3667"/>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0"/>
      <c r="M49" s="2721"/>
      <c r="N49" s="2721"/>
      <c r="O49" s="2721"/>
      <c r="P49" s="3702" t="str">
        <f>A49</f>
        <v>估价对象XX用房的比较价值（楼面单价，元/平方米）</v>
      </c>
      <c r="Q49" s="3703"/>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1768</v>
      </c>
      <c r="B4" s="356"/>
      <c r="C4" s="3664" t="s">
        <v>1769</v>
      </c>
      <c r="D4" s="3690"/>
      <c r="E4" s="3691" t="s">
        <v>1770</v>
      </c>
      <c r="F4" s="3692"/>
      <c r="G4" s="3664" t="s">
        <v>1771</v>
      </c>
      <c r="H4" s="3690"/>
      <c r="I4" s="3664" t="s">
        <v>1772</v>
      </c>
      <c r="J4" s="3690"/>
      <c r="K4" s="559" t="s">
        <v>1773</v>
      </c>
      <c r="L4" s="2711"/>
      <c r="M4" s="2712"/>
      <c r="N4" s="2712"/>
      <c r="O4" s="2712"/>
      <c r="P4" s="3693" t="s">
        <v>1774</v>
      </c>
      <c r="Q4" s="3694"/>
      <c r="R4" s="3670" t="s">
        <v>1770</v>
      </c>
      <c r="S4" s="3671"/>
      <c r="T4" s="3670" t="s">
        <v>1771</v>
      </c>
      <c r="U4" s="3671"/>
      <c r="V4" s="3683" t="s">
        <v>1772</v>
      </c>
      <c r="W4" s="3683"/>
      <c r="X4" s="1354"/>
      <c r="Y4" s="3670" t="s">
        <v>1774</v>
      </c>
      <c r="Z4" s="3671"/>
      <c r="AA4" s="3687" t="s">
        <v>1770</v>
      </c>
      <c r="AB4" s="3683" t="s">
        <v>1771</v>
      </c>
      <c r="AC4" s="3687" t="s">
        <v>1772</v>
      </c>
    </row>
    <row r="5" spans="1:29" ht="15">
      <c r="A5" s="358"/>
      <c r="B5" s="359"/>
      <c r="C5" s="3674" t="s">
        <v>1672</v>
      </c>
      <c r="D5" s="3675"/>
      <c r="E5" s="3699" t="s">
        <v>1673</v>
      </c>
      <c r="F5" s="3700"/>
      <c r="G5" s="3674" t="s">
        <v>1674</v>
      </c>
      <c r="H5" s="3675"/>
      <c r="I5" s="3674" t="s">
        <v>1675</v>
      </c>
      <c r="J5" s="3675"/>
      <c r="K5" s="559"/>
      <c r="L5" s="2711"/>
      <c r="M5" s="2712"/>
      <c r="N5" s="2712"/>
      <c r="O5" s="2712"/>
      <c r="P5" s="3695"/>
      <c r="Q5" s="3696"/>
      <c r="R5" s="3672"/>
      <c r="S5" s="3673"/>
      <c r="T5" s="3672"/>
      <c r="U5" s="3673"/>
      <c r="V5" s="3683"/>
      <c r="W5" s="3683"/>
      <c r="X5" s="1354"/>
      <c r="Y5" s="3672"/>
      <c r="Z5" s="3673"/>
      <c r="AA5" s="3688"/>
      <c r="AB5" s="3683"/>
      <c r="AC5" s="3688"/>
    </row>
    <row r="6" spans="1:29" ht="15.75" thickBot="1">
      <c r="A6" s="360"/>
      <c r="B6" s="361"/>
      <c r="C6" s="3740" t="s">
        <v>1676</v>
      </c>
      <c r="D6" s="3741"/>
      <c r="E6" s="3742" t="s">
        <v>1676</v>
      </c>
      <c r="F6" s="3743"/>
      <c r="G6" s="3740" t="s">
        <v>1676</v>
      </c>
      <c r="H6" s="3741"/>
      <c r="I6" s="3740" t="s">
        <v>1676</v>
      </c>
      <c r="J6" s="3741"/>
      <c r="K6" s="559" t="s">
        <v>1677</v>
      </c>
      <c r="L6" s="2711"/>
      <c r="M6" s="2712"/>
      <c r="N6" s="2712"/>
      <c r="O6" s="2712"/>
      <c r="P6" s="3697"/>
      <c r="Q6" s="3698"/>
      <c r="R6" s="3672"/>
      <c r="S6" s="3673"/>
      <c r="T6" s="3681"/>
      <c r="U6" s="3682"/>
      <c r="V6" s="3683"/>
      <c r="W6" s="3683"/>
      <c r="X6" s="1354"/>
      <c r="Y6" s="3681"/>
      <c r="Z6" s="3682"/>
      <c r="AA6" s="3689"/>
      <c r="AB6" s="3683"/>
      <c r="AC6" s="3689"/>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8" t="s">
        <v>1679</v>
      </c>
      <c r="Q7" s="3678"/>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8" t="s">
        <v>1682</v>
      </c>
      <c r="Q8" s="3669"/>
      <c r="R8" s="701" t="s">
        <v>14</v>
      </c>
      <c r="S8" s="702">
        <f t="shared" si="0"/>
        <v>100</v>
      </c>
      <c r="T8" s="701" t="s">
        <v>14</v>
      </c>
      <c r="U8" s="702">
        <f t="shared" si="1"/>
        <v>100</v>
      </c>
      <c r="V8" s="701" t="s">
        <v>14</v>
      </c>
      <c r="W8" s="702">
        <f t="shared" si="2"/>
        <v>100</v>
      </c>
      <c r="X8" s="703"/>
      <c r="Y8" s="3668" t="s">
        <v>1682</v>
      </c>
      <c r="Z8" s="3669"/>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6"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6"/>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6"/>
      <c r="Q11" s="1342"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6"/>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6"/>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6"/>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8" t="s">
        <v>1690</v>
      </c>
      <c r="Q15" s="1351" t="str">
        <f t="shared" si="6"/>
        <v>商业繁华度</v>
      </c>
      <c r="R15" s="705" t="s">
        <v>14</v>
      </c>
      <c r="S15" s="706">
        <f t="shared" si="0"/>
        <v>100</v>
      </c>
      <c r="T15" s="705" t="s">
        <v>14</v>
      </c>
      <c r="U15" s="706">
        <f t="shared" si="1"/>
        <v>100</v>
      </c>
      <c r="V15" s="705" t="s">
        <v>14</v>
      </c>
      <c r="W15" s="706">
        <f t="shared" si="2"/>
        <v>100</v>
      </c>
      <c r="X15" s="1354"/>
      <c r="Y15" s="3684"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9"/>
      <c r="Q16" s="1351"/>
      <c r="R16" s="705"/>
      <c r="S16" s="706"/>
      <c r="T16" s="705"/>
      <c r="U16" s="706"/>
      <c r="V16" s="705"/>
      <c r="W16" s="706"/>
      <c r="X16" s="1354"/>
      <c r="Y16" s="3685"/>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9"/>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9"/>
      <c r="Q18" s="1351"/>
      <c r="R18" s="705"/>
      <c r="S18" s="706"/>
      <c r="T18" s="705"/>
      <c r="U18" s="706"/>
      <c r="V18" s="705"/>
      <c r="W18" s="706"/>
      <c r="X18" s="1354"/>
      <c r="Y18" s="3685"/>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9"/>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9"/>
      <c r="Q20" s="1351"/>
      <c r="R20" s="705"/>
      <c r="S20" s="706"/>
      <c r="T20" s="705"/>
      <c r="U20" s="706"/>
      <c r="V20" s="705"/>
      <c r="W20" s="706"/>
      <c r="X20" s="1354"/>
      <c r="Y20" s="3685"/>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9"/>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39"/>
      <c r="Q22" s="1351"/>
      <c r="R22" s="705"/>
      <c r="S22" s="706"/>
      <c r="T22" s="705"/>
      <c r="U22" s="706"/>
      <c r="V22" s="705"/>
      <c r="W22" s="706"/>
      <c r="X22" s="1354"/>
      <c r="Y22" s="3685"/>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9"/>
      <c r="Q23" s="1351" t="str">
        <f>B23</f>
        <v>自然及人文环境</v>
      </c>
      <c r="R23" s="705" t="s">
        <v>14</v>
      </c>
      <c r="S23" s="706">
        <f>F23</f>
        <v>100</v>
      </c>
      <c r="T23" s="705" t="s">
        <v>14</v>
      </c>
      <c r="U23" s="706">
        <f>H23</f>
        <v>100</v>
      </c>
      <c r="V23" s="705" t="s">
        <v>14</v>
      </c>
      <c r="W23" s="706">
        <f>J23</f>
        <v>100</v>
      </c>
      <c r="X23" s="1354"/>
      <c r="Y23" s="368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9"/>
      <c r="Q24" s="1351"/>
      <c r="R24" s="705"/>
      <c r="S24" s="706"/>
      <c r="T24" s="705"/>
      <c r="U24" s="706"/>
      <c r="V24" s="705"/>
      <c r="W24" s="706"/>
      <c r="X24" s="1354"/>
      <c r="Y24" s="3685"/>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9"/>
      <c r="Q25" s="1351" t="str">
        <f t="shared" ref="Q25:Q46" si="11">B25</f>
        <v>临街状况</v>
      </c>
      <c r="R25" s="705" t="s">
        <v>14</v>
      </c>
      <c r="S25" s="706">
        <f>F25</f>
        <v>100</v>
      </c>
      <c r="T25" s="705" t="s">
        <v>14</v>
      </c>
      <c r="U25" s="706">
        <f>H25</f>
        <v>100</v>
      </c>
      <c r="V25" s="705" t="s">
        <v>14</v>
      </c>
      <c r="W25" s="706">
        <f>J25</f>
        <v>100</v>
      </c>
      <c r="X25" s="1354"/>
      <c r="Y25" s="3685"/>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9"/>
      <c r="Q26" s="1351" t="str">
        <f t="shared" si="11"/>
        <v>平面位置/可视性</v>
      </c>
      <c r="R26" s="705" t="s">
        <v>14</v>
      </c>
      <c r="S26" s="706">
        <f>F26</f>
        <v>100</v>
      </c>
      <c r="T26" s="705" t="s">
        <v>14</v>
      </c>
      <c r="U26" s="706">
        <f>H26</f>
        <v>100</v>
      </c>
      <c r="V26" s="705" t="s">
        <v>14</v>
      </c>
      <c r="W26" s="706">
        <f>J26</f>
        <v>100</v>
      </c>
      <c r="X26" s="1354"/>
      <c r="Y26" s="3685"/>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39"/>
      <c r="Q27" s="1342" t="str">
        <f t="shared" si="11"/>
        <v>人流量</v>
      </c>
      <c r="R27" s="701" t="s">
        <v>14</v>
      </c>
      <c r="S27" s="702">
        <f>F27</f>
        <v>100</v>
      </c>
      <c r="T27" s="701" t="s">
        <v>14</v>
      </c>
      <c r="U27" s="702">
        <f>H27</f>
        <v>100</v>
      </c>
      <c r="V27" s="701" t="s">
        <v>14</v>
      </c>
      <c r="W27" s="702">
        <f>J27</f>
        <v>100</v>
      </c>
      <c r="X27" s="703"/>
      <c r="Y27" s="3685"/>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9"/>
      <c r="Q29" s="1351">
        <f t="shared" si="11"/>
        <v>111</v>
      </c>
      <c r="R29" s="705" t="s">
        <v>14</v>
      </c>
      <c r="S29" s="706">
        <f t="shared" si="12"/>
        <v>100</v>
      </c>
      <c r="T29" s="705" t="s">
        <v>14</v>
      </c>
      <c r="U29" s="706">
        <f t="shared" si="13"/>
        <v>100</v>
      </c>
      <c r="V29" s="705" t="s">
        <v>14</v>
      </c>
      <c r="W29" s="706">
        <f t="shared" si="14"/>
        <v>100</v>
      </c>
      <c r="X29" s="1354"/>
      <c r="Y29" s="368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9"/>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9"/>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34" t="s">
        <v>1695</v>
      </c>
      <c r="Q32" s="1351" t="str">
        <f t="shared" si="11"/>
        <v>商业类型</v>
      </c>
      <c r="R32" s="705" t="s">
        <v>14</v>
      </c>
      <c r="S32" s="706">
        <f t="shared" si="12"/>
        <v>100</v>
      </c>
      <c r="T32" s="705" t="s">
        <v>14</v>
      </c>
      <c r="U32" s="706">
        <f t="shared" si="13"/>
        <v>100</v>
      </c>
      <c r="V32" s="705" t="s">
        <v>14</v>
      </c>
      <c r="W32" s="706">
        <f t="shared" si="14"/>
        <v>100</v>
      </c>
      <c r="X32" s="1354"/>
      <c r="Y32" s="3686"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5"/>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35"/>
      <c r="Q34" s="1351" t="str">
        <f t="shared" si="11"/>
        <v>建筑结构</v>
      </c>
      <c r="R34" s="705" t="s">
        <v>14</v>
      </c>
      <c r="S34" s="706">
        <f t="shared" si="12"/>
        <v>100</v>
      </c>
      <c r="T34" s="705" t="s">
        <v>14</v>
      </c>
      <c r="U34" s="706">
        <f t="shared" si="13"/>
        <v>100</v>
      </c>
      <c r="V34" s="705" t="s">
        <v>14</v>
      </c>
      <c r="W34" s="706">
        <f t="shared" si="14"/>
        <v>100</v>
      </c>
      <c r="X34" s="1354"/>
      <c r="Y34" s="3686"/>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35"/>
      <c r="Q35" s="1351" t="str">
        <f t="shared" si="11"/>
        <v>公共部分装修</v>
      </c>
      <c r="R35" s="705" t="s">
        <v>14</v>
      </c>
      <c r="S35" s="706">
        <f t="shared" si="12"/>
        <v>100</v>
      </c>
      <c r="T35" s="705" t="s">
        <v>14</v>
      </c>
      <c r="U35" s="706">
        <f t="shared" si="13"/>
        <v>100</v>
      </c>
      <c r="V35" s="705" t="s">
        <v>14</v>
      </c>
      <c r="W35" s="706">
        <f t="shared" si="14"/>
        <v>100</v>
      </c>
      <c r="X35" s="1354"/>
      <c r="Y35" s="3686"/>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5"/>
      <c r="Q36" s="1351" t="str">
        <f t="shared" si="11"/>
        <v>成新度</v>
      </c>
      <c r="R36" s="705" t="s">
        <v>14</v>
      </c>
      <c r="S36" s="706" t="e">
        <f t="shared" si="12"/>
        <v>#N/A</v>
      </c>
      <c r="T36" s="705" t="s">
        <v>14</v>
      </c>
      <c r="U36" s="706" t="e">
        <f t="shared" si="13"/>
        <v>#N/A</v>
      </c>
      <c r="V36" s="705" t="s">
        <v>14</v>
      </c>
      <c r="W36" s="706" t="e">
        <f t="shared" si="14"/>
        <v>#N/A</v>
      </c>
      <c r="X36" s="1354"/>
      <c r="Y36" s="3686"/>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35"/>
      <c r="Q37" s="1342"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35" t="s">
        <v>1695</v>
      </c>
      <c r="Q38" s="1351" t="str">
        <f t="shared" si="11"/>
        <v>业态</v>
      </c>
      <c r="R38" s="705" t="s">
        <v>14</v>
      </c>
      <c r="S38" s="706">
        <f t="shared" si="12"/>
        <v>100</v>
      </c>
      <c r="T38" s="705" t="s">
        <v>14</v>
      </c>
      <c r="U38" s="706">
        <f t="shared" si="13"/>
        <v>100</v>
      </c>
      <c r="V38" s="705" t="s">
        <v>14</v>
      </c>
      <c r="W38" s="706">
        <f t="shared" si="14"/>
        <v>100</v>
      </c>
      <c r="X38" s="1354"/>
      <c r="Y38" s="3686"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35"/>
      <c r="Q39" s="1351" t="str">
        <f t="shared" si="11"/>
        <v>层高</v>
      </c>
      <c r="R39" s="705" t="s">
        <v>14</v>
      </c>
      <c r="S39" s="706">
        <f t="shared" si="12"/>
        <v>100</v>
      </c>
      <c r="T39" s="705" t="s">
        <v>14</v>
      </c>
      <c r="U39" s="706">
        <f t="shared" si="13"/>
        <v>100</v>
      </c>
      <c r="V39" s="705" t="s">
        <v>14</v>
      </c>
      <c r="W39" s="706">
        <f t="shared" si="14"/>
        <v>100</v>
      </c>
      <c r="X39" s="1354"/>
      <c r="Y39" s="3686"/>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5"/>
      <c r="Q40" s="1351" t="str">
        <f t="shared" si="11"/>
        <v>单套建筑面积</v>
      </c>
      <c r="R40" s="705" t="s">
        <v>14</v>
      </c>
      <c r="S40" s="706">
        <f t="shared" si="12"/>
        <v>100</v>
      </c>
      <c r="T40" s="705" t="s">
        <v>14</v>
      </c>
      <c r="U40" s="706">
        <f t="shared" si="13"/>
        <v>100</v>
      </c>
      <c r="V40" s="705" t="s">
        <v>14</v>
      </c>
      <c r="W40" s="706">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5"/>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35"/>
      <c r="Q42" s="1351" t="str">
        <f t="shared" si="11"/>
        <v>内部装修</v>
      </c>
      <c r="R42" s="705" t="s">
        <v>14</v>
      </c>
      <c r="S42" s="706">
        <f t="shared" si="12"/>
        <v>100</v>
      </c>
      <c r="T42" s="705" t="s">
        <v>14</v>
      </c>
      <c r="U42" s="706">
        <f t="shared" si="13"/>
        <v>100</v>
      </c>
      <c r="V42" s="705" t="s">
        <v>14</v>
      </c>
      <c r="W42" s="706">
        <f t="shared" si="14"/>
        <v>100</v>
      </c>
      <c r="X42" s="1354"/>
      <c r="Y42" s="3686"/>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35"/>
      <c r="Q43" s="1351" t="str">
        <f t="shared" si="11"/>
        <v>内部装修维护情况</v>
      </c>
      <c r="R43" s="705" t="s">
        <v>14</v>
      </c>
      <c r="S43" s="706">
        <f t="shared" si="12"/>
        <v>100</v>
      </c>
      <c r="T43" s="705" t="s">
        <v>14</v>
      </c>
      <c r="U43" s="706">
        <f t="shared" si="13"/>
        <v>100</v>
      </c>
      <c r="V43" s="705" t="s">
        <v>14</v>
      </c>
      <c r="W43" s="706">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5"/>
      <c r="Q44" s="1342">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5"/>
      <c r="Q45" s="1351">
        <f t="shared" si="11"/>
        <v>111</v>
      </c>
      <c r="R45" s="705" t="s">
        <v>14</v>
      </c>
      <c r="S45" s="706">
        <f t="shared" si="12"/>
        <v>100</v>
      </c>
      <c r="T45" s="705" t="s">
        <v>14</v>
      </c>
      <c r="U45" s="706">
        <f t="shared" si="13"/>
        <v>100</v>
      </c>
      <c r="V45" s="705" t="s">
        <v>14</v>
      </c>
      <c r="W45" s="706">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6"/>
      <c r="Q46" s="1351">
        <f t="shared" si="11"/>
        <v>111</v>
      </c>
      <c r="R46" s="705" t="s">
        <v>14</v>
      </c>
      <c r="S46" s="706">
        <f t="shared" si="12"/>
        <v>100</v>
      </c>
      <c r="T46" s="705" t="s">
        <v>14</v>
      </c>
      <c r="U46" s="706">
        <f t="shared" si="13"/>
        <v>100</v>
      </c>
      <c r="V46" s="705" t="s">
        <v>14</v>
      </c>
      <c r="W46" s="706">
        <f t="shared" si="14"/>
        <v>100</v>
      </c>
      <c r="X46" s="1354"/>
      <c r="Y46" s="3737"/>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0"/>
      <c r="M47" s="2721"/>
      <c r="N47" s="2712"/>
      <c r="O47" s="2721"/>
      <c r="P47" s="3667" t="str">
        <f>A47</f>
        <v>成交单价（元/平方米）</v>
      </c>
      <c r="Q47" s="3667"/>
      <c r="R47" s="3683">
        <f>E47</f>
        <v>0</v>
      </c>
      <c r="S47" s="3683"/>
      <c r="T47" s="3683">
        <f>G47</f>
        <v>0</v>
      </c>
      <c r="U47" s="3683"/>
      <c r="V47" s="3683">
        <f>I47</f>
        <v>0</v>
      </c>
      <c r="W47" s="3683"/>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0"/>
      <c r="M48" s="2721"/>
      <c r="N48" s="2712"/>
      <c r="O48" s="2721"/>
      <c r="P48" s="3667" t="str">
        <f>A48</f>
        <v>比较价值（元/平方米）</v>
      </c>
      <c r="Q48" s="3667"/>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0"/>
      <c r="M49" s="2721"/>
      <c r="N49" s="2712"/>
      <c r="O49" s="2721"/>
      <c r="P49" s="3702" t="str">
        <f>A49</f>
        <v>估价对象XX用房的比较价值（楼面单价，元/平方米）</v>
      </c>
      <c r="Q49" s="3703"/>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北京农商银行天通苑支行：</v>
      </c>
    </row>
    <row r="4" spans="1:1" ht="36">
      <c r="A4" s="1479" t="str">
        <f>"受贵公司委托，我公司对"&amp;项目基本情况!S1&amp;"进行了预评估。"</f>
        <v>受贵公司委托，我公司对北京市顺义区赵全营镇板桥村房地产抵押价值进行了预评估。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估价对象为北京市顺义区赵全营镇板桥村房地产，为北京怡和中源科技有限公司所有。根据《国有土地使用证》[]，估价对象（分摊）出让国有建设用地使用权面积为17833.27平方米，建筑面积为47621.42平方米。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1" spans="1:1" ht="76.5">
      <c r="A11" s="1482" t="s">
        <v>903</v>
      </c>
    </row>
    <row r="12" spans="1:1" ht="18.75">
      <c r="A12" s="1480" t="s">
        <v>904</v>
      </c>
    </row>
    <row r="13" spans="1:1" ht="38.25" customHeight="1">
      <c r="A13" s="1483"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664" t="s">
        <v>1769</v>
      </c>
      <c r="D4" s="3690"/>
      <c r="E4" s="3691" t="s">
        <v>1770</v>
      </c>
      <c r="F4" s="3692"/>
      <c r="G4" s="3664" t="s">
        <v>1771</v>
      </c>
      <c r="H4" s="3690"/>
      <c r="I4" s="3664" t="s">
        <v>1772</v>
      </c>
      <c r="J4" s="3690"/>
      <c r="K4" s="559" t="s">
        <v>1773</v>
      </c>
      <c r="L4" s="2711"/>
      <c r="M4" s="2712"/>
      <c r="N4" s="2712"/>
      <c r="O4" s="2712"/>
      <c r="P4" s="3750" t="s">
        <v>1774</v>
      </c>
      <c r="Q4" s="3751"/>
      <c r="R4" s="3754" t="s">
        <v>1770</v>
      </c>
      <c r="S4" s="3755"/>
      <c r="T4" s="3754" t="s">
        <v>1771</v>
      </c>
      <c r="U4" s="3755"/>
      <c r="V4" s="3756" t="s">
        <v>1772</v>
      </c>
      <c r="W4" s="3756"/>
      <c r="X4" s="1957"/>
      <c r="Y4" s="3754" t="s">
        <v>1774</v>
      </c>
      <c r="Z4" s="3755"/>
      <c r="AA4" s="3758" t="s">
        <v>1770</v>
      </c>
      <c r="AB4" s="3758" t="s">
        <v>1771</v>
      </c>
      <c r="AC4" s="3747" t="s">
        <v>1772</v>
      </c>
    </row>
    <row r="5" spans="1:29" ht="15">
      <c r="A5" s="358"/>
      <c r="B5" s="359"/>
      <c r="C5" s="3674" t="s">
        <v>1672</v>
      </c>
      <c r="D5" s="3675"/>
      <c r="E5" s="3699" t="s">
        <v>1673</v>
      </c>
      <c r="F5" s="3700"/>
      <c r="G5" s="3674" t="s">
        <v>1674</v>
      </c>
      <c r="H5" s="3675"/>
      <c r="I5" s="3674" t="s">
        <v>1675</v>
      </c>
      <c r="J5" s="3675"/>
      <c r="K5" s="559"/>
      <c r="L5" s="2711"/>
      <c r="M5" s="2712"/>
      <c r="N5" s="2712"/>
      <c r="O5" s="2712"/>
      <c r="P5" s="3752"/>
      <c r="Q5" s="3696"/>
      <c r="R5" s="3672"/>
      <c r="S5" s="3673"/>
      <c r="T5" s="3672"/>
      <c r="U5" s="3673"/>
      <c r="V5" s="3683"/>
      <c r="W5" s="3683"/>
      <c r="X5" s="1354"/>
      <c r="Y5" s="3672"/>
      <c r="Z5" s="3673"/>
      <c r="AA5" s="3688"/>
      <c r="AB5" s="3688"/>
      <c r="AC5" s="3748"/>
    </row>
    <row r="6" spans="1:29" ht="15.75" thickBot="1">
      <c r="A6" s="360"/>
      <c r="B6" s="361"/>
      <c r="C6" s="3740" t="s">
        <v>1676</v>
      </c>
      <c r="D6" s="3741"/>
      <c r="E6" s="3742" t="s">
        <v>1676</v>
      </c>
      <c r="F6" s="3743"/>
      <c r="G6" s="3740" t="s">
        <v>1676</v>
      </c>
      <c r="H6" s="3741"/>
      <c r="I6" s="3740" t="s">
        <v>1676</v>
      </c>
      <c r="J6" s="3741"/>
      <c r="K6" s="559" t="s">
        <v>1677</v>
      </c>
      <c r="L6" s="2711"/>
      <c r="M6" s="2712"/>
      <c r="N6" s="2712"/>
      <c r="O6" s="2712"/>
      <c r="P6" s="3753"/>
      <c r="Q6" s="3698"/>
      <c r="R6" s="3672"/>
      <c r="S6" s="3673"/>
      <c r="T6" s="3681"/>
      <c r="U6" s="3682"/>
      <c r="V6" s="3683"/>
      <c r="W6" s="3683"/>
      <c r="X6" s="1354"/>
      <c r="Y6" s="3681"/>
      <c r="Z6" s="3682"/>
      <c r="AA6" s="3689"/>
      <c r="AB6" s="3689"/>
      <c r="AC6" s="3749"/>
    </row>
    <row r="7" spans="1:29" s="108" customFormat="1" ht="15.75" thickBot="1">
      <c r="A7" s="362" t="s">
        <v>1678</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7" t="s">
        <v>1679</v>
      </c>
      <c r="Q7" s="3678"/>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7" t="s">
        <v>1682</v>
      </c>
      <c r="Q8" s="3669"/>
      <c r="R8" s="701" t="s">
        <v>14</v>
      </c>
      <c r="S8" s="702">
        <f t="shared" si="0"/>
        <v>100</v>
      </c>
      <c r="T8" s="701" t="s">
        <v>14</v>
      </c>
      <c r="U8" s="702">
        <f t="shared" si="1"/>
        <v>100</v>
      </c>
      <c r="V8" s="701" t="s">
        <v>14</v>
      </c>
      <c r="W8" s="702">
        <f t="shared" si="2"/>
        <v>100</v>
      </c>
      <c r="X8" s="703"/>
      <c r="Y8" s="3668" t="s">
        <v>1682</v>
      </c>
      <c r="Z8" s="3669"/>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66"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1958">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6"/>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6"/>
      <c r="Q11" s="1342"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66"/>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66"/>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66"/>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8" t="s">
        <v>1690</v>
      </c>
      <c r="Q15" s="1351" t="str">
        <f t="shared" si="6"/>
        <v>办公集聚程度</v>
      </c>
      <c r="R15" s="705" t="s">
        <v>14</v>
      </c>
      <c r="S15" s="706">
        <f t="shared" si="0"/>
        <v>100</v>
      </c>
      <c r="T15" s="705" t="s">
        <v>14</v>
      </c>
      <c r="U15" s="706">
        <f t="shared" si="1"/>
        <v>100</v>
      </c>
      <c r="V15" s="705" t="s">
        <v>14</v>
      </c>
      <c r="W15" s="706">
        <f t="shared" si="2"/>
        <v>100</v>
      </c>
      <c r="X15" s="1354"/>
      <c r="Y15" s="3684"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39"/>
      <c r="Q16" s="1351"/>
      <c r="R16" s="705"/>
      <c r="S16" s="706"/>
      <c r="T16" s="705"/>
      <c r="U16" s="706"/>
      <c r="V16" s="705"/>
      <c r="W16" s="706"/>
      <c r="X16" s="1354"/>
      <c r="Y16" s="3685"/>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9"/>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39"/>
      <c r="Q18" s="1351"/>
      <c r="R18" s="705"/>
      <c r="S18" s="706"/>
      <c r="T18" s="705"/>
      <c r="U18" s="706"/>
      <c r="V18" s="705"/>
      <c r="W18" s="706"/>
      <c r="X18" s="1354"/>
      <c r="Y18" s="3685"/>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9"/>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39"/>
      <c r="Q20" s="1351"/>
      <c r="R20" s="705"/>
      <c r="S20" s="706"/>
      <c r="T20" s="705"/>
      <c r="U20" s="706"/>
      <c r="V20" s="705"/>
      <c r="W20" s="706"/>
      <c r="X20" s="1354"/>
      <c r="Y20" s="3685"/>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9"/>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739"/>
      <c r="Q22" s="1351"/>
      <c r="R22" s="705"/>
      <c r="S22" s="706"/>
      <c r="T22" s="705"/>
      <c r="U22" s="706"/>
      <c r="V22" s="705"/>
      <c r="W22" s="706"/>
      <c r="X22" s="1354"/>
      <c r="Y22" s="3685"/>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9"/>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39"/>
      <c r="Q24" s="1351"/>
      <c r="R24" s="705"/>
      <c r="S24" s="706"/>
      <c r="T24" s="705"/>
      <c r="U24" s="706"/>
      <c r="V24" s="705"/>
      <c r="W24" s="706"/>
      <c r="X24" s="1354"/>
      <c r="Y24" s="3685"/>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9"/>
      <c r="Q25" s="1351" t="str">
        <f>B25</f>
        <v>毗邻道路的类型与等级</v>
      </c>
      <c r="R25" s="705" t="s">
        <v>14</v>
      </c>
      <c r="S25" s="706">
        <f>F25</f>
        <v>100</v>
      </c>
      <c r="T25" s="705" t="s">
        <v>14</v>
      </c>
      <c r="U25" s="706">
        <f>H25</f>
        <v>100</v>
      </c>
      <c r="V25" s="705" t="s">
        <v>14</v>
      </c>
      <c r="W25" s="706">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39"/>
      <c r="Q26" s="1351"/>
      <c r="R26" s="705"/>
      <c r="S26" s="706"/>
      <c r="T26" s="705"/>
      <c r="U26" s="706"/>
      <c r="V26" s="705"/>
      <c r="W26" s="706"/>
      <c r="X26" s="1354"/>
      <c r="Y26" s="3685"/>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9"/>
      <c r="Q27" s="1351" t="str">
        <f t="shared" ref="Q27:Q47" si="11">B27</f>
        <v>楼层</v>
      </c>
      <c r="R27" s="705" t="s">
        <v>14</v>
      </c>
      <c r="S27" s="706">
        <f>F27</f>
        <v>100</v>
      </c>
      <c r="T27" s="705" t="s">
        <v>14</v>
      </c>
      <c r="U27" s="706">
        <f>H27</f>
        <v>100</v>
      </c>
      <c r="V27" s="705" t="s">
        <v>14</v>
      </c>
      <c r="W27" s="706">
        <f>J27</f>
        <v>100</v>
      </c>
      <c r="X27" s="1354"/>
      <c r="Y27" s="3685"/>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39"/>
      <c r="Q28" s="1342" t="str">
        <f t="shared" si="11"/>
        <v>朝向</v>
      </c>
      <c r="R28" s="701" t="s">
        <v>14</v>
      </c>
      <c r="S28" s="702">
        <f>F28</f>
        <v>100</v>
      </c>
      <c r="T28" s="701" t="s">
        <v>14</v>
      </c>
      <c r="U28" s="702">
        <f>H28</f>
        <v>100</v>
      </c>
      <c r="V28" s="701" t="s">
        <v>14</v>
      </c>
      <c r="W28" s="702">
        <f>J28</f>
        <v>100</v>
      </c>
      <c r="X28" s="703"/>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39"/>
      <c r="Q29" s="1351">
        <f t="shared" si="11"/>
        <v>111</v>
      </c>
      <c r="R29" s="705" t="s">
        <v>14</v>
      </c>
      <c r="S29" s="706">
        <f t="shared" ref="S29:S47" si="12">F29</f>
        <v>100</v>
      </c>
      <c r="T29" s="705" t="s">
        <v>14</v>
      </c>
      <c r="U29" s="706">
        <f t="shared" ref="U29:U47" si="13">H29</f>
        <v>100</v>
      </c>
      <c r="V29" s="705" t="s">
        <v>14</v>
      </c>
      <c r="W29" s="706">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39"/>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39"/>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39"/>
      <c r="Q32" s="1351">
        <f t="shared" si="11"/>
        <v>111</v>
      </c>
      <c r="R32" s="705" t="s">
        <v>14</v>
      </c>
      <c r="S32" s="706">
        <f t="shared" si="12"/>
        <v>100</v>
      </c>
      <c r="T32" s="705" t="s">
        <v>14</v>
      </c>
      <c r="U32" s="706">
        <f t="shared" si="13"/>
        <v>100</v>
      </c>
      <c r="V32" s="705" t="s">
        <v>14</v>
      </c>
      <c r="W32" s="706">
        <f t="shared" si="14"/>
        <v>100</v>
      </c>
      <c r="X32" s="1354"/>
      <c r="Y32" s="3685"/>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34" t="s">
        <v>1695</v>
      </c>
      <c r="Q33" s="1351" t="str">
        <f t="shared" si="11"/>
        <v>建筑类型</v>
      </c>
      <c r="R33" s="705" t="s">
        <v>14</v>
      </c>
      <c r="S33" s="706">
        <f t="shared" si="12"/>
        <v>100</v>
      </c>
      <c r="T33" s="705" t="s">
        <v>14</v>
      </c>
      <c r="U33" s="706">
        <f t="shared" si="13"/>
        <v>100</v>
      </c>
      <c r="V33" s="705" t="s">
        <v>14</v>
      </c>
      <c r="W33" s="706">
        <f t="shared" si="14"/>
        <v>100</v>
      </c>
      <c r="X33" s="1354"/>
      <c r="Y33" s="3686"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5"/>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5"/>
      <c r="Q35" s="1351" t="str">
        <f t="shared" si="11"/>
        <v>建筑结构</v>
      </c>
      <c r="R35" s="705" t="s">
        <v>14</v>
      </c>
      <c r="S35" s="706">
        <f t="shared" si="12"/>
        <v>100</v>
      </c>
      <c r="T35" s="705" t="s">
        <v>14</v>
      </c>
      <c r="U35" s="706">
        <f t="shared" si="13"/>
        <v>100</v>
      </c>
      <c r="V35" s="705" t="s">
        <v>14</v>
      </c>
      <c r="W35" s="706">
        <f t="shared" si="14"/>
        <v>100</v>
      </c>
      <c r="X35" s="1354"/>
      <c r="Y35" s="3686"/>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5"/>
      <c r="Q36" s="1351" t="str">
        <f t="shared" si="11"/>
        <v>公共部分装修</v>
      </c>
      <c r="R36" s="705" t="s">
        <v>14</v>
      </c>
      <c r="S36" s="706">
        <f t="shared" si="12"/>
        <v>100</v>
      </c>
      <c r="T36" s="705" t="s">
        <v>14</v>
      </c>
      <c r="U36" s="706">
        <f t="shared" si="13"/>
        <v>100</v>
      </c>
      <c r="V36" s="705" t="s">
        <v>14</v>
      </c>
      <c r="W36" s="706">
        <f t="shared" si="14"/>
        <v>100</v>
      </c>
      <c r="X36" s="1354"/>
      <c r="Y36" s="3686"/>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5"/>
      <c r="Q37" s="1351" t="str">
        <f t="shared" si="11"/>
        <v>成新度</v>
      </c>
      <c r="R37" s="705" t="s">
        <v>14</v>
      </c>
      <c r="S37" s="706" t="e">
        <f t="shared" si="12"/>
        <v>#N/A</v>
      </c>
      <c r="T37" s="705" t="s">
        <v>14</v>
      </c>
      <c r="U37" s="706" t="e">
        <f t="shared" si="13"/>
        <v>#N/A</v>
      </c>
      <c r="V37" s="705" t="s">
        <v>14</v>
      </c>
      <c r="W37" s="706" t="e">
        <f t="shared" si="14"/>
        <v>#N/A</v>
      </c>
      <c r="X37" s="1354"/>
      <c r="Y37" s="3686"/>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5"/>
      <c r="Q38" s="1342"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5" t="s">
        <v>1695</v>
      </c>
      <c r="Q39" s="1351" t="str">
        <f t="shared" si="11"/>
        <v>物业管理</v>
      </c>
      <c r="R39" s="705" t="s">
        <v>14</v>
      </c>
      <c r="S39" s="706">
        <f t="shared" si="12"/>
        <v>100</v>
      </c>
      <c r="T39" s="705" t="s">
        <v>14</v>
      </c>
      <c r="U39" s="706">
        <f t="shared" si="13"/>
        <v>100</v>
      </c>
      <c r="V39" s="705" t="s">
        <v>14</v>
      </c>
      <c r="W39" s="706">
        <f t="shared" si="14"/>
        <v>100</v>
      </c>
      <c r="X39" s="1354"/>
      <c r="Y39" s="3686"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5"/>
      <c r="Q40" s="1351" t="str">
        <f t="shared" si="11"/>
        <v>市政基础设施</v>
      </c>
      <c r="R40" s="705" t="s">
        <v>14</v>
      </c>
      <c r="S40" s="706">
        <f t="shared" si="12"/>
        <v>100</v>
      </c>
      <c r="T40" s="705" t="s">
        <v>14</v>
      </c>
      <c r="U40" s="706">
        <f t="shared" si="13"/>
        <v>100</v>
      </c>
      <c r="V40" s="705" t="s">
        <v>14</v>
      </c>
      <c r="W40" s="706">
        <f t="shared" si="14"/>
        <v>100</v>
      </c>
      <c r="X40" s="1354"/>
      <c r="Y40" s="3686"/>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5"/>
      <c r="Q41" s="1351" t="str">
        <f t="shared" si="11"/>
        <v>层高</v>
      </c>
      <c r="R41" s="705" t="s">
        <v>14</v>
      </c>
      <c r="S41" s="706">
        <f t="shared" si="12"/>
        <v>100</v>
      </c>
      <c r="T41" s="705" t="s">
        <v>14</v>
      </c>
      <c r="U41" s="706">
        <f t="shared" si="13"/>
        <v>100</v>
      </c>
      <c r="V41" s="705" t="s">
        <v>14</v>
      </c>
      <c r="W41" s="706">
        <f t="shared" si="14"/>
        <v>100</v>
      </c>
      <c r="X41" s="1354"/>
      <c r="Y41" s="3686"/>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5"/>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5"/>
      <c r="Q43" s="1351" t="str">
        <f t="shared" si="11"/>
        <v>内部装修</v>
      </c>
      <c r="R43" s="705" t="s">
        <v>14</v>
      </c>
      <c r="S43" s="706">
        <f t="shared" si="12"/>
        <v>100</v>
      </c>
      <c r="T43" s="705" t="s">
        <v>14</v>
      </c>
      <c r="U43" s="706">
        <f t="shared" si="13"/>
        <v>100</v>
      </c>
      <c r="V43" s="705" t="s">
        <v>14</v>
      </c>
      <c r="W43" s="706">
        <f t="shared" si="14"/>
        <v>100</v>
      </c>
      <c r="X43" s="1354"/>
      <c r="Y43" s="3686"/>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5"/>
      <c r="Q44" s="1351" t="str">
        <f t="shared" si="11"/>
        <v>内部装修维护情况</v>
      </c>
      <c r="R44" s="705" t="s">
        <v>14</v>
      </c>
      <c r="S44" s="706">
        <f t="shared" si="12"/>
        <v>100</v>
      </c>
      <c r="T44" s="705" t="s">
        <v>14</v>
      </c>
      <c r="U44" s="706">
        <f t="shared" si="13"/>
        <v>100</v>
      </c>
      <c r="V44" s="705" t="s">
        <v>14</v>
      </c>
      <c r="W44" s="706">
        <f t="shared" si="14"/>
        <v>100</v>
      </c>
      <c r="X44" s="1354"/>
      <c r="Y44" s="368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5"/>
      <c r="Q45" s="1342">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5"/>
      <c r="Q46" s="1351">
        <f t="shared" si="11"/>
        <v>111</v>
      </c>
      <c r="R46" s="705" t="s">
        <v>14</v>
      </c>
      <c r="S46" s="706">
        <f t="shared" si="12"/>
        <v>100</v>
      </c>
      <c r="T46" s="705" t="s">
        <v>14</v>
      </c>
      <c r="U46" s="706">
        <f t="shared" si="13"/>
        <v>100</v>
      </c>
      <c r="V46" s="705" t="s">
        <v>14</v>
      </c>
      <c r="W46" s="706">
        <f t="shared" si="14"/>
        <v>100</v>
      </c>
      <c r="X46" s="1354"/>
      <c r="Y46" s="368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6"/>
      <c r="Q47" s="1351">
        <f t="shared" si="11"/>
        <v>111</v>
      </c>
      <c r="R47" s="705" t="s">
        <v>14</v>
      </c>
      <c r="S47" s="706">
        <f t="shared" si="12"/>
        <v>100</v>
      </c>
      <c r="T47" s="705" t="s">
        <v>14</v>
      </c>
      <c r="U47" s="706">
        <f t="shared" si="13"/>
        <v>100</v>
      </c>
      <c r="V47" s="705" t="s">
        <v>14</v>
      </c>
      <c r="W47" s="706">
        <f t="shared" si="14"/>
        <v>100</v>
      </c>
      <c r="X47" s="1354"/>
      <c r="Y47" s="3737"/>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0"/>
      <c r="M48" s="2712"/>
      <c r="N48" s="2712"/>
      <c r="O48" s="2712"/>
      <c r="P48" s="3666" t="str">
        <f>A48</f>
        <v>成交单价（元/平方米）</v>
      </c>
      <c r="Q48" s="3667"/>
      <c r="R48" s="3733">
        <f>E48</f>
        <v>0</v>
      </c>
      <c r="S48" s="3733"/>
      <c r="T48" s="3733">
        <f>G48</f>
        <v>0</v>
      </c>
      <c r="U48" s="3733"/>
      <c r="V48" s="3733">
        <f>I48</f>
        <v>0</v>
      </c>
      <c r="W48" s="3733"/>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0"/>
      <c r="M49" s="2712"/>
      <c r="N49" s="2712"/>
      <c r="O49" s="2712"/>
      <c r="P49" s="3666" t="str">
        <f>A49</f>
        <v>比较价值（元/平方米）</v>
      </c>
      <c r="Q49" s="3667"/>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47621.420000000006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4" t="s">
        <v>1769</v>
      </c>
      <c r="D4" s="3690"/>
      <c r="E4" s="3691" t="s">
        <v>1770</v>
      </c>
      <c r="F4" s="3692"/>
      <c r="G4" s="3664" t="s">
        <v>1771</v>
      </c>
      <c r="H4" s="3690"/>
      <c r="I4" s="3664" t="s">
        <v>1772</v>
      </c>
      <c r="J4" s="3690"/>
      <c r="K4" s="559" t="s">
        <v>1773</v>
      </c>
      <c r="L4" s="913"/>
      <c r="M4" s="914"/>
      <c r="N4" s="914"/>
      <c r="O4" s="914"/>
      <c r="P4" s="3693" t="s">
        <v>1774</v>
      </c>
      <c r="Q4" s="3694"/>
      <c r="R4" s="3670" t="s">
        <v>1770</v>
      </c>
      <c r="S4" s="3671"/>
      <c r="T4" s="3670" t="s">
        <v>1771</v>
      </c>
      <c r="U4" s="3671"/>
      <c r="V4" s="3683" t="s">
        <v>1772</v>
      </c>
      <c r="W4" s="3683"/>
      <c r="X4" s="1354"/>
      <c r="Y4" s="3670" t="s">
        <v>1774</v>
      </c>
      <c r="Z4" s="3671"/>
      <c r="AA4" s="3687" t="s">
        <v>1770</v>
      </c>
      <c r="AB4" s="3688" t="s">
        <v>1771</v>
      </c>
      <c r="AC4" s="3687" t="s">
        <v>1772</v>
      </c>
    </row>
    <row r="5" spans="1:29" ht="15">
      <c r="A5" s="358"/>
      <c r="B5" s="359"/>
      <c r="C5" s="3674" t="s">
        <v>1672</v>
      </c>
      <c r="D5" s="3675"/>
      <c r="E5" s="3699" t="s">
        <v>1673</v>
      </c>
      <c r="F5" s="3700"/>
      <c r="G5" s="3674" t="s">
        <v>1674</v>
      </c>
      <c r="H5" s="3675"/>
      <c r="I5" s="3674" t="s">
        <v>1675</v>
      </c>
      <c r="J5" s="3675"/>
      <c r="K5" s="559"/>
      <c r="L5" s="913"/>
      <c r="M5" s="914"/>
      <c r="N5" s="914"/>
      <c r="O5" s="914"/>
      <c r="P5" s="3695"/>
      <c r="Q5" s="3696"/>
      <c r="R5" s="3672"/>
      <c r="S5" s="3673"/>
      <c r="T5" s="3672"/>
      <c r="U5" s="3673"/>
      <c r="V5" s="3683"/>
      <c r="W5" s="3683"/>
      <c r="X5" s="1354"/>
      <c r="Y5" s="3672"/>
      <c r="Z5" s="3673"/>
      <c r="AA5" s="3688"/>
      <c r="AB5" s="3688"/>
      <c r="AC5" s="3688"/>
    </row>
    <row r="6" spans="1:29" ht="15.75" thickBot="1">
      <c r="A6" s="360"/>
      <c r="B6" s="361"/>
      <c r="C6" s="3740" t="s">
        <v>1676</v>
      </c>
      <c r="D6" s="3741"/>
      <c r="E6" s="3742" t="s">
        <v>1676</v>
      </c>
      <c r="F6" s="3743"/>
      <c r="G6" s="3740" t="s">
        <v>1676</v>
      </c>
      <c r="H6" s="3741"/>
      <c r="I6" s="3740" t="s">
        <v>1676</v>
      </c>
      <c r="J6" s="3741"/>
      <c r="K6" s="559" t="s">
        <v>1677</v>
      </c>
      <c r="L6" s="913"/>
      <c r="M6" s="914"/>
      <c r="N6" s="914"/>
      <c r="O6" s="914"/>
      <c r="P6" s="3697"/>
      <c r="Q6" s="3698"/>
      <c r="R6" s="3672"/>
      <c r="S6" s="3673"/>
      <c r="T6" s="3681"/>
      <c r="U6" s="3682"/>
      <c r="V6" s="3683"/>
      <c r="W6" s="3683"/>
      <c r="X6" s="1354"/>
      <c r="Y6" s="3681"/>
      <c r="Z6" s="3682"/>
      <c r="AA6" s="3689"/>
      <c r="AB6" s="3689"/>
      <c r="AC6" s="3689"/>
    </row>
    <row r="7" spans="1:29" s="108" customFormat="1" ht="15.75" thickBot="1">
      <c r="A7" s="362" t="s">
        <v>1678</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1679</v>
      </c>
      <c r="Q7" s="3678"/>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1682</v>
      </c>
      <c r="Q8" s="3669"/>
      <c r="R8" s="701" t="s">
        <v>14</v>
      </c>
      <c r="S8" s="702">
        <f t="shared" si="0"/>
        <v>100</v>
      </c>
      <c r="T8" s="701" t="s">
        <v>14</v>
      </c>
      <c r="U8" s="702">
        <f t="shared" si="1"/>
        <v>100</v>
      </c>
      <c r="V8" s="701" t="s">
        <v>14</v>
      </c>
      <c r="W8" s="702">
        <f t="shared" si="2"/>
        <v>100</v>
      </c>
      <c r="X8" s="703"/>
      <c r="Y8" s="3668" t="s">
        <v>1682</v>
      </c>
      <c r="Z8" s="366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7"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7"/>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7"/>
      <c r="Q11" s="1342"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7"/>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7"/>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7"/>
      <c r="Q14" s="1342">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1690</v>
      </c>
      <c r="Q15" s="1351" t="str">
        <f t="shared" si="6"/>
        <v>产业集聚程度</v>
      </c>
      <c r="R15" s="705" t="s">
        <v>14</v>
      </c>
      <c r="S15" s="706">
        <f t="shared" si="0"/>
        <v>100</v>
      </c>
      <c r="T15" s="705" t="s">
        <v>14</v>
      </c>
      <c r="U15" s="706">
        <f t="shared" si="1"/>
        <v>100</v>
      </c>
      <c r="V15" s="705" t="s">
        <v>14</v>
      </c>
      <c r="W15" s="706">
        <f t="shared" si="2"/>
        <v>100</v>
      </c>
      <c r="X15" s="1354"/>
      <c r="Y15" s="3684"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5"/>
      <c r="Q16" s="1351"/>
      <c r="R16" s="705"/>
      <c r="S16" s="706"/>
      <c r="T16" s="705"/>
      <c r="U16" s="706"/>
      <c r="V16" s="705"/>
      <c r="W16" s="706"/>
      <c r="X16" s="1354"/>
      <c r="Y16" s="3685"/>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5"/>
      <c r="Q18" s="1351"/>
      <c r="R18" s="705"/>
      <c r="S18" s="706"/>
      <c r="T18" s="705"/>
      <c r="U18" s="706"/>
      <c r="V18" s="705"/>
      <c r="W18" s="706"/>
      <c r="X18" s="1354"/>
      <c r="Y18" s="3685"/>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5"/>
      <c r="Q20" s="1351"/>
      <c r="R20" s="705"/>
      <c r="S20" s="706"/>
      <c r="T20" s="705"/>
      <c r="U20" s="706"/>
      <c r="V20" s="705"/>
      <c r="W20" s="706"/>
      <c r="X20" s="1354"/>
      <c r="Y20" s="3685"/>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5"/>
      <c r="Q22" s="1351"/>
      <c r="R22" s="705"/>
      <c r="S22" s="706"/>
      <c r="T22" s="705"/>
      <c r="U22" s="706"/>
      <c r="V22" s="705"/>
      <c r="W22" s="706"/>
      <c r="X22" s="1354"/>
      <c r="Y22" s="3685"/>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5"/>
      <c r="Q24" s="1351"/>
      <c r="R24" s="705"/>
      <c r="S24" s="706"/>
      <c r="T24" s="705"/>
      <c r="U24" s="706"/>
      <c r="V24" s="705"/>
      <c r="W24" s="706"/>
      <c r="X24" s="1354"/>
      <c r="Y24" s="368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1">
        <f>B25</f>
        <v>111</v>
      </c>
      <c r="R25" s="705" t="s">
        <v>14</v>
      </c>
      <c r="S25" s="706">
        <f>F25</f>
        <v>100</v>
      </c>
      <c r="T25" s="705" t="s">
        <v>14</v>
      </c>
      <c r="U25" s="706">
        <f>H25</f>
        <v>100</v>
      </c>
      <c r="V25" s="705" t="s">
        <v>14</v>
      </c>
      <c r="W25" s="706">
        <f>J25</f>
        <v>100</v>
      </c>
      <c r="X25" s="1354"/>
      <c r="Y25" s="368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1">
        <f t="shared" ref="Q26:Q40" si="11">B26</f>
        <v>111</v>
      </c>
      <c r="R26" s="705" t="s">
        <v>14</v>
      </c>
      <c r="S26" s="706">
        <f>F26</f>
        <v>100</v>
      </c>
      <c r="T26" s="705" t="s">
        <v>14</v>
      </c>
      <c r="U26" s="706">
        <f>H26</f>
        <v>100</v>
      </c>
      <c r="V26" s="705" t="s">
        <v>14</v>
      </c>
      <c r="W26" s="706">
        <f>J26</f>
        <v>100</v>
      </c>
      <c r="X26" s="1354"/>
      <c r="Y26" s="368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2">
        <f t="shared" si="11"/>
        <v>111</v>
      </c>
      <c r="R27" s="701" t="s">
        <v>14</v>
      </c>
      <c r="S27" s="702">
        <f>F27</f>
        <v>100</v>
      </c>
      <c r="T27" s="701" t="s">
        <v>14</v>
      </c>
      <c r="U27" s="702">
        <f>H27</f>
        <v>100</v>
      </c>
      <c r="V27" s="701" t="s">
        <v>14</v>
      </c>
      <c r="W27" s="702">
        <f>J27</f>
        <v>100</v>
      </c>
      <c r="X27" s="703"/>
      <c r="Y27" s="368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1">
        <f t="shared" si="11"/>
        <v>111</v>
      </c>
      <c r="R28" s="705" t="s">
        <v>14</v>
      </c>
      <c r="S28" s="706">
        <f t="shared" ref="S28:S40" si="12">F28</f>
        <v>100</v>
      </c>
      <c r="T28" s="705" t="s">
        <v>14</v>
      </c>
      <c r="U28" s="706">
        <f t="shared" ref="U28:U40" si="13">H28</f>
        <v>100</v>
      </c>
      <c r="V28" s="705" t="s">
        <v>14</v>
      </c>
      <c r="W28" s="706">
        <f t="shared" ref="W28:W40" si="14">J28</f>
        <v>100</v>
      </c>
      <c r="X28" s="1354"/>
      <c r="Y28" s="3685"/>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1" t="s">
        <v>1695</v>
      </c>
      <c r="Q29" s="1351" t="str">
        <f t="shared" si="11"/>
        <v>建筑类型</v>
      </c>
      <c r="R29" s="705" t="s">
        <v>14</v>
      </c>
      <c r="S29" s="706">
        <f t="shared" si="12"/>
        <v>100</v>
      </c>
      <c r="T29" s="705" t="s">
        <v>14</v>
      </c>
      <c r="U29" s="706">
        <f t="shared" si="13"/>
        <v>100</v>
      </c>
      <c r="V29" s="705" t="s">
        <v>14</v>
      </c>
      <c r="W29" s="706">
        <f t="shared" si="14"/>
        <v>100</v>
      </c>
      <c r="X29" s="1354"/>
      <c r="Y29" s="3686"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1" t="str">
        <f t="shared" si="11"/>
        <v>建筑结构</v>
      </c>
      <c r="R31" s="705" t="s">
        <v>14</v>
      </c>
      <c r="S31" s="706">
        <f t="shared" si="12"/>
        <v>100</v>
      </c>
      <c r="T31" s="705" t="s">
        <v>14</v>
      </c>
      <c r="U31" s="706">
        <f t="shared" si="13"/>
        <v>100</v>
      </c>
      <c r="V31" s="705" t="s">
        <v>14</v>
      </c>
      <c r="W31" s="706">
        <f t="shared" si="14"/>
        <v>100</v>
      </c>
      <c r="X31" s="1354"/>
      <c r="Y31" s="3686"/>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1" t="str">
        <f t="shared" si="11"/>
        <v>公共部分装修</v>
      </c>
      <c r="R32" s="705" t="s">
        <v>14</v>
      </c>
      <c r="S32" s="706">
        <f t="shared" si="12"/>
        <v>100</v>
      </c>
      <c r="T32" s="705" t="s">
        <v>14</v>
      </c>
      <c r="U32" s="706">
        <f t="shared" si="13"/>
        <v>100</v>
      </c>
      <c r="V32" s="705" t="s">
        <v>14</v>
      </c>
      <c r="W32" s="706">
        <f t="shared" si="14"/>
        <v>100</v>
      </c>
      <c r="X32" s="1354"/>
      <c r="Y32" s="3686"/>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1" t="str">
        <f t="shared" si="11"/>
        <v>成新度</v>
      </c>
      <c r="R33" s="705" t="s">
        <v>14</v>
      </c>
      <c r="S33" s="706" t="e">
        <f t="shared" si="12"/>
        <v>#N/A</v>
      </c>
      <c r="T33" s="705" t="s">
        <v>14</v>
      </c>
      <c r="U33" s="706" t="e">
        <f t="shared" si="13"/>
        <v>#N/A</v>
      </c>
      <c r="V33" s="705" t="s">
        <v>14</v>
      </c>
      <c r="W33" s="706" t="e">
        <f t="shared" si="14"/>
        <v>#N/A</v>
      </c>
      <c r="X33" s="1354"/>
      <c r="Y33" s="3686"/>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2"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1695</v>
      </c>
      <c r="Q35" s="1351" t="str">
        <f t="shared" si="11"/>
        <v>市政基础设施</v>
      </c>
      <c r="R35" s="705" t="s">
        <v>14</v>
      </c>
      <c r="S35" s="706">
        <f t="shared" si="12"/>
        <v>100</v>
      </c>
      <c r="T35" s="705" t="s">
        <v>14</v>
      </c>
      <c r="U35" s="706">
        <f t="shared" si="13"/>
        <v>100</v>
      </c>
      <c r="V35" s="705" t="s">
        <v>14</v>
      </c>
      <c r="W35" s="706">
        <f t="shared" si="14"/>
        <v>100</v>
      </c>
      <c r="X35" s="1354"/>
      <c r="Y35" s="3686"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1" t="str">
        <f t="shared" si="11"/>
        <v>内部装修</v>
      </c>
      <c r="R36" s="705" t="s">
        <v>14</v>
      </c>
      <c r="S36" s="706">
        <f t="shared" si="12"/>
        <v>100</v>
      </c>
      <c r="T36" s="705" t="s">
        <v>14</v>
      </c>
      <c r="U36" s="706">
        <f t="shared" si="13"/>
        <v>100</v>
      </c>
      <c r="V36" s="705" t="s">
        <v>14</v>
      </c>
      <c r="W36" s="706">
        <f t="shared" si="14"/>
        <v>100</v>
      </c>
      <c r="X36" s="1354"/>
      <c r="Y36" s="3686"/>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1" t="str">
        <f t="shared" si="11"/>
        <v>内部装修状况</v>
      </c>
      <c r="R37" s="705" t="s">
        <v>14</v>
      </c>
      <c r="S37" s="706">
        <f t="shared" si="12"/>
        <v>100</v>
      </c>
      <c r="T37" s="705" t="s">
        <v>14</v>
      </c>
      <c r="U37" s="706">
        <f t="shared" si="13"/>
        <v>100</v>
      </c>
      <c r="V37" s="705" t="s">
        <v>14</v>
      </c>
      <c r="W37" s="706">
        <f t="shared" si="14"/>
        <v>100</v>
      </c>
      <c r="X37" s="1354"/>
      <c r="Y37" s="368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1">
        <f t="shared" si="11"/>
        <v>111</v>
      </c>
      <c r="R39" s="705" t="s">
        <v>14</v>
      </c>
      <c r="S39" s="706">
        <f t="shared" si="12"/>
        <v>100</v>
      </c>
      <c r="T39" s="705" t="s">
        <v>14</v>
      </c>
      <c r="U39" s="706">
        <f t="shared" si="13"/>
        <v>100</v>
      </c>
      <c r="V39" s="705" t="s">
        <v>14</v>
      </c>
      <c r="W39" s="706">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1">
        <f t="shared" si="11"/>
        <v>111</v>
      </c>
      <c r="R40" s="705" t="s">
        <v>14</v>
      </c>
      <c r="S40" s="706">
        <f t="shared" si="12"/>
        <v>100</v>
      </c>
      <c r="T40" s="705" t="s">
        <v>14</v>
      </c>
      <c r="U40" s="706">
        <f t="shared" si="13"/>
        <v>100</v>
      </c>
      <c r="V40" s="705" t="s">
        <v>14</v>
      </c>
      <c r="W40" s="706">
        <f t="shared" si="14"/>
        <v>100</v>
      </c>
      <c r="X40" s="1354"/>
      <c r="Y40" s="3737"/>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67" t="str">
        <f>A41</f>
        <v>成交单价（元/平方米）</v>
      </c>
      <c r="Q41" s="3667"/>
      <c r="R41" s="3733">
        <f>E41</f>
        <v>0</v>
      </c>
      <c r="S41" s="3733"/>
      <c r="T41" s="3733">
        <f>G41</f>
        <v>0</v>
      </c>
      <c r="U41" s="3733"/>
      <c r="V41" s="3733">
        <f>I41</f>
        <v>0</v>
      </c>
      <c r="W41" s="3733"/>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67" t="str">
        <f>A42</f>
        <v>比较价值（元/平方米）</v>
      </c>
      <c r="Q42" s="3667"/>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0" priority="20" stopIfTrue="1" operator="containsText" text="超过">
      <formula>NOT(ISERROR(SEARCH("超过",F46)))</formula>
    </cfRule>
  </conditionalFormatting>
  <conditionalFormatting sqref="H48">
    <cfRule type="containsText" dxfId="89" priority="19" stopIfTrue="1" operator="containsText" text="超过">
      <formula>NOT(ISERROR(SEARCH("超过",H48)))</formula>
    </cfRule>
  </conditionalFormatting>
  <conditionalFormatting sqref="F48">
    <cfRule type="containsText" dxfId="88" priority="18" stopIfTrue="1" operator="containsText" text="超过">
      <formula>NOT(ISERROR(SEARCH("超过",F48)))</formula>
    </cfRule>
  </conditionalFormatting>
  <conditionalFormatting sqref="F47 H47">
    <cfRule type="containsText" dxfId="87" priority="17" stopIfTrue="1" operator="containsText" text="超过">
      <formula>NOT(ISERROR(SEARCH("超过",F47)))</formula>
    </cfRule>
  </conditionalFormatting>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G48">
    <cfRule type="expression" dxfId="83" priority="13" stopIfTrue="1">
      <formula>$H$48="超过30%"</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J46">
    <cfRule type="containsText" dxfId="80" priority="10" stopIfTrue="1" operator="containsText" text="超过">
      <formula>NOT(ISERROR(SEARCH("超过",J46)))</formula>
    </cfRule>
  </conditionalFormatting>
  <conditionalFormatting sqref="J48">
    <cfRule type="containsText" dxfId="79" priority="9" stopIfTrue="1" operator="containsText" text="超过">
      <formula>NOT(ISERROR(SEARCH("超过",J48)))</formula>
    </cfRule>
  </conditionalFormatting>
  <conditionalFormatting sqref="J47">
    <cfRule type="containsText" dxfId="78" priority="8" stopIfTrue="1" operator="containsText" text="超过">
      <formula>NOT(ISERROR(SEARCH("超过",J47)))</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664" t="s">
        <v>1769</v>
      </c>
      <c r="D4" s="3690"/>
      <c r="E4" s="3691" t="s">
        <v>1770</v>
      </c>
      <c r="F4" s="3692"/>
      <c r="G4" s="3664" t="s">
        <v>1771</v>
      </c>
      <c r="H4" s="3690"/>
      <c r="I4" s="3664" t="s">
        <v>1772</v>
      </c>
      <c r="J4" s="3690"/>
      <c r="K4" s="559" t="s">
        <v>1773</v>
      </c>
      <c r="L4" s="2711"/>
      <c r="M4" s="2712"/>
      <c r="N4" s="2712"/>
      <c r="O4" s="2712"/>
      <c r="P4" s="3693" t="s">
        <v>1774</v>
      </c>
      <c r="Q4" s="3694"/>
      <c r="R4" s="3670" t="s">
        <v>1770</v>
      </c>
      <c r="S4" s="3671"/>
      <c r="T4" s="3670" t="s">
        <v>1771</v>
      </c>
      <c r="U4" s="3671"/>
      <c r="V4" s="3683" t="s">
        <v>1772</v>
      </c>
      <c r="W4" s="3683"/>
      <c r="X4" s="1354"/>
      <c r="Y4" s="3670" t="s">
        <v>1774</v>
      </c>
      <c r="Z4" s="3671"/>
      <c r="AA4" s="3687" t="s">
        <v>1770</v>
      </c>
      <c r="AB4" s="3688" t="s">
        <v>1771</v>
      </c>
      <c r="AC4" s="3687" t="s">
        <v>1772</v>
      </c>
    </row>
    <row r="5" spans="1:29" ht="15">
      <c r="A5" s="358"/>
      <c r="B5" s="359"/>
      <c r="C5" s="3674" t="s">
        <v>1672</v>
      </c>
      <c r="D5" s="3675"/>
      <c r="E5" s="3699" t="s">
        <v>1673</v>
      </c>
      <c r="F5" s="3700"/>
      <c r="G5" s="3674" t="s">
        <v>1674</v>
      </c>
      <c r="H5" s="3675"/>
      <c r="I5" s="3674" t="s">
        <v>1675</v>
      </c>
      <c r="J5" s="3675"/>
      <c r="K5" s="559"/>
      <c r="L5" s="2711"/>
      <c r="M5" s="2712"/>
      <c r="N5" s="2712"/>
      <c r="O5" s="2712"/>
      <c r="P5" s="3695"/>
      <c r="Q5" s="3696"/>
      <c r="R5" s="3672"/>
      <c r="S5" s="3673"/>
      <c r="T5" s="3672"/>
      <c r="U5" s="3673"/>
      <c r="V5" s="3683"/>
      <c r="W5" s="3683"/>
      <c r="X5" s="1354"/>
      <c r="Y5" s="3672"/>
      <c r="Z5" s="3673"/>
      <c r="AA5" s="3688"/>
      <c r="AB5" s="3688"/>
      <c r="AC5" s="3688"/>
    </row>
    <row r="6" spans="1:29" ht="15.75" thickBot="1">
      <c r="A6" s="360"/>
      <c r="B6" s="361"/>
      <c r="C6" s="3740" t="s">
        <v>1676</v>
      </c>
      <c r="D6" s="3741"/>
      <c r="E6" s="3742" t="s">
        <v>1676</v>
      </c>
      <c r="F6" s="3743"/>
      <c r="G6" s="3740" t="s">
        <v>1676</v>
      </c>
      <c r="H6" s="3741"/>
      <c r="I6" s="3740" t="s">
        <v>1676</v>
      </c>
      <c r="J6" s="3741"/>
      <c r="K6" s="559" t="s">
        <v>1677</v>
      </c>
      <c r="L6" s="2711"/>
      <c r="M6" s="2712"/>
      <c r="N6" s="2712"/>
      <c r="O6" s="2712"/>
      <c r="P6" s="3697"/>
      <c r="Q6" s="3698"/>
      <c r="R6" s="3672"/>
      <c r="S6" s="3673"/>
      <c r="T6" s="3681"/>
      <c r="U6" s="3682"/>
      <c r="V6" s="3683"/>
      <c r="W6" s="3683"/>
      <c r="X6" s="1354"/>
      <c r="Y6" s="3681"/>
      <c r="Z6" s="3682"/>
      <c r="AA6" s="3689"/>
      <c r="AB6" s="3689"/>
      <c r="AC6" s="3689"/>
    </row>
    <row r="7" spans="1:29" s="108" customFormat="1" ht="15.75" thickBot="1">
      <c r="A7" s="362" t="s">
        <v>1678</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8" t="s">
        <v>1679</v>
      </c>
      <c r="Q7" s="3678"/>
      <c r="R7" s="701" t="s">
        <v>14</v>
      </c>
      <c r="S7" s="702">
        <f t="shared" ref="S7:S14" si="0">F7</f>
        <v>0</v>
      </c>
      <c r="T7" s="701" t="s">
        <v>14</v>
      </c>
      <c r="U7" s="702">
        <f t="shared" ref="U7:U14" si="1">H7</f>
        <v>0</v>
      </c>
      <c r="V7" s="701" t="s">
        <v>14</v>
      </c>
      <c r="W7" s="702">
        <f t="shared" ref="W7:W14"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8" t="s">
        <v>1682</v>
      </c>
      <c r="Q8" s="3669"/>
      <c r="R8" s="701" t="s">
        <v>14</v>
      </c>
      <c r="S8" s="702">
        <f t="shared" si="0"/>
        <v>100</v>
      </c>
      <c r="T8" s="701" t="s">
        <v>14</v>
      </c>
      <c r="U8" s="702">
        <f t="shared" si="1"/>
        <v>100</v>
      </c>
      <c r="V8" s="701" t="s">
        <v>14</v>
      </c>
      <c r="W8" s="702">
        <f t="shared" si="2"/>
        <v>100</v>
      </c>
      <c r="X8" s="703"/>
      <c r="Y8" s="3668" t="s">
        <v>1682</v>
      </c>
      <c r="Z8" s="366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7" t="s">
        <v>1685</v>
      </c>
      <c r="Q9" s="1342" t="str">
        <f t="shared" ref="Q9:Q14" si="6">B9</f>
        <v>用途</v>
      </c>
      <c r="R9" s="701" t="s">
        <v>14</v>
      </c>
      <c r="S9" s="702">
        <f t="shared" si="0"/>
        <v>100</v>
      </c>
      <c r="T9" s="701" t="s">
        <v>14</v>
      </c>
      <c r="U9" s="702">
        <f t="shared" si="1"/>
        <v>100</v>
      </c>
      <c r="V9" s="701" t="s">
        <v>14</v>
      </c>
      <c r="W9" s="702">
        <f t="shared" si="2"/>
        <v>100</v>
      </c>
      <c r="X9" s="703"/>
      <c r="Y9" s="3568"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7"/>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7"/>
      <c r="Q11" s="1342">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7"/>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7"/>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4" t="s">
        <v>1690</v>
      </c>
      <c r="Q14" s="1351" t="str">
        <f t="shared" si="6"/>
        <v>交通便捷度</v>
      </c>
      <c r="R14" s="705" t="s">
        <v>14</v>
      </c>
      <c r="S14" s="706">
        <f t="shared" si="0"/>
        <v>100</v>
      </c>
      <c r="T14" s="705" t="s">
        <v>14</v>
      </c>
      <c r="U14" s="706">
        <f t="shared" si="1"/>
        <v>100</v>
      </c>
      <c r="V14" s="705" t="s">
        <v>14</v>
      </c>
      <c r="W14" s="706">
        <f t="shared" si="2"/>
        <v>100</v>
      </c>
      <c r="X14" s="1354"/>
      <c r="Y14" s="3684"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85"/>
      <c r="Q15" s="1351"/>
      <c r="R15" s="705"/>
      <c r="S15" s="706"/>
      <c r="T15" s="705"/>
      <c r="U15" s="706"/>
      <c r="V15" s="705"/>
      <c r="W15" s="706"/>
      <c r="X15" s="1354"/>
      <c r="Y15" s="3685"/>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85"/>
      <c r="Q17" s="1351"/>
      <c r="R17" s="705"/>
      <c r="S17" s="706"/>
      <c r="T17" s="705"/>
      <c r="U17" s="706"/>
      <c r="V17" s="705"/>
      <c r="W17" s="706"/>
      <c r="X17" s="1354"/>
      <c r="Y17" s="3685"/>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85"/>
      <c r="Q19" s="1351"/>
      <c r="R19" s="705"/>
      <c r="S19" s="706"/>
      <c r="T19" s="705"/>
      <c r="U19" s="706"/>
      <c r="V19" s="705"/>
      <c r="W19" s="706"/>
      <c r="X19" s="1354"/>
      <c r="Y19" s="3685"/>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85"/>
      <c r="Q21" s="1351"/>
      <c r="R21" s="705"/>
      <c r="S21" s="706"/>
      <c r="T21" s="705"/>
      <c r="U21" s="706"/>
      <c r="V21" s="705"/>
      <c r="W21" s="706"/>
      <c r="X21" s="1354"/>
      <c r="Y21" s="3685"/>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5"/>
      <c r="Q24" s="1351">
        <f t="shared" ref="Q24:Q36"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01"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6"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6"/>
      <c r="Q28" s="1351" t="str">
        <f t="shared" si="11"/>
        <v>公共部分装修</v>
      </c>
      <c r="R28" s="705" t="s">
        <v>14</v>
      </c>
      <c r="S28" s="706">
        <f t="shared" si="12"/>
        <v>100</v>
      </c>
      <c r="T28" s="705" t="s">
        <v>14</v>
      </c>
      <c r="U28" s="706">
        <f t="shared" si="13"/>
        <v>100</v>
      </c>
      <c r="V28" s="705" t="s">
        <v>14</v>
      </c>
      <c r="W28" s="706">
        <f t="shared" si="14"/>
        <v>100</v>
      </c>
      <c r="X28" s="1354"/>
      <c r="Y28" s="3686"/>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6"/>
      <c r="Q29" s="1351" t="str">
        <f t="shared" si="11"/>
        <v>成新率</v>
      </c>
      <c r="R29" s="705" t="s">
        <v>14</v>
      </c>
      <c r="S29" s="706" t="e">
        <f t="shared" si="12"/>
        <v>#N/A</v>
      </c>
      <c r="T29" s="705" t="s">
        <v>14</v>
      </c>
      <c r="U29" s="706" t="e">
        <f t="shared" si="13"/>
        <v>#N/A</v>
      </c>
      <c r="V29" s="705" t="s">
        <v>14</v>
      </c>
      <c r="W29" s="706" t="e">
        <f t="shared" si="14"/>
        <v>#N/A</v>
      </c>
      <c r="X29" s="1354"/>
      <c r="Y29" s="3686"/>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6"/>
      <c r="Q30" s="1351" t="str">
        <f t="shared" si="11"/>
        <v>物业等级</v>
      </c>
      <c r="R30" s="705" t="s">
        <v>14</v>
      </c>
      <c r="S30" s="706">
        <f t="shared" si="12"/>
        <v>100</v>
      </c>
      <c r="T30" s="705" t="s">
        <v>14</v>
      </c>
      <c r="U30" s="706">
        <f t="shared" si="13"/>
        <v>100</v>
      </c>
      <c r="V30" s="705" t="s">
        <v>14</v>
      </c>
      <c r="W30" s="706">
        <f t="shared" si="14"/>
        <v>100</v>
      </c>
      <c r="X30" s="1354"/>
      <c r="Y30" s="3686"/>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6"/>
      <c r="Q31" s="1342"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6" t="s">
        <v>1695</v>
      </c>
      <c r="Q32" s="1351" t="str">
        <f t="shared" si="11"/>
        <v>车位类型</v>
      </c>
      <c r="R32" s="705" t="s">
        <v>14</v>
      </c>
      <c r="S32" s="706">
        <f t="shared" si="12"/>
        <v>100</v>
      </c>
      <c r="T32" s="705" t="s">
        <v>14</v>
      </c>
      <c r="U32" s="706">
        <f t="shared" si="13"/>
        <v>100</v>
      </c>
      <c r="V32" s="705" t="s">
        <v>14</v>
      </c>
      <c r="W32" s="706">
        <f t="shared" si="14"/>
        <v>100</v>
      </c>
      <c r="X32" s="1354"/>
      <c r="Y32" s="3686"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6"/>
      <c r="Q33" s="1351" t="str">
        <f t="shared" si="11"/>
        <v>是否直接入户</v>
      </c>
      <c r="R33" s="705" t="s">
        <v>14</v>
      </c>
      <c r="S33" s="706">
        <f t="shared" si="12"/>
        <v>100</v>
      </c>
      <c r="T33" s="705" t="s">
        <v>14</v>
      </c>
      <c r="U33" s="706">
        <f t="shared" si="13"/>
        <v>100</v>
      </c>
      <c r="V33" s="705" t="s">
        <v>14</v>
      </c>
      <c r="W33" s="706">
        <f t="shared" si="14"/>
        <v>100</v>
      </c>
      <c r="X33" s="1354"/>
      <c r="Y33" s="368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6"/>
      <c r="Q36" s="1351">
        <f t="shared" si="11"/>
        <v>111</v>
      </c>
      <c r="R36" s="705" t="s">
        <v>14</v>
      </c>
      <c r="S36" s="706">
        <f t="shared" si="12"/>
        <v>100</v>
      </c>
      <c r="T36" s="705" t="s">
        <v>14</v>
      </c>
      <c r="U36" s="706">
        <f t="shared" si="13"/>
        <v>100</v>
      </c>
      <c r="V36" s="705" t="s">
        <v>14</v>
      </c>
      <c r="W36" s="706">
        <f t="shared" si="14"/>
        <v>100</v>
      </c>
      <c r="X36" s="1354"/>
      <c r="Y36" s="3686"/>
      <c r="Z36" s="1355">
        <f t="shared" si="15"/>
        <v>111</v>
      </c>
      <c r="AA36" s="1352">
        <f t="shared" si="3"/>
        <v>1</v>
      </c>
      <c r="AB36" s="1352">
        <f t="shared" si="4"/>
        <v>1</v>
      </c>
      <c r="AC36" s="1352">
        <f t="shared" si="5"/>
        <v>1</v>
      </c>
    </row>
    <row r="37" spans="1:29" ht="15">
      <c r="A37" s="430" t="s">
        <v>1843</v>
      </c>
      <c r="B37" s="1972" t="s">
        <v>3358</v>
      </c>
      <c r="C37" s="1154" t="s">
        <v>0</v>
      </c>
      <c r="D37" s="1155"/>
      <c r="E37" s="1156"/>
      <c r="F37" s="1157"/>
      <c r="G37" s="1158"/>
      <c r="H37" s="1159"/>
      <c r="I37" s="1156"/>
      <c r="J37" s="1159"/>
      <c r="K37" s="568"/>
      <c r="L37" s="2720"/>
      <c r="M37" s="2721"/>
      <c r="N37" s="2712"/>
      <c r="O37" s="2721"/>
      <c r="P37" s="3667" t="str">
        <f>A37</f>
        <v>成交单价</v>
      </c>
      <c r="Q37" s="3667"/>
      <c r="R37" s="3733">
        <f>E37</f>
        <v>0</v>
      </c>
      <c r="S37" s="3733"/>
      <c r="T37" s="3733">
        <f>G37</f>
        <v>0</v>
      </c>
      <c r="U37" s="3733"/>
      <c r="V37" s="3733">
        <f>I37</f>
        <v>0</v>
      </c>
      <c r="W37" s="3733"/>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0"/>
      <c r="M38" s="2721"/>
      <c r="N38" s="2721"/>
      <c r="O38" s="2721"/>
      <c r="P38" s="3667" t="str">
        <f>A38</f>
        <v>比较价值（元/平方米）</v>
      </c>
      <c r="Q38" s="3667"/>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702" t="str">
        <f>A39</f>
        <v>估价对象XX用房的比较价值（楼面单价，元/平方米）</v>
      </c>
      <c r="Q39" s="3703"/>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0" priority="18" stopIfTrue="1" operator="containsText" text="超过">
      <formula>NOT(ISERROR(SEARCH("超过",F42)))</formula>
    </cfRule>
  </conditionalFormatting>
  <conditionalFormatting sqref="J44">
    <cfRule type="containsText" dxfId="69" priority="17" stopIfTrue="1" operator="containsText" text="超过">
      <formula>NOT(ISERROR(SEARCH("超过",J44)))</formula>
    </cfRule>
  </conditionalFormatting>
  <conditionalFormatting sqref="H44">
    <cfRule type="containsText" dxfId="68" priority="16" stopIfTrue="1" operator="containsText" text="超过">
      <formula>NOT(ISERROR(SEARCH("超过",H44)))</formula>
    </cfRule>
  </conditionalFormatting>
  <conditionalFormatting sqref="F44">
    <cfRule type="containsText" dxfId="67" priority="15" stopIfTrue="1" operator="containsText" text="超过">
      <formula>NOT(ISERROR(SEARCH("超过",F44)))</formula>
    </cfRule>
  </conditionalFormatting>
  <conditionalFormatting sqref="F43 H43 J43">
    <cfRule type="containsText" dxfId="66" priority="14" stopIfTrue="1" operator="containsText" text="超过">
      <formula>NOT(ISERROR(SEARCH("超过",F43)))</formula>
    </cfRule>
  </conditionalFormatting>
  <conditionalFormatting sqref="E42">
    <cfRule type="expression" dxfId="65" priority="13" stopIfTrue="1">
      <formula>$F$42="超过30%"</formula>
    </cfRule>
  </conditionalFormatting>
  <conditionalFormatting sqref="G44">
    <cfRule type="expression" dxfId="64" priority="12" stopIfTrue="1">
      <formula>$H$54+$H$44="超过30%"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F7:F36 H7:H36 J7:J36">
    <cfRule type="cellIs" dxfId="5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64" t="s">
        <v>1769</v>
      </c>
      <c r="D4" s="3690"/>
      <c r="E4" s="3691" t="s">
        <v>1770</v>
      </c>
      <c r="F4" s="3692"/>
      <c r="G4" s="3664" t="s">
        <v>1771</v>
      </c>
      <c r="H4" s="3690"/>
      <c r="I4" s="3664" t="s">
        <v>1772</v>
      </c>
      <c r="J4" s="3690"/>
      <c r="K4" s="559" t="s">
        <v>1773</v>
      </c>
      <c r="L4" s="2711"/>
      <c r="M4" s="2712"/>
      <c r="N4" s="2712"/>
      <c r="O4" s="2712"/>
      <c r="P4" s="3693" t="s">
        <v>1774</v>
      </c>
      <c r="Q4" s="3694"/>
      <c r="R4" s="3670" t="s">
        <v>1770</v>
      </c>
      <c r="S4" s="3671"/>
      <c r="T4" s="3670" t="s">
        <v>1771</v>
      </c>
      <c r="U4" s="3671"/>
      <c r="V4" s="3683" t="s">
        <v>1772</v>
      </c>
      <c r="W4" s="3683"/>
      <c r="X4" s="1354"/>
      <c r="Y4" s="3670" t="s">
        <v>1774</v>
      </c>
      <c r="Z4" s="3671"/>
      <c r="AA4" s="3687" t="s">
        <v>1770</v>
      </c>
      <c r="AB4" s="3688" t="s">
        <v>1771</v>
      </c>
      <c r="AC4" s="3687" t="s">
        <v>1772</v>
      </c>
    </row>
    <row r="5" spans="1:29" ht="15">
      <c r="A5" s="358"/>
      <c r="B5" s="359"/>
      <c r="C5" s="3674" t="s">
        <v>1672</v>
      </c>
      <c r="D5" s="3675"/>
      <c r="E5" s="3699" t="s">
        <v>1673</v>
      </c>
      <c r="F5" s="3700"/>
      <c r="G5" s="3674" t="s">
        <v>1674</v>
      </c>
      <c r="H5" s="3675"/>
      <c r="I5" s="3674" t="s">
        <v>1675</v>
      </c>
      <c r="J5" s="3675"/>
      <c r="K5" s="559"/>
      <c r="L5" s="2711"/>
      <c r="M5" s="2712"/>
      <c r="N5" s="2712"/>
      <c r="O5" s="2712"/>
      <c r="P5" s="3695"/>
      <c r="Q5" s="3696"/>
      <c r="R5" s="3672"/>
      <c r="S5" s="3673"/>
      <c r="T5" s="3672"/>
      <c r="U5" s="3673"/>
      <c r="V5" s="3683"/>
      <c r="W5" s="3683"/>
      <c r="X5" s="1354"/>
      <c r="Y5" s="3672"/>
      <c r="Z5" s="3673"/>
      <c r="AA5" s="3688"/>
      <c r="AB5" s="3688"/>
      <c r="AC5" s="3688"/>
    </row>
    <row r="6" spans="1:29" ht="15.75" thickBot="1">
      <c r="A6" s="360"/>
      <c r="B6" s="361"/>
      <c r="C6" s="3740" t="s">
        <v>1676</v>
      </c>
      <c r="D6" s="3741"/>
      <c r="E6" s="3742" t="s">
        <v>1676</v>
      </c>
      <c r="F6" s="3743"/>
      <c r="G6" s="3740" t="s">
        <v>1676</v>
      </c>
      <c r="H6" s="3741"/>
      <c r="I6" s="3740" t="s">
        <v>1676</v>
      </c>
      <c r="J6" s="3741"/>
      <c r="K6" s="559" t="s">
        <v>1677</v>
      </c>
      <c r="L6" s="2711"/>
      <c r="M6" s="2712"/>
      <c r="N6" s="2712"/>
      <c r="O6" s="2712"/>
      <c r="P6" s="3697"/>
      <c r="Q6" s="3698"/>
      <c r="R6" s="3672"/>
      <c r="S6" s="3673"/>
      <c r="T6" s="3681"/>
      <c r="U6" s="3682"/>
      <c r="V6" s="3683"/>
      <c r="W6" s="3683"/>
      <c r="X6" s="1354"/>
      <c r="Y6" s="3681"/>
      <c r="Z6" s="3682"/>
      <c r="AA6" s="3689"/>
      <c r="AB6" s="3689"/>
      <c r="AC6" s="3689"/>
    </row>
    <row r="7" spans="1:29" s="108" customFormat="1" ht="15.75" thickBot="1">
      <c r="A7" s="362" t="s">
        <v>1678</v>
      </c>
      <c r="B7" s="363"/>
      <c r="C7" s="364">
        <f>'数据-取费表'!B2</f>
        <v>45111</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68" t="s">
        <v>1679</v>
      </c>
      <c r="Q7" s="3678"/>
      <c r="R7" s="701" t="s">
        <v>14</v>
      </c>
      <c r="S7" s="702">
        <f t="shared" ref="S7:S14" si="0">F7</f>
        <v>0</v>
      </c>
      <c r="T7" s="701" t="s">
        <v>14</v>
      </c>
      <c r="U7" s="702">
        <f t="shared" ref="U7:U14" si="1">H7</f>
        <v>0</v>
      </c>
      <c r="V7" s="701" t="s">
        <v>14</v>
      </c>
      <c r="W7" s="702">
        <f t="shared" ref="W7:W14"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8" t="s">
        <v>1682</v>
      </c>
      <c r="Q8" s="3669"/>
      <c r="R8" s="701" t="s">
        <v>14</v>
      </c>
      <c r="S8" s="702">
        <f t="shared" si="0"/>
        <v>100</v>
      </c>
      <c r="T8" s="701" t="s">
        <v>14</v>
      </c>
      <c r="U8" s="702">
        <f t="shared" si="1"/>
        <v>100</v>
      </c>
      <c r="V8" s="701" t="s">
        <v>14</v>
      </c>
      <c r="W8" s="702">
        <f t="shared" si="2"/>
        <v>100</v>
      </c>
      <c r="X8" s="703"/>
      <c r="Y8" s="3668" t="s">
        <v>1682</v>
      </c>
      <c r="Z8" s="366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7" t="s">
        <v>1685</v>
      </c>
      <c r="Q9" s="1342" t="str">
        <f t="shared" ref="Q9:Q14" si="6">B9</f>
        <v>用途</v>
      </c>
      <c r="R9" s="701" t="s">
        <v>14</v>
      </c>
      <c r="S9" s="702">
        <f t="shared" si="0"/>
        <v>100</v>
      </c>
      <c r="T9" s="701" t="s">
        <v>14</v>
      </c>
      <c r="U9" s="702">
        <f t="shared" si="1"/>
        <v>100</v>
      </c>
      <c r="V9" s="701" t="s">
        <v>14</v>
      </c>
      <c r="W9" s="702">
        <f t="shared" si="2"/>
        <v>100</v>
      </c>
      <c r="X9" s="703"/>
      <c r="Y9" s="3568"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7"/>
      <c r="Q10" s="1342"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7"/>
      <c r="Q11" s="1342">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7"/>
      <c r="Q12" s="1342">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67"/>
      <c r="Q13" s="1342">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4" t="s">
        <v>1690</v>
      </c>
      <c r="Q14" s="1351" t="str">
        <f t="shared" si="6"/>
        <v>交通便捷度</v>
      </c>
      <c r="R14" s="705" t="s">
        <v>14</v>
      </c>
      <c r="S14" s="706">
        <f t="shared" si="0"/>
        <v>100</v>
      </c>
      <c r="T14" s="705" t="s">
        <v>14</v>
      </c>
      <c r="U14" s="706">
        <f t="shared" si="1"/>
        <v>100</v>
      </c>
      <c r="V14" s="705" t="s">
        <v>14</v>
      </c>
      <c r="W14" s="706">
        <f t="shared" si="2"/>
        <v>100</v>
      </c>
      <c r="X14" s="1354"/>
      <c r="Y14" s="3684"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85"/>
      <c r="Q15" s="1351"/>
      <c r="R15" s="705"/>
      <c r="S15" s="706"/>
      <c r="T15" s="705"/>
      <c r="U15" s="706"/>
      <c r="V15" s="705"/>
      <c r="W15" s="706"/>
      <c r="X15" s="1354"/>
      <c r="Y15" s="3685"/>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85"/>
      <c r="Q17" s="1351"/>
      <c r="R17" s="705"/>
      <c r="S17" s="706"/>
      <c r="T17" s="705"/>
      <c r="U17" s="706"/>
      <c r="V17" s="705"/>
      <c r="W17" s="706"/>
      <c r="X17" s="1354"/>
      <c r="Y17" s="3685"/>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85"/>
      <c r="Q19" s="1351"/>
      <c r="R19" s="705"/>
      <c r="S19" s="706"/>
      <c r="T19" s="705"/>
      <c r="U19" s="706"/>
      <c r="V19" s="705"/>
      <c r="W19" s="706"/>
      <c r="X19" s="1354"/>
      <c r="Y19" s="3685"/>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85"/>
      <c r="Q21" s="1351"/>
      <c r="R21" s="705"/>
      <c r="S21" s="706"/>
      <c r="T21" s="705"/>
      <c r="U21" s="706"/>
      <c r="V21" s="705"/>
      <c r="W21" s="706"/>
      <c r="X21" s="1354"/>
      <c r="Y21" s="3685"/>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5"/>
      <c r="Q24" s="1351">
        <f t="shared" ref="Q24:Q34"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701"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6"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6"/>
      <c r="Q28" s="1351" t="str">
        <f t="shared" si="11"/>
        <v>物业等级</v>
      </c>
      <c r="R28" s="705" t="s">
        <v>14</v>
      </c>
      <c r="S28" s="706">
        <f t="shared" si="12"/>
        <v>100</v>
      </c>
      <c r="T28" s="705" t="s">
        <v>14</v>
      </c>
      <c r="U28" s="706">
        <f t="shared" si="13"/>
        <v>100</v>
      </c>
      <c r="V28" s="705" t="s">
        <v>14</v>
      </c>
      <c r="W28" s="706">
        <f t="shared" si="14"/>
        <v>100</v>
      </c>
      <c r="X28" s="1354"/>
      <c r="Y28" s="3686"/>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6"/>
      <c r="Q29" s="1351" t="str">
        <f t="shared" si="11"/>
        <v>有无电梯</v>
      </c>
      <c r="R29" s="705" t="s">
        <v>14</v>
      </c>
      <c r="S29" s="706">
        <f t="shared" si="12"/>
        <v>100</v>
      </c>
      <c r="T29" s="705" t="s">
        <v>14</v>
      </c>
      <c r="U29" s="706">
        <f t="shared" si="13"/>
        <v>100</v>
      </c>
      <c r="V29" s="705" t="s">
        <v>14</v>
      </c>
      <c r="W29" s="706">
        <f t="shared" si="14"/>
        <v>100</v>
      </c>
      <c r="X29" s="1354"/>
      <c r="Y29" s="3686"/>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6"/>
      <c r="Q30" s="1351" t="str">
        <f t="shared" si="11"/>
        <v>建筑面积</v>
      </c>
      <c r="R30" s="705" t="s">
        <v>14</v>
      </c>
      <c r="S30" s="706" t="e">
        <f t="shared" si="12"/>
        <v>#N/A</v>
      </c>
      <c r="T30" s="705" t="s">
        <v>14</v>
      </c>
      <c r="U30" s="706" t="e">
        <f t="shared" si="13"/>
        <v>#N/A</v>
      </c>
      <c r="V30" s="705" t="s">
        <v>14</v>
      </c>
      <c r="W30" s="706"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6"/>
      <c r="Q31" s="1342"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6" t="s">
        <v>1695</v>
      </c>
      <c r="Q32" s="1351">
        <f t="shared" si="11"/>
        <v>111</v>
      </c>
      <c r="R32" s="705" t="s">
        <v>14</v>
      </c>
      <c r="S32" s="706">
        <f t="shared" si="12"/>
        <v>100</v>
      </c>
      <c r="T32" s="705" t="s">
        <v>14</v>
      </c>
      <c r="U32" s="706">
        <f t="shared" si="13"/>
        <v>100</v>
      </c>
      <c r="V32" s="705" t="s">
        <v>14</v>
      </c>
      <c r="W32" s="706">
        <f t="shared" si="14"/>
        <v>100</v>
      </c>
      <c r="X32" s="1354"/>
      <c r="Y32" s="3686"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6"/>
      <c r="Q33" s="1351">
        <f t="shared" si="11"/>
        <v>111</v>
      </c>
      <c r="R33" s="705" t="s">
        <v>14</v>
      </c>
      <c r="S33" s="706">
        <f t="shared" si="12"/>
        <v>100</v>
      </c>
      <c r="T33" s="705" t="s">
        <v>14</v>
      </c>
      <c r="U33" s="706">
        <f t="shared" si="13"/>
        <v>100</v>
      </c>
      <c r="V33" s="705" t="s">
        <v>14</v>
      </c>
      <c r="W33" s="706">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0"/>
      <c r="M35" s="2721"/>
      <c r="N35" s="2712"/>
      <c r="O35" s="2721"/>
      <c r="P35" s="3667" t="str">
        <f>A35</f>
        <v>成交单价（元/平方米）</v>
      </c>
      <c r="Q35" s="3667"/>
      <c r="R35" s="3733">
        <f>E35</f>
        <v>0</v>
      </c>
      <c r="S35" s="3733"/>
      <c r="T35" s="3733">
        <f>G35</f>
        <v>0</v>
      </c>
      <c r="U35" s="3733"/>
      <c r="V35" s="3733">
        <f>I35</f>
        <v>0</v>
      </c>
      <c r="W35" s="3733"/>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0"/>
      <c r="M36" s="2721"/>
      <c r="N36" s="2712"/>
      <c r="O36" s="2721"/>
      <c r="P36" s="3667" t="str">
        <f>A36</f>
        <v>比较价值（元/平方米）</v>
      </c>
      <c r="Q36" s="3667"/>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702" t="str">
        <f>A37</f>
        <v>估价对象XX用房的比较价值（楼面单价，元/平方米）</v>
      </c>
      <c r="Q37" s="3703"/>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36">
    <cfRule type="expression" dxfId="38" priority="4">
      <formula>$D$36="简单平均"</formula>
    </cfRule>
  </conditionalFormatting>
  <conditionalFormatting sqref="H36">
    <cfRule type="expression" dxfId="37" priority="3">
      <formula>$D$36="简单平均"</formula>
    </cfRule>
  </conditionalFormatting>
  <conditionalFormatting sqref="J36">
    <cfRule type="expression" dxfId="36" priority="2">
      <formula>$D$36="简单平均"</formula>
    </cfRule>
  </conditionalFormatting>
  <conditionalFormatting sqref="F7:F34 H7:H34 J7:J34">
    <cfRule type="cellIs" dxfId="3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664" t="s">
        <v>1769</v>
      </c>
      <c r="D4" s="3690"/>
      <c r="E4" s="3691" t="s">
        <v>1770</v>
      </c>
      <c r="F4" s="3692"/>
      <c r="G4" s="3664" t="s">
        <v>1771</v>
      </c>
      <c r="H4" s="3690"/>
      <c r="I4" s="3664" t="s">
        <v>1772</v>
      </c>
      <c r="J4" s="3690"/>
      <c r="K4" s="559" t="s">
        <v>1773</v>
      </c>
      <c r="L4" s="2711"/>
      <c r="M4" s="2712"/>
      <c r="N4" s="2712"/>
      <c r="O4" s="2712"/>
      <c r="P4" s="3693" t="s">
        <v>1774</v>
      </c>
      <c r="Q4" s="3694"/>
      <c r="R4" s="3670" t="s">
        <v>1770</v>
      </c>
      <c r="S4" s="3671"/>
      <c r="T4" s="3670" t="s">
        <v>1771</v>
      </c>
      <c r="U4" s="3671"/>
      <c r="V4" s="3683" t="s">
        <v>1772</v>
      </c>
      <c r="W4" s="3683"/>
      <c r="X4" s="1354"/>
      <c r="Y4" s="3670" t="s">
        <v>1774</v>
      </c>
      <c r="Z4" s="3671"/>
      <c r="AA4" s="3687" t="s">
        <v>1770</v>
      </c>
      <c r="AB4" s="3688" t="s">
        <v>1771</v>
      </c>
      <c r="AC4" s="3687" t="s">
        <v>1772</v>
      </c>
    </row>
    <row r="5" spans="1:30" ht="15">
      <c r="A5" s="358"/>
      <c r="B5" s="359"/>
      <c r="C5" s="3674" t="s">
        <v>1672</v>
      </c>
      <c r="D5" s="3675"/>
      <c r="E5" s="3699" t="s">
        <v>1673</v>
      </c>
      <c r="F5" s="3700"/>
      <c r="G5" s="3674" t="s">
        <v>1674</v>
      </c>
      <c r="H5" s="3675"/>
      <c r="I5" s="3674" t="s">
        <v>1675</v>
      </c>
      <c r="J5" s="3675"/>
      <c r="K5" s="559"/>
      <c r="L5" s="2711"/>
      <c r="M5" s="2712"/>
      <c r="N5" s="2712"/>
      <c r="O5" s="2712"/>
      <c r="P5" s="3695"/>
      <c r="Q5" s="3696"/>
      <c r="R5" s="3672"/>
      <c r="S5" s="3673"/>
      <c r="T5" s="3672"/>
      <c r="U5" s="3673"/>
      <c r="V5" s="3683"/>
      <c r="W5" s="3683"/>
      <c r="X5" s="1354"/>
      <c r="Y5" s="3672"/>
      <c r="Z5" s="3673"/>
      <c r="AA5" s="3688"/>
      <c r="AB5" s="3688"/>
      <c r="AC5" s="3688"/>
    </row>
    <row r="6" spans="1:30" ht="15.75" thickBot="1">
      <c r="A6" s="360"/>
      <c r="B6" s="361"/>
      <c r="C6" s="3740" t="s">
        <v>1676</v>
      </c>
      <c r="D6" s="3741"/>
      <c r="E6" s="3742" t="s">
        <v>1676</v>
      </c>
      <c r="F6" s="3743"/>
      <c r="G6" s="3740" t="s">
        <v>1676</v>
      </c>
      <c r="H6" s="3741"/>
      <c r="I6" s="3740" t="s">
        <v>1676</v>
      </c>
      <c r="J6" s="3741"/>
      <c r="K6" s="559" t="s">
        <v>1677</v>
      </c>
      <c r="L6" s="2711"/>
      <c r="M6" s="2712"/>
      <c r="N6" s="2712"/>
      <c r="O6" s="2712"/>
      <c r="P6" s="3697"/>
      <c r="Q6" s="3698"/>
      <c r="R6" s="3672"/>
      <c r="S6" s="3673"/>
      <c r="T6" s="3681"/>
      <c r="U6" s="3682"/>
      <c r="V6" s="3683"/>
      <c r="W6" s="3683"/>
      <c r="X6" s="1354"/>
      <c r="Y6" s="3681"/>
      <c r="Z6" s="3682"/>
      <c r="AA6" s="3689"/>
      <c r="AB6" s="3689"/>
      <c r="AC6" s="3689"/>
    </row>
    <row r="7" spans="1:30" s="108" customFormat="1" ht="15.75" thickBot="1">
      <c r="A7" s="362" t="s">
        <v>1678</v>
      </c>
      <c r="B7" s="363"/>
      <c r="C7" s="364">
        <f>'数据-取费表'!B2</f>
        <v>45111</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68" t="s">
        <v>1679</v>
      </c>
      <c r="Q7" s="3678"/>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8" t="s">
        <v>1682</v>
      </c>
      <c r="Q8" s="3669"/>
      <c r="R8" s="701" t="s">
        <v>14</v>
      </c>
      <c r="S8" s="702">
        <f t="shared" si="0"/>
        <v>0</v>
      </c>
      <c r="T8" s="701" t="s">
        <v>14</v>
      </c>
      <c r="U8" s="702">
        <f t="shared" si="1"/>
        <v>0</v>
      </c>
      <c r="V8" s="701" t="s">
        <v>14</v>
      </c>
      <c r="W8" s="702">
        <f t="shared" si="2"/>
        <v>0</v>
      </c>
      <c r="X8" s="703"/>
      <c r="Y8" s="3668" t="s">
        <v>1682</v>
      </c>
      <c r="Z8" s="3669"/>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67" t="s">
        <v>1685</v>
      </c>
      <c r="Q9" s="1342"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667"/>
      <c r="Q10" s="1342" t="str">
        <f t="shared" si="6"/>
        <v>土地使用年限（年）</v>
      </c>
      <c r="R10" s="701" t="s">
        <v>14</v>
      </c>
      <c r="S10" s="702">
        <f t="shared" si="0"/>
        <v>112</v>
      </c>
      <c r="T10" s="701" t="s">
        <v>14</v>
      </c>
      <c r="U10" s="702">
        <f t="shared" si="1"/>
        <v>112</v>
      </c>
      <c r="V10" s="701" t="s">
        <v>14</v>
      </c>
      <c r="W10" s="702">
        <f t="shared" si="2"/>
        <v>112</v>
      </c>
      <c r="X10" s="703"/>
      <c r="Y10" s="3568"/>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7"/>
      <c r="Q11" s="1342"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7"/>
      <c r="Q12" s="1342"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7"/>
      <c r="Q13" s="1342">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7"/>
      <c r="Q14" s="1342">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4" t="s">
        <v>1690</v>
      </c>
      <c r="Q15" s="1351" t="str">
        <f t="shared" si="6"/>
        <v>居住社区成熟度</v>
      </c>
      <c r="R15" s="705" t="s">
        <v>14</v>
      </c>
      <c r="S15" s="706">
        <f t="shared" si="0"/>
        <v>100</v>
      </c>
      <c r="T15" s="705" t="s">
        <v>14</v>
      </c>
      <c r="U15" s="706">
        <f t="shared" si="1"/>
        <v>100</v>
      </c>
      <c r="V15" s="705" t="s">
        <v>14</v>
      </c>
      <c r="W15" s="706">
        <f t="shared" si="2"/>
        <v>100</v>
      </c>
      <c r="X15" s="1354"/>
      <c r="Y15" s="3684"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85"/>
      <c r="Q16" s="1351"/>
      <c r="R16" s="705"/>
      <c r="S16" s="706"/>
      <c r="T16" s="705"/>
      <c r="U16" s="706"/>
      <c r="V16" s="705"/>
      <c r="W16" s="706"/>
      <c r="X16" s="1354"/>
      <c r="Y16" s="3685"/>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5"/>
      <c r="Q17" s="1351" t="str">
        <f>B17</f>
        <v>商业繁华度</v>
      </c>
      <c r="R17" s="705" t="s">
        <v>14</v>
      </c>
      <c r="S17" s="706">
        <f>F17</f>
        <v>100</v>
      </c>
      <c r="T17" s="705" t="s">
        <v>14</v>
      </c>
      <c r="U17" s="706">
        <f>H17</f>
        <v>100</v>
      </c>
      <c r="V17" s="705" t="s">
        <v>14</v>
      </c>
      <c r="W17" s="706">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85"/>
      <c r="Q18" s="1351"/>
      <c r="R18" s="705"/>
      <c r="S18" s="706"/>
      <c r="T18" s="705"/>
      <c r="U18" s="706"/>
      <c r="V18" s="705"/>
      <c r="W18" s="706"/>
      <c r="X18" s="1354"/>
      <c r="Y18" s="3685"/>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5"/>
      <c r="Q19" s="1351" t="str">
        <f>B19</f>
        <v>办公集聚程度</v>
      </c>
      <c r="R19" s="705" t="s">
        <v>14</v>
      </c>
      <c r="S19" s="706">
        <f>F19</f>
        <v>100</v>
      </c>
      <c r="T19" s="705" t="s">
        <v>14</v>
      </c>
      <c r="U19" s="706">
        <f>H19</f>
        <v>100</v>
      </c>
      <c r="V19" s="705" t="s">
        <v>14</v>
      </c>
      <c r="W19" s="706">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85"/>
      <c r="Q20" s="1351"/>
      <c r="R20" s="705"/>
      <c r="S20" s="706"/>
      <c r="T20" s="705"/>
      <c r="U20" s="706"/>
      <c r="V20" s="705"/>
      <c r="W20" s="706"/>
      <c r="X20" s="1354"/>
      <c r="Y20" s="3685"/>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5"/>
      <c r="Q21" s="1351" t="str">
        <f>B21</f>
        <v>交通便捷度</v>
      </c>
      <c r="R21" s="705" t="s">
        <v>14</v>
      </c>
      <c r="S21" s="706">
        <f>F21</f>
        <v>100</v>
      </c>
      <c r="T21" s="705" t="s">
        <v>14</v>
      </c>
      <c r="U21" s="706">
        <f>H21</f>
        <v>100</v>
      </c>
      <c r="V21" s="705" t="s">
        <v>14</v>
      </c>
      <c r="W21" s="706">
        <f>J21</f>
        <v>100</v>
      </c>
      <c r="X21" s="1354"/>
      <c r="Y21" s="368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8"/>
      <c r="M22" s="2712"/>
      <c r="N22" s="2712"/>
      <c r="O22" s="2770"/>
      <c r="P22" s="3685"/>
      <c r="Q22" s="1351"/>
      <c r="R22" s="705"/>
      <c r="S22" s="706"/>
      <c r="T22" s="705"/>
      <c r="U22" s="706"/>
      <c r="V22" s="705"/>
      <c r="W22" s="706"/>
      <c r="X22" s="1354"/>
      <c r="Y22" s="3685"/>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5"/>
      <c r="Q23" s="1351" t="str">
        <f t="shared" ref="Q23:Q37" si="8">B23</f>
        <v>区域土地利用方向</v>
      </c>
      <c r="R23" s="705" t="s">
        <v>14</v>
      </c>
      <c r="S23" s="706">
        <f>F23</f>
        <v>100</v>
      </c>
      <c r="T23" s="705" t="s">
        <v>14</v>
      </c>
      <c r="U23" s="706">
        <f>H23</f>
        <v>100</v>
      </c>
      <c r="V23" s="705" t="s">
        <v>14</v>
      </c>
      <c r="W23" s="706">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85"/>
      <c r="Q24" s="1351"/>
      <c r="R24" s="705"/>
      <c r="S24" s="706"/>
      <c r="T24" s="705"/>
      <c r="U24" s="706"/>
      <c r="V24" s="705"/>
      <c r="W24" s="706"/>
      <c r="X24" s="1354"/>
      <c r="Y24" s="3685"/>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5"/>
      <c r="Q25" s="1351" t="str">
        <f t="shared" si="8"/>
        <v>自然及人文环境状况</v>
      </c>
      <c r="R25" s="705" t="s">
        <v>14</v>
      </c>
      <c r="S25" s="706">
        <f>F25</f>
        <v>100</v>
      </c>
      <c r="T25" s="705" t="s">
        <v>14</v>
      </c>
      <c r="U25" s="706">
        <f>H25</f>
        <v>100</v>
      </c>
      <c r="V25" s="705" t="s">
        <v>14</v>
      </c>
      <c r="W25" s="706">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85"/>
      <c r="Q26" s="1351"/>
      <c r="R26" s="705"/>
      <c r="S26" s="706"/>
      <c r="T26" s="705"/>
      <c r="U26" s="706"/>
      <c r="V26" s="705"/>
      <c r="W26" s="706"/>
      <c r="X26" s="1354"/>
      <c r="Y26" s="3685"/>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5"/>
      <c r="Q27" s="1342" t="str">
        <f t="shared" si="8"/>
        <v>公共配套设施</v>
      </c>
      <c r="R27" s="701" t="s">
        <v>14</v>
      </c>
      <c r="S27" s="702">
        <f>F27</f>
        <v>100</v>
      </c>
      <c r="T27" s="701" t="s">
        <v>14</v>
      </c>
      <c r="U27" s="702">
        <f>H27</f>
        <v>100</v>
      </c>
      <c r="V27" s="701" t="s">
        <v>14</v>
      </c>
      <c r="W27" s="702">
        <f>J27</f>
        <v>100</v>
      </c>
      <c r="X27" s="703"/>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685"/>
      <c r="Q28" s="1342"/>
      <c r="R28" s="701"/>
      <c r="S28" s="702"/>
      <c r="T28" s="701"/>
      <c r="U28" s="702"/>
      <c r="V28" s="701"/>
      <c r="W28" s="702"/>
      <c r="X28" s="703"/>
      <c r="Y28" s="3685"/>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5"/>
      <c r="Q29" s="1342"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685"/>
      <c r="Q30" s="1342"/>
      <c r="R30" s="701"/>
      <c r="S30" s="702"/>
      <c r="T30" s="701"/>
      <c r="U30" s="702"/>
      <c r="V30" s="701"/>
      <c r="W30" s="702"/>
      <c r="X30" s="703"/>
      <c r="Y30" s="3685"/>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5"/>
      <c r="Z31" s="1355" t="str">
        <f t="shared" ref="Z31:Z45" si="13">Q31</f>
        <v>临街状况</v>
      </c>
      <c r="AA31" s="1352">
        <f t="shared" si="3"/>
        <v>1</v>
      </c>
      <c r="AB31" s="1352">
        <f t="shared" si="4"/>
        <v>1</v>
      </c>
      <c r="AC31" s="1352">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5"/>
      <c r="Q32" s="1351" t="str">
        <f t="shared" si="8"/>
        <v>毗邻道路的类型与等级</v>
      </c>
      <c r="R32" s="705" t="s">
        <v>14</v>
      </c>
      <c r="S32" s="706">
        <f t="shared" si="10"/>
        <v>100</v>
      </c>
      <c r="T32" s="705" t="s">
        <v>14</v>
      </c>
      <c r="U32" s="706">
        <f t="shared" si="11"/>
        <v>100</v>
      </c>
      <c r="V32" s="705" t="s">
        <v>14</v>
      </c>
      <c r="W32" s="706">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85"/>
      <c r="Q33" s="1351"/>
      <c r="R33" s="705"/>
      <c r="S33" s="706"/>
      <c r="T33" s="705"/>
      <c r="U33" s="706"/>
      <c r="V33" s="705"/>
      <c r="W33" s="706"/>
      <c r="X33" s="1354"/>
      <c r="Y33" s="3685"/>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5"/>
      <c r="Q34" s="1351" t="str">
        <f t="shared" si="8"/>
        <v>土地级别</v>
      </c>
      <c r="R34" s="705" t="s">
        <v>14</v>
      </c>
      <c r="S34" s="706">
        <f t="shared" si="10"/>
        <v>100</v>
      </c>
      <c r="T34" s="705" t="s">
        <v>14</v>
      </c>
      <c r="U34" s="706">
        <f t="shared" si="11"/>
        <v>100</v>
      </c>
      <c r="V34" s="705" t="s">
        <v>14</v>
      </c>
      <c r="W34" s="706">
        <f t="shared" si="12"/>
        <v>100</v>
      </c>
      <c r="X34" s="1354"/>
      <c r="Y34" s="368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5"/>
      <c r="Q35" s="1351">
        <f t="shared" si="8"/>
        <v>111</v>
      </c>
      <c r="R35" s="705" t="s">
        <v>14</v>
      </c>
      <c r="S35" s="706">
        <f t="shared" si="10"/>
        <v>100</v>
      </c>
      <c r="T35" s="705" t="s">
        <v>14</v>
      </c>
      <c r="U35" s="706">
        <f t="shared" si="11"/>
        <v>100</v>
      </c>
      <c r="V35" s="705" t="s">
        <v>14</v>
      </c>
      <c r="W35" s="706">
        <f t="shared" si="12"/>
        <v>100</v>
      </c>
      <c r="X35" s="1354"/>
      <c r="Y35" s="368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1" t="s">
        <v>1695</v>
      </c>
      <c r="Q36" s="1351">
        <f t="shared" si="8"/>
        <v>111</v>
      </c>
      <c r="R36" s="705" t="s">
        <v>14</v>
      </c>
      <c r="S36" s="706">
        <f t="shared" si="10"/>
        <v>100</v>
      </c>
      <c r="T36" s="705" t="s">
        <v>14</v>
      </c>
      <c r="U36" s="706">
        <f t="shared" si="11"/>
        <v>100</v>
      </c>
      <c r="V36" s="705" t="s">
        <v>14</v>
      </c>
      <c r="W36" s="706">
        <f t="shared" si="12"/>
        <v>100</v>
      </c>
      <c r="X36" s="1354"/>
      <c r="Y36" s="3686" t="s">
        <v>1695</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6"/>
      <c r="Q37" s="1351">
        <f t="shared" si="8"/>
        <v>111</v>
      </c>
      <c r="R37" s="708" t="s">
        <v>14</v>
      </c>
      <c r="S37" s="709">
        <f t="shared" si="10"/>
        <v>100</v>
      </c>
      <c r="T37" s="708" t="s">
        <v>14</v>
      </c>
      <c r="U37" s="709">
        <f t="shared" si="11"/>
        <v>100</v>
      </c>
      <c r="V37" s="708" t="s">
        <v>14</v>
      </c>
      <c r="W37" s="709">
        <f t="shared" si="12"/>
        <v>100</v>
      </c>
      <c r="X37" s="710"/>
      <c r="Y37" s="3686"/>
      <c r="Z37" s="711">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86"/>
      <c r="Q38" s="1351" t="str">
        <f>B38</f>
        <v>宗地面积</v>
      </c>
      <c r="R38" s="705" t="s">
        <v>14</v>
      </c>
      <c r="S38" s="706" t="e">
        <f t="shared" si="10"/>
        <v>#N/A</v>
      </c>
      <c r="T38" s="705" t="s">
        <v>14</v>
      </c>
      <c r="U38" s="706" t="e">
        <f t="shared" si="11"/>
        <v>#N/A</v>
      </c>
      <c r="V38" s="705" t="s">
        <v>14</v>
      </c>
      <c r="W38" s="706" t="e">
        <f t="shared" si="12"/>
        <v>#N/A</v>
      </c>
      <c r="X38" s="1354"/>
      <c r="Y38" s="3686"/>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86"/>
      <c r="Q39" s="1351" t="str">
        <f t="shared" ref="Q39:Q45" si="14">B39</f>
        <v>宗地形状</v>
      </c>
      <c r="R39" s="705" t="s">
        <v>14</v>
      </c>
      <c r="S39" s="706">
        <f t="shared" si="10"/>
        <v>100</v>
      </c>
      <c r="T39" s="705" t="s">
        <v>14</v>
      </c>
      <c r="U39" s="706">
        <f t="shared" si="11"/>
        <v>100</v>
      </c>
      <c r="V39" s="705" t="s">
        <v>14</v>
      </c>
      <c r="W39" s="706">
        <f t="shared" si="12"/>
        <v>100</v>
      </c>
      <c r="X39" s="1354"/>
      <c r="Y39" s="3686"/>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86"/>
      <c r="Q40" s="1351" t="str">
        <f t="shared" si="14"/>
        <v>临街宽度及深度</v>
      </c>
      <c r="R40" s="705" t="s">
        <v>14</v>
      </c>
      <c r="S40" s="706">
        <f t="shared" si="10"/>
        <v>100</v>
      </c>
      <c r="T40" s="705" t="s">
        <v>14</v>
      </c>
      <c r="U40" s="706">
        <f t="shared" si="11"/>
        <v>100</v>
      </c>
      <c r="V40" s="705" t="s">
        <v>14</v>
      </c>
      <c r="W40" s="706">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686"/>
      <c r="Q41" s="1351"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86" t="s">
        <v>1695</v>
      </c>
      <c r="Q42" s="1351" t="str">
        <f t="shared" si="14"/>
        <v>工程地质条件</v>
      </c>
      <c r="R42" s="705" t="s">
        <v>14</v>
      </c>
      <c r="S42" s="706">
        <f t="shared" si="10"/>
        <v>100</v>
      </c>
      <c r="T42" s="705" t="s">
        <v>14</v>
      </c>
      <c r="U42" s="706">
        <f t="shared" si="11"/>
        <v>100</v>
      </c>
      <c r="V42" s="705" t="s">
        <v>14</v>
      </c>
      <c r="W42" s="706">
        <f t="shared" si="12"/>
        <v>100</v>
      </c>
      <c r="X42" s="1354"/>
      <c r="Y42" s="3686"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6"/>
      <c r="Q43" s="1351">
        <f t="shared" si="14"/>
        <v>111</v>
      </c>
      <c r="R43" s="705" t="s">
        <v>14</v>
      </c>
      <c r="S43" s="706">
        <f t="shared" si="10"/>
        <v>100</v>
      </c>
      <c r="T43" s="705" t="s">
        <v>14</v>
      </c>
      <c r="U43" s="706">
        <f t="shared" si="11"/>
        <v>100</v>
      </c>
      <c r="V43" s="705" t="s">
        <v>14</v>
      </c>
      <c r="W43" s="706">
        <f t="shared" si="12"/>
        <v>100</v>
      </c>
      <c r="X43" s="1354"/>
      <c r="Y43" s="368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6"/>
      <c r="Q44" s="1351">
        <f t="shared" si="14"/>
        <v>111</v>
      </c>
      <c r="R44" s="705" t="s">
        <v>14</v>
      </c>
      <c r="S44" s="706">
        <f t="shared" si="10"/>
        <v>100</v>
      </c>
      <c r="T44" s="705" t="s">
        <v>14</v>
      </c>
      <c r="U44" s="706">
        <f t="shared" si="11"/>
        <v>100</v>
      </c>
      <c r="V44" s="705" t="s">
        <v>14</v>
      </c>
      <c r="W44" s="706">
        <f t="shared" si="12"/>
        <v>100</v>
      </c>
      <c r="X44" s="1354"/>
      <c r="Y44" s="368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6"/>
      <c r="Q45" s="1351">
        <f t="shared" si="14"/>
        <v>111</v>
      </c>
      <c r="R45" s="708" t="s">
        <v>14</v>
      </c>
      <c r="S45" s="709">
        <f t="shared" si="10"/>
        <v>100</v>
      </c>
      <c r="T45" s="708" t="s">
        <v>14</v>
      </c>
      <c r="U45" s="709">
        <f t="shared" si="11"/>
        <v>100</v>
      </c>
      <c r="V45" s="708" t="s">
        <v>14</v>
      </c>
      <c r="W45" s="709">
        <f t="shared" si="12"/>
        <v>100</v>
      </c>
      <c r="X45" s="710"/>
      <c r="Y45" s="3686"/>
      <c r="Z45" s="711">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4"/>
      <c r="L46" s="2720"/>
      <c r="M46" s="2721"/>
      <c r="N46" s="2712"/>
      <c r="O46" s="2721"/>
      <c r="P46" s="3667" t="str">
        <f>A46</f>
        <v>成交单价</v>
      </c>
      <c r="Q46" s="3667"/>
      <c r="R46" s="3683">
        <f>E46</f>
        <v>0</v>
      </c>
      <c r="S46" s="3683"/>
      <c r="T46" s="3683">
        <f>G46</f>
        <v>0</v>
      </c>
      <c r="U46" s="3683"/>
      <c r="V46" s="3683">
        <f>I46</f>
        <v>0</v>
      </c>
      <c r="W46" s="3683"/>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20"/>
      <c r="M47" s="2721"/>
      <c r="N47" s="2721"/>
      <c r="O47" s="2721"/>
      <c r="P47" s="3667" t="str">
        <f>A47</f>
        <v>比较价值（元/平方米）</v>
      </c>
      <c r="Q47" s="3667"/>
      <c r="R47" s="3705" t="e">
        <f>ROUND(PRODUCT(R46,AA7:AA45),0)</f>
        <v>#DIV/0!</v>
      </c>
      <c r="S47" s="3705"/>
      <c r="T47" s="3705" t="e">
        <f>ROUND(PRODUCT(T46,AB7:AB45),0)</f>
        <v>#DIV/0!</v>
      </c>
      <c r="U47" s="3705"/>
      <c r="V47" s="3705" t="e">
        <f>ROUND(PRODUCT(V46,AC7:AC45),0)</f>
        <v>#DIV/0!</v>
      </c>
      <c r="W47" s="370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702" t="str">
        <f>A48</f>
        <v>估价对象XX用房的比较价值（楼面单价，元/平方米）</v>
      </c>
      <c r="Q48" s="3703"/>
      <c r="R48" s="3704" t="e">
        <f>ROUND(IF(D47="简单平均",AVERAGE(R47:W47),R47*F47+T47*H47+V47*J47),0)</f>
        <v>#DIV/0!</v>
      </c>
      <c r="S48" s="3704"/>
      <c r="T48" s="3704"/>
      <c r="U48" s="3704"/>
      <c r="V48" s="3704"/>
      <c r="W48" s="370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90" t="s">
        <v>1885</v>
      </c>
      <c r="G55" s="3664" t="s">
        <v>1886</v>
      </c>
      <c r="H55" s="3665"/>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34710.700000000004</v>
      </c>
      <c r="F56" s="886" t="e">
        <f t="shared" ref="F56:F64" si="15">ROUND(B56*E56/10000,0)</f>
        <v>#DIV/0!</v>
      </c>
      <c r="G56" s="3666"/>
      <c r="H56" s="366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v>
      </c>
      <c r="D57" s="945">
        <v>0.25</v>
      </c>
      <c r="E57" s="642"/>
      <c r="F57" s="886" t="e">
        <f t="shared" si="15"/>
        <v>#DIV/0!</v>
      </c>
      <c r="G57" s="3002" t="s">
        <v>1891</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v>
      </c>
      <c r="D61" s="945">
        <v>0.25</v>
      </c>
      <c r="E61" s="217">
        <f>'数据-汇总表'!E12</f>
        <v>1009.6600000000001</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5">
        <v>0.25</v>
      </c>
      <c r="E62" s="217">
        <f>'数据-汇总表'!E13</f>
        <v>5273.85</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4" priority="18" stopIfTrue="1" operator="containsText" text="超过">
      <formula>NOT(ISERROR(SEARCH("超过",F51)))</formula>
    </cfRule>
  </conditionalFormatting>
  <conditionalFormatting sqref="J53">
    <cfRule type="containsText" dxfId="33" priority="17" stopIfTrue="1" operator="containsText" text="超过">
      <formula>NOT(ISERROR(SEARCH("超过",J53)))</formula>
    </cfRule>
  </conditionalFormatting>
  <conditionalFormatting sqref="H53">
    <cfRule type="containsText" dxfId="32" priority="16" stopIfTrue="1" operator="containsText" text="超过">
      <formula>NOT(ISERROR(SEARCH("超过",H53)))</formula>
    </cfRule>
  </conditionalFormatting>
  <conditionalFormatting sqref="F53">
    <cfRule type="containsText" dxfId="31" priority="15" stopIfTrue="1" operator="containsText" text="超过">
      <formula>NOT(ISERROR(SEARCH("超过",F53)))</formula>
    </cfRule>
  </conditionalFormatting>
  <conditionalFormatting sqref="F52 H52 J52">
    <cfRule type="containsText" dxfId="30" priority="14" stopIfTrue="1" operator="containsText" text="超过">
      <formula>NOT(ISERROR(SEARCH("超过",F52)))</formula>
    </cfRule>
  </conditionalFormatting>
  <conditionalFormatting sqref="E51">
    <cfRule type="expression" dxfId="29" priority="13" stopIfTrue="1">
      <formula>$F$51="超过30%"</formula>
    </cfRule>
  </conditionalFormatting>
  <conditionalFormatting sqref="G53">
    <cfRule type="expression" dxfId="28" priority="12" stopIfTrue="1">
      <formula>$H$53="超过30%"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G51">
    <cfRule type="expression" dxfId="25" priority="9" stopIfTrue="1">
      <formula>$H$53+$H$51="超过30%"</formula>
    </cfRule>
  </conditionalFormatting>
  <conditionalFormatting sqref="G52">
    <cfRule type="expression" dxfId="24" priority="8" stopIfTrue="1">
      <formula>$H$52="超过20%"</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F47">
    <cfRule type="expression" dxfId="20" priority="4">
      <formula>$D$47="简单平均"</formula>
    </cfRule>
  </conditionalFormatting>
  <conditionalFormatting sqref="H47">
    <cfRule type="expression" dxfId="19" priority="3">
      <formula>$D$47="简单平均"</formula>
    </cfRule>
  </conditionalFormatting>
  <conditionalFormatting sqref="J47">
    <cfRule type="expression" dxfId="18" priority="2">
      <formula>$D$47="简单平均"</formula>
    </cfRule>
  </conditionalFormatting>
  <conditionalFormatting sqref="F7:F45 H7:H45 J7:J45">
    <cfRule type="cellIs" dxfId="1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3338</v>
      </c>
      <c r="D1" s="1361" t="s">
        <v>3522</v>
      </c>
      <c r="E1" s="1362" t="s">
        <v>678</v>
      </c>
      <c r="F1" s="1062">
        <f ca="1">J53</f>
        <v>16.25</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418</v>
      </c>
      <c r="C2" s="1386" t="s">
        <v>805</v>
      </c>
      <c r="D2" s="1386"/>
      <c r="E2" s="1387"/>
      <c r="F2" s="1388"/>
      <c r="G2" s="2702"/>
      <c r="H2" s="2691"/>
      <c r="I2" s="2691"/>
      <c r="J2" s="2691"/>
      <c r="K2" s="2692"/>
      <c r="L2" s="2691"/>
      <c r="M2" s="2691"/>
    </row>
    <row r="3" spans="1:37" ht="18" customHeight="1" thickBot="1">
      <c r="A3" s="1389" t="s">
        <v>806</v>
      </c>
      <c r="B3" s="1390">
        <f ca="1">IF(ISERROR(B2*10000/F43),0,ROUND(B2*10000/F43,0))</f>
        <v>4140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33</v>
      </c>
      <c r="D5" s="1363" t="s">
        <v>693</v>
      </c>
      <c r="E5" s="1071"/>
      <c r="F5" s="1072"/>
      <c r="G5" s="1383"/>
      <c r="H5" s="299">
        <v>1</v>
      </c>
      <c r="I5" s="300" t="s">
        <v>692</v>
      </c>
      <c r="J5" s="1070">
        <f ca="1">J6+J10+J12</f>
        <v>0</v>
      </c>
      <c r="K5" s="1363" t="s">
        <v>693</v>
      </c>
      <c r="L5" s="1071"/>
      <c r="M5" s="1072"/>
    </row>
    <row r="6" spans="1:37" ht="18" customHeight="1">
      <c r="A6" s="1069" t="s">
        <v>398</v>
      </c>
      <c r="B6" s="3708" t="s">
        <v>694</v>
      </c>
      <c r="C6" s="1074">
        <f ca="1">ROUND(F6*F8*F7*(1-F9)/10000,0)</f>
        <v>33</v>
      </c>
      <c r="D6" s="155" t="s">
        <v>2107</v>
      </c>
      <c r="E6" s="302" t="s">
        <v>696</v>
      </c>
      <c r="F6" s="303">
        <f ca="1">INDIRECT("'数据-取费表'!u"&amp;$G$1)</f>
        <v>1</v>
      </c>
      <c r="G6" s="1383"/>
      <c r="H6" s="1069" t="s">
        <v>398</v>
      </c>
      <c r="I6" s="3708" t="s">
        <v>694</v>
      </c>
      <c r="J6" s="301">
        <f ca="1">ROUND(M6*M8*M7*(1-M9)/10000,0)</f>
        <v>0</v>
      </c>
      <c r="K6" s="155" t="s">
        <v>2106</v>
      </c>
      <c r="L6" s="302" t="s">
        <v>696</v>
      </c>
      <c r="M6" s="303">
        <f ca="1">INDIRECT("'数据-取费表'!z"&amp;$G$1)</f>
        <v>0</v>
      </c>
    </row>
    <row r="7" spans="1:37" ht="18" customHeight="1">
      <c r="A7" s="1073"/>
      <c r="B7" s="3709"/>
      <c r="C7" s="1075"/>
      <c r="D7" s="307"/>
      <c r="E7" s="3454" t="s">
        <v>697</v>
      </c>
      <c r="F7" s="303">
        <f ca="1">IF(INDIRECT("'数据-取费表'!ah"&amp;$G$1)="",INDIRECT("'数据-取费表'!k"&amp;$G$1),INDIRECT("'数据-取费表'!ah"&amp;$G$1))</f>
        <v>1009.6600000000001</v>
      </c>
      <c r="G7" s="1383"/>
      <c r="H7" s="304"/>
      <c r="I7" s="3709"/>
      <c r="J7" s="306"/>
      <c r="K7" s="307"/>
      <c r="L7" s="302" t="s">
        <v>697</v>
      </c>
      <c r="M7" s="303">
        <f ca="1">F7</f>
        <v>1009.6600000000001</v>
      </c>
    </row>
    <row r="8" spans="1:37" ht="18" customHeight="1">
      <c r="A8" s="304"/>
      <c r="B8" s="3709"/>
      <c r="C8" s="306"/>
      <c r="D8" s="307"/>
      <c r="E8" s="302" t="s">
        <v>698</v>
      </c>
      <c r="F8" s="303">
        <f ca="1">INDIRECT("'数据-取费表'!ai"&amp;$G$1)</f>
        <v>365</v>
      </c>
      <c r="G8" s="1383"/>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3"/>
      <c r="H9" s="304"/>
      <c r="I9" s="371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516</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386</v>
      </c>
      <c r="D14" s="3450" t="s">
        <v>708</v>
      </c>
      <c r="E14" s="3448"/>
      <c r="F14" s="319"/>
      <c r="G14" s="1383"/>
      <c r="H14" s="982" t="s">
        <v>398</v>
      </c>
      <c r="I14" s="302" t="s">
        <v>709</v>
      </c>
      <c r="J14" s="21">
        <f ca="1">C29</f>
        <v>516</v>
      </c>
      <c r="K14" s="3453"/>
      <c r="L14" s="807"/>
      <c r="M14" s="808"/>
    </row>
    <row r="15" spans="1:37" s="1396" customFormat="1" ht="18" customHeight="1" thickBot="1">
      <c r="A15" s="982" t="s">
        <v>399</v>
      </c>
      <c r="B15" s="302" t="s">
        <v>710</v>
      </c>
      <c r="C15" s="21">
        <f ca="1">ROUND(C14*F15,0)</f>
        <v>19</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v>
      </c>
      <c r="K16" s="1087" t="s">
        <v>715</v>
      </c>
      <c r="L16" s="3451"/>
      <c r="M16" s="1072"/>
    </row>
    <row r="17" spans="1:37" s="1396" customFormat="1" ht="18" customHeight="1">
      <c r="A17" s="982" t="s">
        <v>681</v>
      </c>
      <c r="B17" s="302" t="s">
        <v>716</v>
      </c>
      <c r="C17" s="21">
        <f ca="1">ROUND(F17*(F43+INDIRECT("'数据-取费表'!S"&amp;$G$1))/10000,0)</f>
        <v>21</v>
      </c>
      <c r="D17" s="302" t="s">
        <v>717</v>
      </c>
      <c r="E17" s="302" t="s">
        <v>718</v>
      </c>
      <c r="F17" s="23">
        <f>'数据-取费表'!B35</f>
        <v>200</v>
      </c>
      <c r="G17" s="1395"/>
      <c r="H17" s="982" t="s">
        <v>398</v>
      </c>
      <c r="I17" s="302" t="s">
        <v>719</v>
      </c>
      <c r="J17" s="2315">
        <f ca="1">ROUND(IF(AND(项目基本情况!B11="自然人",项目基本情况!B10="北京市"),J6*M17/(1+'数据-取费表'!C42),J18+J19+J20),2)</f>
        <v>0.06</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432</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9</v>
      </c>
      <c r="D20" s="2425" t="s">
        <v>729</v>
      </c>
      <c r="E20" s="302" t="s">
        <v>712</v>
      </c>
      <c r="F20" s="322">
        <f>'数据-取费表'!B37</f>
        <v>0.02</v>
      </c>
      <c r="G20" s="1395"/>
      <c r="H20" s="982"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401.67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2.58</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-3</v>
      </c>
      <c r="K25" s="1095" t="s">
        <v>753</v>
      </c>
      <c r="L25" s="1096"/>
      <c r="M25" s="1097"/>
    </row>
    <row r="26" spans="1:37">
      <c r="A26" s="982" t="s">
        <v>397</v>
      </c>
      <c r="B26" s="302" t="s">
        <v>754</v>
      </c>
      <c r="C26" s="21">
        <f ca="1">ROUND((C19+C20)*F26,0)</f>
        <v>22</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516</v>
      </c>
      <c r="D29" s="1092"/>
      <c r="E29" s="1090"/>
      <c r="F29" s="1093"/>
      <c r="G29" s="1395"/>
      <c r="H29" s="334" t="s">
        <v>396</v>
      </c>
      <c r="I29" s="335" t="s">
        <v>768</v>
      </c>
      <c r="J29" s="336">
        <f ca="1">ROUND(J26/(1+F40)^F41,0)</f>
        <v>0</v>
      </c>
      <c r="K29" s="337" t="s">
        <v>769</v>
      </c>
      <c r="L29" s="338"/>
      <c r="M29" s="339">
        <f ca="1">INDIRECT("'数据-取费表'!k"&amp;$G$1)</f>
        <v>1009.6600000000001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5.56</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1.73</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3.77</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401.67</v>
      </c>
      <c r="G35" s="1383"/>
      <c r="H35" s="2693"/>
      <c r="I35" s="1397"/>
      <c r="J35" s="1398"/>
      <c r="K35" s="2697"/>
      <c r="L35" s="2696"/>
      <c r="M35" s="2696"/>
    </row>
    <row r="36" spans="1:18" ht="18" customHeight="1">
      <c r="A36" s="1102" t="s">
        <v>402</v>
      </c>
      <c r="B36" s="302" t="s">
        <v>738</v>
      </c>
      <c r="C36" s="21">
        <f ca="1">ROUND(C29*F36,2)</f>
        <v>2.58</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0.52</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0.17</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24</v>
      </c>
      <c r="D39" s="1095" t="s">
        <v>773</v>
      </c>
      <c r="E39" s="1096"/>
      <c r="F39" s="1097"/>
      <c r="G39" s="1383"/>
      <c r="H39" s="2696"/>
      <c r="I39" s="1397"/>
      <c r="J39" s="1398"/>
      <c r="K39" s="2700"/>
      <c r="L39" s="2696"/>
      <c r="M39" s="2696"/>
    </row>
    <row r="40" spans="1:18" ht="18" customHeight="1">
      <c r="A40" s="299" t="s">
        <v>395</v>
      </c>
      <c r="B40" s="300" t="s">
        <v>774</v>
      </c>
      <c r="C40" s="301">
        <f ca="1">ROUND(C39*(1-((1+F42)/(1+F40))^F41)/(F40-F42),0)</f>
        <v>311</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3080</v>
      </c>
      <c r="D43" s="337" t="s">
        <v>777</v>
      </c>
      <c r="E43" s="338" t="s">
        <v>778</v>
      </c>
      <c r="F43" s="339">
        <f ca="1">INDIRECT("'数据-取费表'!k"&amp;$G$1)</f>
        <v>1009.6600000000001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-344</v>
      </c>
      <c r="D46" s="1405" t="str">
        <f>C2</f>
        <v>万元</v>
      </c>
      <c r="E46" s="1399"/>
      <c r="F46" s="1399"/>
      <c r="I46" s="1406" t="s">
        <v>810</v>
      </c>
      <c r="J46" s="1407"/>
      <c r="K46" s="1408"/>
      <c r="L46" s="1409">
        <f ca="1">IF(M47="住宅",0,IF(L48&gt;J51,L60,J60))</f>
        <v>107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311</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107</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516</v>
      </c>
      <c r="R49" s="1419" t="s">
        <v>818</v>
      </c>
    </row>
    <row r="50" spans="1:18" s="1383" customFormat="1" ht="13.5" thickBot="1">
      <c r="A50" s="976"/>
      <c r="B50" s="979"/>
      <c r="C50" s="1118"/>
      <c r="D50" s="953"/>
      <c r="E50" s="1056" t="s">
        <v>697</v>
      </c>
      <c r="F50" s="1057">
        <f ca="1">F7</f>
        <v>1009.6600000000001</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-303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6" t="s">
        <v>837</v>
      </c>
      <c r="L53" s="3707"/>
      <c r="O53" s="1417" t="s">
        <v>409</v>
      </c>
      <c r="P53" s="1418" t="s">
        <v>838</v>
      </c>
      <c r="Q53" s="1419">
        <f ca="1">Q47+Q48</f>
        <v>418</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516</v>
      </c>
      <c r="D56" s="1446"/>
      <c r="E56" s="1447"/>
      <c r="F56" s="1439"/>
      <c r="I56" s="1448" t="s">
        <v>842</v>
      </c>
      <c r="J56" s="3477" t="s">
        <v>3530</v>
      </c>
      <c r="K56" s="1420" t="s">
        <v>843</v>
      </c>
      <c r="L56" s="1423" t="str">
        <f ca="1">IF(L48&lt;J51,"——",L48-J53)</f>
        <v>——</v>
      </c>
      <c r="O56" s="1417" t="s">
        <v>403</v>
      </c>
      <c r="P56" s="1418" t="s">
        <v>817</v>
      </c>
      <c r="Q56" s="1419">
        <f ca="1">C40+J29</f>
        <v>311</v>
      </c>
      <c r="R56" s="1419" t="s">
        <v>818</v>
      </c>
    </row>
    <row r="57" spans="1:18" s="1383" customFormat="1" ht="24.75" thickBot="1">
      <c r="A57" s="1450"/>
      <c r="B57" s="950" t="s">
        <v>767</v>
      </c>
      <c r="C57" s="238">
        <f ca="1">C29</f>
        <v>516</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372</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0.06</v>
      </c>
      <c r="D62" s="965" t="s">
        <v>786</v>
      </c>
      <c r="E62" s="950" t="s">
        <v>787</v>
      </c>
      <c r="F62" s="325">
        <f t="shared" si="0"/>
        <v>1.5</v>
      </c>
      <c r="I62" s="1461" t="s">
        <v>858</v>
      </c>
      <c r="J62" s="1462" t="s">
        <v>859</v>
      </c>
      <c r="K62" s="1462" t="s">
        <v>860</v>
      </c>
      <c r="L62" s="1462" t="s">
        <v>861</v>
      </c>
      <c r="M62" s="1463" t="s">
        <v>862</v>
      </c>
      <c r="O62" s="1417" t="s">
        <v>409</v>
      </c>
      <c r="P62" s="1418" t="s">
        <v>863</v>
      </c>
      <c r="Q62" s="1419">
        <f ca="1">Q56+Q57</f>
        <v>311</v>
      </c>
      <c r="R62" s="1419" t="s">
        <v>410</v>
      </c>
    </row>
    <row r="63" spans="1:18" s="1383" customFormat="1" ht="13.5" thickBot="1">
      <c r="A63" s="326"/>
      <c r="B63" s="956"/>
      <c r="C63" s="26"/>
      <c r="D63" s="966"/>
      <c r="E63" s="950" t="s">
        <v>788</v>
      </c>
      <c r="F63" s="303">
        <f t="shared" ca="1" si="0"/>
        <v>401.67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2.58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0.52</v>
      </c>
      <c r="D65" s="964" t="s">
        <v>743</v>
      </c>
      <c r="E65" s="950" t="s">
        <v>744</v>
      </c>
      <c r="F65" s="330">
        <f t="shared" ca="1" si="0"/>
        <v>1E-3</v>
      </c>
      <c r="I65" s="1461" t="s">
        <v>867</v>
      </c>
      <c r="J65" s="1462">
        <v>40</v>
      </c>
      <c r="K65" s="1462">
        <v>30</v>
      </c>
      <c r="L65" s="1462">
        <v>50</v>
      </c>
      <c r="M65" s="1464">
        <v>0.02</v>
      </c>
      <c r="O65" s="1417" t="s">
        <v>403</v>
      </c>
      <c r="P65" s="1418" t="s">
        <v>868</v>
      </c>
      <c r="Q65" s="1419">
        <f ca="1">C40+J29</f>
        <v>311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-303</v>
      </c>
      <c r="R67" s="1419" t="s">
        <v>870</v>
      </c>
    </row>
    <row r="68" spans="1:18" s="1383" customFormat="1" ht="16.5" thickBot="1">
      <c r="A68" s="947" t="s">
        <v>395</v>
      </c>
      <c r="B68" s="948" t="s">
        <v>774</v>
      </c>
      <c r="C68" s="301">
        <f ca="1">ROUND(C67*(1-((1+F70)/(1+F68))^F69)/(F68-F70),0)</f>
        <v>-33</v>
      </c>
      <c r="D68" s="965" t="s">
        <v>758</v>
      </c>
      <c r="E68" s="950" t="s">
        <v>759</v>
      </c>
      <c r="F68" s="312">
        <f ca="1">F40</f>
        <v>0.05</v>
      </c>
      <c r="O68" s="1427" t="s">
        <v>406</v>
      </c>
      <c r="P68" s="1466" t="s">
        <v>871</v>
      </c>
      <c r="Q68" s="1419">
        <f ca="1">ROUND(Q69-Q70*Q71,0)</f>
        <v>-15</v>
      </c>
      <c r="R68" s="1419" t="s">
        <v>414</v>
      </c>
    </row>
    <row r="69" spans="1:18" s="1383" customFormat="1" ht="13.5" thickBot="1">
      <c r="A69" s="951"/>
      <c r="B69" s="952"/>
      <c r="C69" s="306"/>
      <c r="D69" s="970" t="s">
        <v>762</v>
      </c>
      <c r="E69" s="950" t="s">
        <v>763</v>
      </c>
      <c r="F69" s="333">
        <f ca="1">F41</f>
        <v>16.25</v>
      </c>
      <c r="O69" s="1427" t="s">
        <v>411</v>
      </c>
      <c r="P69" s="1466" t="s">
        <v>872</v>
      </c>
      <c r="Q69" s="1419">
        <f ca="1">C39</f>
        <v>24</v>
      </c>
      <c r="R69" s="1419" t="s">
        <v>818</v>
      </c>
    </row>
    <row r="70" spans="1:18" s="1383" customFormat="1" ht="13.5" thickBot="1">
      <c r="A70" s="954"/>
      <c r="B70" s="955"/>
      <c r="C70" s="310"/>
      <c r="D70" s="966"/>
      <c r="E70" s="950" t="s">
        <v>766</v>
      </c>
      <c r="F70" s="1054"/>
      <c r="O70" s="1427" t="s">
        <v>412</v>
      </c>
      <c r="P70" s="1466" t="s">
        <v>873</v>
      </c>
      <c r="Q70" s="1419">
        <f ca="1">C13</f>
        <v>516</v>
      </c>
      <c r="R70" s="1419" t="s">
        <v>818</v>
      </c>
    </row>
    <row r="71" spans="1:18" s="1383" customFormat="1" ht="13.5" thickBot="1">
      <c r="A71" s="971" t="s">
        <v>396</v>
      </c>
      <c r="B71" s="972" t="s">
        <v>776</v>
      </c>
      <c r="C71" s="336">
        <f ca="1">ROUND(C68*10000/F71,0)</f>
        <v>-327</v>
      </c>
      <c r="D71" s="973" t="s">
        <v>777</v>
      </c>
      <c r="E71" s="974" t="s">
        <v>778</v>
      </c>
      <c r="F71" s="339">
        <f ca="1">F43</f>
        <v>1009.6600000000001</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39</v>
      </c>
      <c r="D75" s="1383"/>
      <c r="E75" s="1383"/>
      <c r="F75" s="1383"/>
      <c r="K75" s="1401"/>
      <c r="L75" s="1383"/>
      <c r="O75" s="1417" t="s">
        <v>409</v>
      </c>
      <c r="P75" s="1418" t="s">
        <v>838</v>
      </c>
      <c r="Q75" s="1419">
        <f ca="1">Q65+Q66</f>
        <v>311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1.625</v>
      </c>
    </row>
    <row r="81" spans="2:3">
      <c r="B81" s="270" t="s">
        <v>801</v>
      </c>
      <c r="C81" s="238"/>
    </row>
    <row r="82" spans="2:3">
      <c r="B82" s="273" t="s">
        <v>802</v>
      </c>
      <c r="C82" s="275">
        <f ca="1">1-C83</f>
        <v>-0.65900000000000003</v>
      </c>
    </row>
    <row r="83" spans="2:3">
      <c r="B83" s="273" t="s">
        <v>803</v>
      </c>
      <c r="C83" s="274">
        <f ca="1">ROUND(C13/C40,3)</f>
        <v>1.659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37"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3399</v>
      </c>
      <c r="D1" s="1361" t="s">
        <v>3522</v>
      </c>
      <c r="E1" s="1362" t="s">
        <v>678</v>
      </c>
      <c r="F1" s="1062">
        <f ca="1">J53</f>
        <v>16.25</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833</v>
      </c>
      <c r="C2" s="1386" t="s">
        <v>805</v>
      </c>
      <c r="D2" s="1386"/>
      <c r="E2" s="1387"/>
      <c r="F2" s="1388"/>
      <c r="G2" s="2702"/>
      <c r="H2" s="2691"/>
      <c r="I2" s="2691"/>
      <c r="J2" s="2691"/>
      <c r="K2" s="2692"/>
      <c r="L2" s="2691"/>
      <c r="M2" s="2691"/>
    </row>
    <row r="3" spans="1:37" ht="18" customHeight="1" thickBot="1">
      <c r="A3" s="1389" t="s">
        <v>806</v>
      </c>
      <c r="B3" s="1390">
        <f ca="1">IF(ISERROR(B2*10000/F43),0,ROUND(B2*10000/F43,0))</f>
        <v>1579</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46</v>
      </c>
      <c r="D5" s="1363" t="s">
        <v>693</v>
      </c>
      <c r="E5" s="1071"/>
      <c r="F5" s="1072"/>
      <c r="G5" s="1383"/>
      <c r="H5" s="299">
        <v>1</v>
      </c>
      <c r="I5" s="300" t="s">
        <v>692</v>
      </c>
      <c r="J5" s="1070">
        <f ca="1">J6+J10+J12</f>
        <v>0</v>
      </c>
      <c r="K5" s="1363" t="s">
        <v>693</v>
      </c>
      <c r="L5" s="1071"/>
      <c r="M5" s="1072"/>
    </row>
    <row r="6" spans="1:37" ht="18" customHeight="1">
      <c r="A6" s="1069" t="s">
        <v>398</v>
      </c>
      <c r="B6" s="3708" t="s">
        <v>694</v>
      </c>
      <c r="C6" s="1074">
        <f ca="1">ROUND(F6*F8*F7*(1-F9)/10000,0)</f>
        <v>46</v>
      </c>
      <c r="D6" s="155" t="s">
        <v>2107</v>
      </c>
      <c r="E6" s="302" t="s">
        <v>696</v>
      </c>
      <c r="F6" s="303">
        <f ca="1">INDIRECT("'数据-取费表'!u"&amp;$G$1)</f>
        <v>300</v>
      </c>
      <c r="G6" s="1383"/>
      <c r="H6" s="1069" t="s">
        <v>398</v>
      </c>
      <c r="I6" s="3708" t="s">
        <v>694</v>
      </c>
      <c r="J6" s="301">
        <f ca="1">ROUND(M6*M8*M7*(1-M9)/10000,0)</f>
        <v>0</v>
      </c>
      <c r="K6" s="155" t="s">
        <v>2106</v>
      </c>
      <c r="L6" s="302" t="s">
        <v>696</v>
      </c>
      <c r="M6" s="303">
        <f ca="1">INDIRECT("'数据-取费表'!z"&amp;$G$1)</f>
        <v>0</v>
      </c>
    </row>
    <row r="7" spans="1:37" ht="18" customHeight="1">
      <c r="A7" s="1073"/>
      <c r="B7" s="3709"/>
      <c r="C7" s="1075"/>
      <c r="D7" s="307"/>
      <c r="E7" s="3454" t="s">
        <v>697</v>
      </c>
      <c r="F7" s="303">
        <f ca="1">IF(INDIRECT("'数据-取费表'!ah"&amp;$G$1)="",INDIRECT("'数据-取费表'!k"&amp;$G$1),INDIRECT("'数据-取费表'!ah"&amp;$G$1))</f>
        <v>150</v>
      </c>
      <c r="G7" s="1383"/>
      <c r="H7" s="304"/>
      <c r="I7" s="3709"/>
      <c r="J7" s="306"/>
      <c r="K7" s="307"/>
      <c r="L7" s="302" t="s">
        <v>697</v>
      </c>
      <c r="M7" s="303">
        <f ca="1">F7</f>
        <v>150</v>
      </c>
    </row>
    <row r="8" spans="1:37" ht="18" customHeight="1">
      <c r="A8" s="304"/>
      <c r="B8" s="3709"/>
      <c r="C8" s="306"/>
      <c r="D8" s="307"/>
      <c r="E8" s="302" t="s">
        <v>698</v>
      </c>
      <c r="F8" s="303">
        <f ca="1">INDIRECT("'数据-取费表'!ai"&amp;$G$1)</f>
        <v>12</v>
      </c>
      <c r="G8" s="1383"/>
      <c r="H8" s="304"/>
      <c r="I8" s="3709"/>
      <c r="J8" s="306"/>
      <c r="K8" s="307"/>
      <c r="L8" s="302" t="s">
        <v>698</v>
      </c>
      <c r="M8" s="303">
        <f ca="1">INDIRECT("'数据-取费表'!ai"&amp;$G$1)</f>
        <v>12</v>
      </c>
    </row>
    <row r="9" spans="1:37" ht="18" customHeight="1">
      <c r="A9" s="304"/>
      <c r="B9" s="3710"/>
      <c r="C9" s="306"/>
      <c r="D9" s="307"/>
      <c r="E9" s="302" t="s">
        <v>699</v>
      </c>
      <c r="F9" s="312">
        <f ca="1">INDIRECT("'数据-取费表'!w"&amp;$G$1)</f>
        <v>0.15</v>
      </c>
      <c r="G9" s="1383"/>
      <c r="H9" s="304"/>
      <c r="I9" s="371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2702</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2017</v>
      </c>
      <c r="D14" s="3450" t="s">
        <v>708</v>
      </c>
      <c r="E14" s="3448"/>
      <c r="F14" s="319"/>
      <c r="G14" s="1383"/>
      <c r="H14" s="982" t="s">
        <v>398</v>
      </c>
      <c r="I14" s="302" t="s">
        <v>709</v>
      </c>
      <c r="J14" s="21">
        <f ca="1">C29</f>
        <v>2702</v>
      </c>
      <c r="K14" s="3453"/>
      <c r="L14" s="807"/>
      <c r="M14" s="808"/>
    </row>
    <row r="15" spans="1:37" s="1396" customFormat="1" ht="18" customHeight="1" thickBot="1">
      <c r="A15" s="982" t="s">
        <v>399</v>
      </c>
      <c r="B15" s="302" t="s">
        <v>710</v>
      </c>
      <c r="C15" s="21">
        <f ca="1">ROUND(C14*F15,0)</f>
        <v>101</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3451"/>
      <c r="M16" s="1072"/>
    </row>
    <row r="17" spans="1:37" s="1396" customFormat="1" ht="18" customHeight="1">
      <c r="A17" s="982" t="s">
        <v>681</v>
      </c>
      <c r="B17" s="302" t="s">
        <v>716</v>
      </c>
      <c r="C17" s="21">
        <f ca="1">ROUND(F17*(F43+INDIRECT("'数据-取费表'!S"&amp;$G$1))/10000,0)</f>
        <v>112</v>
      </c>
      <c r="D17" s="302" t="s">
        <v>717</v>
      </c>
      <c r="E17" s="302" t="s">
        <v>718</v>
      </c>
      <c r="F17" s="23">
        <f>'数据-取费表'!B35</f>
        <v>200</v>
      </c>
      <c r="G17" s="1395"/>
      <c r="H17" s="982" t="s">
        <v>398</v>
      </c>
      <c r="I17" s="302" t="s">
        <v>719</v>
      </c>
      <c r="J17" s="2315">
        <f ca="1">ROUND(IF(AND(项目基本情况!B11="自然人",项目基本情况!B10="北京市"),J6*M17/(1+'数据-取费表'!C42),J18+J19+J20),2)</f>
        <v>0.31</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2260</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45</v>
      </c>
      <c r="D20" s="2425" t="s">
        <v>729</v>
      </c>
      <c r="E20" s="302" t="s">
        <v>712</v>
      </c>
      <c r="F20" s="322">
        <f>'数据-取费表'!B37</f>
        <v>0.02</v>
      </c>
      <c r="G20" s="1395"/>
      <c r="H20" s="982" t="s">
        <v>680</v>
      </c>
      <c r="I20" s="155" t="s">
        <v>730</v>
      </c>
      <c r="J20" s="22">
        <f ca="1">ROUND(M20*M21/10000,2)</f>
        <v>0.31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2098.04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13.51</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82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-14</v>
      </c>
      <c r="K25" s="1095" t="s">
        <v>753</v>
      </c>
      <c r="L25" s="1096"/>
      <c r="M25" s="1097"/>
    </row>
    <row r="26" spans="1:37">
      <c r="A26" s="982" t="s">
        <v>397</v>
      </c>
      <c r="B26" s="302" t="s">
        <v>754</v>
      </c>
      <c r="C26" s="21">
        <f ca="1">ROUND((C19+C20)*F26,0)</f>
        <v>115</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2702</v>
      </c>
      <c r="D29" s="1092"/>
      <c r="E29" s="1090"/>
      <c r="F29" s="1093"/>
      <c r="G29" s="1395"/>
      <c r="H29" s="334" t="s">
        <v>396</v>
      </c>
      <c r="I29" s="335" t="s">
        <v>768</v>
      </c>
      <c r="J29" s="336">
        <f ca="1">ROUND(J26/(1+F40)^F41,0)</f>
        <v>0</v>
      </c>
      <c r="K29" s="337" t="s">
        <v>769</v>
      </c>
      <c r="L29" s="338"/>
      <c r="M29" s="339">
        <f ca="1">INDIRECT("'数据-取费表'!k"&amp;$G$1)</f>
        <v>5273.85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24</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7.98</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2.41</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0.31</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2098.04</v>
      </c>
      <c r="G35" s="1383"/>
      <c r="H35" s="2693"/>
      <c r="I35" s="1397"/>
      <c r="J35" s="1398"/>
      <c r="K35" s="2697"/>
      <c r="L35" s="2696"/>
      <c r="M35" s="2696"/>
    </row>
    <row r="36" spans="1:18" ht="18" customHeight="1">
      <c r="A36" s="1102" t="s">
        <v>402</v>
      </c>
      <c r="B36" s="302" t="s">
        <v>738</v>
      </c>
      <c r="C36" s="21">
        <f ca="1">ROUND(C29*F36,2)</f>
        <v>13.51</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2.7</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0.23</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22</v>
      </c>
      <c r="D39" s="1095" t="s">
        <v>773</v>
      </c>
      <c r="E39" s="1096"/>
      <c r="F39" s="1097"/>
      <c r="G39" s="1383"/>
      <c r="H39" s="2696"/>
      <c r="I39" s="1397"/>
      <c r="J39" s="1398"/>
      <c r="K39" s="2700"/>
      <c r="L39" s="2696"/>
      <c r="M39" s="2696"/>
    </row>
    <row r="40" spans="1:18" ht="18" customHeight="1">
      <c r="A40" s="299" t="s">
        <v>395</v>
      </c>
      <c r="B40" s="300" t="s">
        <v>774</v>
      </c>
      <c r="C40" s="301">
        <f ca="1">ROUND(C39*(1-((1+F42)/(1+F40))^F41)/(F40-F42),0)</f>
        <v>275</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521</v>
      </c>
      <c r="D43" s="337" t="s">
        <v>777</v>
      </c>
      <c r="E43" s="338" t="s">
        <v>778</v>
      </c>
      <c r="F43" s="339">
        <f ca="1">INDIRECT("'数据-取费表'!k"&amp;$G$1)</f>
        <v>5273.85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-450</v>
      </c>
      <c r="D46" s="1405" t="str">
        <f>C2</f>
        <v>万元</v>
      </c>
      <c r="E46" s="1399"/>
      <c r="F46" s="1399"/>
      <c r="I46" s="1406" t="s">
        <v>810</v>
      </c>
      <c r="J46" s="1407"/>
      <c r="K46" s="1408"/>
      <c r="L46" s="1409">
        <f ca="1">IF(M47="住宅",0,IF(L48&gt;J51,L60,J60))</f>
        <v>558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275</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558</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2702</v>
      </c>
      <c r="R49" s="1419" t="s">
        <v>818</v>
      </c>
    </row>
    <row r="50" spans="1:18" s="1383" customFormat="1" ht="13.5" thickBot="1">
      <c r="A50" s="976"/>
      <c r="B50" s="979"/>
      <c r="C50" s="1118"/>
      <c r="D50" s="953"/>
      <c r="E50" s="1056" t="s">
        <v>697</v>
      </c>
      <c r="F50" s="1057">
        <f ca="1">F7</f>
        <v>150</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-3728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6" t="s">
        <v>837</v>
      </c>
      <c r="L53" s="3707"/>
      <c r="O53" s="1417" t="s">
        <v>409</v>
      </c>
      <c r="P53" s="1418" t="s">
        <v>838</v>
      </c>
      <c r="Q53" s="1419">
        <f ca="1">Q47+Q48</f>
        <v>833</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2702</v>
      </c>
      <c r="D56" s="1446"/>
      <c r="E56" s="1447"/>
      <c r="F56" s="1439"/>
      <c r="I56" s="1448" t="s">
        <v>842</v>
      </c>
      <c r="J56" s="3477" t="s">
        <v>3530</v>
      </c>
      <c r="K56" s="1420" t="s">
        <v>843</v>
      </c>
      <c r="L56" s="1423" t="str">
        <f ca="1">IF(L48&lt;J51,"——",L48-J53)</f>
        <v>——</v>
      </c>
      <c r="O56" s="1417" t="s">
        <v>403</v>
      </c>
      <c r="P56" s="1418" t="s">
        <v>817</v>
      </c>
      <c r="Q56" s="1419">
        <f ca="1">C40+J29</f>
        <v>275</v>
      </c>
      <c r="R56" s="1419" t="s">
        <v>818</v>
      </c>
    </row>
    <row r="57" spans="1:18" s="1383" customFormat="1" ht="24.75" thickBot="1">
      <c r="A57" s="1450"/>
      <c r="B57" s="950" t="s">
        <v>767</v>
      </c>
      <c r="C57" s="238">
        <f ca="1">C29</f>
        <v>2702</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16</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1948</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558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0.31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275</v>
      </c>
      <c r="R62" s="1419" t="s">
        <v>410</v>
      </c>
    </row>
    <row r="63" spans="1:18" s="1383" customFormat="1" ht="13.5" thickBot="1">
      <c r="A63" s="326"/>
      <c r="B63" s="956"/>
      <c r="C63" s="26"/>
      <c r="D63" s="966"/>
      <c r="E63" s="950" t="s">
        <v>788</v>
      </c>
      <c r="F63" s="303">
        <f t="shared" ca="1" si="0"/>
        <v>2098.04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13.51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2.7</v>
      </c>
      <c r="D65" s="964" t="s">
        <v>743</v>
      </c>
      <c r="E65" s="950" t="s">
        <v>744</v>
      </c>
      <c r="F65" s="330">
        <f t="shared" ca="1" si="0"/>
        <v>1E-3</v>
      </c>
      <c r="I65" s="1461" t="s">
        <v>867</v>
      </c>
      <c r="J65" s="1462">
        <v>40</v>
      </c>
      <c r="K65" s="1462">
        <v>30</v>
      </c>
      <c r="L65" s="1462">
        <v>50</v>
      </c>
      <c r="M65" s="1464">
        <v>0.02</v>
      </c>
      <c r="O65" s="1417" t="s">
        <v>403</v>
      </c>
      <c r="P65" s="1418" t="s">
        <v>868</v>
      </c>
      <c r="Q65" s="1419">
        <f ca="1">C40+J29</f>
        <v>275</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-16</v>
      </c>
      <c r="D67" s="963" t="s">
        <v>753</v>
      </c>
      <c r="E67" s="968"/>
      <c r="F67" s="969"/>
      <c r="O67" s="1427" t="s">
        <v>405</v>
      </c>
      <c r="P67" s="1418" t="s">
        <v>850</v>
      </c>
      <c r="Q67" s="1465">
        <f ca="1">L51</f>
        <v>-3728</v>
      </c>
      <c r="R67" s="1419" t="s">
        <v>870</v>
      </c>
    </row>
    <row r="68" spans="1:18" s="1383" customFormat="1" ht="16.5" thickBot="1">
      <c r="A68" s="947" t="s">
        <v>395</v>
      </c>
      <c r="B68" s="948" t="s">
        <v>774</v>
      </c>
      <c r="C68" s="301">
        <f ca="1">ROUND(C67*(1-((1+F70)/(1+F68))^F69)/(F68-F70),0)</f>
        <v>-175</v>
      </c>
      <c r="D68" s="965" t="s">
        <v>758</v>
      </c>
      <c r="E68" s="950" t="s">
        <v>759</v>
      </c>
      <c r="F68" s="312">
        <f ca="1">F40</f>
        <v>0.05</v>
      </c>
      <c r="O68" s="1427" t="s">
        <v>406</v>
      </c>
      <c r="P68" s="1466" t="s">
        <v>871</v>
      </c>
      <c r="Q68" s="1419">
        <f ca="1">ROUND(Q69-Q70*Q71,0)</f>
        <v>-181</v>
      </c>
      <c r="R68" s="1419" t="s">
        <v>414</v>
      </c>
    </row>
    <row r="69" spans="1:18" s="1383" customFormat="1" ht="13.5" thickBot="1">
      <c r="A69" s="951"/>
      <c r="B69" s="952"/>
      <c r="C69" s="306"/>
      <c r="D69" s="970" t="s">
        <v>762</v>
      </c>
      <c r="E69" s="950" t="s">
        <v>763</v>
      </c>
      <c r="F69" s="333">
        <f ca="1">F41</f>
        <v>16.25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2702</v>
      </c>
      <c r="R70" s="1419" t="s">
        <v>818</v>
      </c>
    </row>
    <row r="71" spans="1:18" s="1383" customFormat="1" ht="13.5" thickBot="1">
      <c r="A71" s="971" t="s">
        <v>396</v>
      </c>
      <c r="B71" s="972" t="s">
        <v>776</v>
      </c>
      <c r="C71" s="336">
        <f ca="1">ROUND(C68*10000/F71,0)</f>
        <v>-332</v>
      </c>
      <c r="D71" s="973" t="s">
        <v>777</v>
      </c>
      <c r="E71" s="974" t="s">
        <v>778</v>
      </c>
      <c r="F71" s="339">
        <f ca="1">F43</f>
        <v>5273.85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203</v>
      </c>
      <c r="D75" s="1383"/>
      <c r="E75" s="1383"/>
      <c r="F75" s="1383"/>
      <c r="K75" s="1401"/>
      <c r="L75" s="1383"/>
      <c r="O75" s="1417" t="s">
        <v>409</v>
      </c>
      <c r="P75" s="1418" t="s">
        <v>838</v>
      </c>
      <c r="Q75" s="1419">
        <f ca="1">Q65+Q66</f>
        <v>275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-8.2270000000000003</v>
      </c>
    </row>
    <row r="80" spans="1:18">
      <c r="B80" s="340" t="s">
        <v>800</v>
      </c>
      <c r="C80" s="274">
        <f ca="1">ROUND(C75/C39,3)</f>
        <v>9.2270000000000003</v>
      </c>
    </row>
    <row r="81" spans="2:3">
      <c r="B81" s="270" t="s">
        <v>801</v>
      </c>
      <c r="C81" s="238"/>
    </row>
    <row r="82" spans="2:3">
      <c r="B82" s="273" t="s">
        <v>802</v>
      </c>
      <c r="C82" s="275">
        <f ca="1">1-C83</f>
        <v>-8.8249999999999993</v>
      </c>
    </row>
    <row r="83" spans="2:3">
      <c r="B83" s="273" t="s">
        <v>803</v>
      </c>
      <c r="C83" s="274">
        <f ca="1">ROUND(C13/C40,3)</f>
        <v>9.8249999999999993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O50" sqref="O50"/>
      <selection pane="bottomLeft" activeCell="O50" sqref="O5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3" t="s">
        <v>2082</v>
      </c>
      <c r="D1" s="3764"/>
      <c r="E1" s="3764"/>
      <c r="F1" s="3764"/>
      <c r="G1" s="3764"/>
      <c r="H1" s="3764"/>
      <c r="I1" s="3764"/>
      <c r="J1" s="3764"/>
      <c r="K1" s="3764"/>
      <c r="L1" s="3764"/>
      <c r="M1" s="3764"/>
      <c r="N1" s="3764"/>
      <c r="O1" s="3764"/>
      <c r="P1" s="3764"/>
      <c r="Q1" s="3764"/>
      <c r="R1" s="3764"/>
      <c r="S1" s="376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50" sqref="O5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9">
        <f ca="1">SUMIF(B6:B13,"&lt;&gt;#ref!",B6:B13)</f>
        <v>5019</v>
      </c>
      <c r="C2" s="2144" t="s">
        <v>2072</v>
      </c>
      <c r="D2" s="2144" t="s">
        <v>2073</v>
      </c>
      <c r="E2" s="2609">
        <f ca="1">SUMIF(E6:E13,"&lt;&gt;#ref!",E6:E13)</f>
        <v>34710.700000000004</v>
      </c>
      <c r="F2" s="2789"/>
      <c r="G2" s="2789"/>
      <c r="H2" s="2789"/>
      <c r="I2" s="2789"/>
      <c r="J2" s="2789"/>
      <c r="K2" s="2789"/>
      <c r="L2" s="2789"/>
      <c r="M2" s="2789"/>
      <c r="N2" s="2789"/>
      <c r="O2" s="2789"/>
      <c r="P2" s="2789"/>
    </row>
    <row r="3" spans="1:16" ht="15.75">
      <c r="A3" s="2144" t="s">
        <v>2074</v>
      </c>
      <c r="B3" s="2599">
        <f ca="1">ROUND(B2*10000/E2,0)</f>
        <v>1446</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2075</v>
      </c>
      <c r="B5" s="2607" t="s">
        <v>2076</v>
      </c>
      <c r="C5" s="2145"/>
      <c r="D5" s="2789"/>
      <c r="E5" s="2608" t="s">
        <v>2077</v>
      </c>
      <c r="F5" s="2789"/>
      <c r="G5" s="2789"/>
      <c r="H5" s="2789"/>
      <c r="I5" s="2789"/>
      <c r="J5" s="2789"/>
      <c r="K5" s="2789"/>
      <c r="L5" s="2789"/>
      <c r="M5" s="2789"/>
      <c r="N5" s="2789"/>
      <c r="O5" s="2789"/>
      <c r="P5" s="2789"/>
    </row>
    <row r="6" spans="1:16" ht="15.75">
      <c r="A6" s="2606" t="s">
        <v>2078</v>
      </c>
      <c r="B6" s="2599">
        <f ca="1">SUMIF(INDIRECT("'"&amp;A6&amp;"'"&amp;"!A:A"),"总价",INDIRECT("'"&amp;A6&amp;"'"&amp;"!B:B"))</f>
        <v>5019</v>
      </c>
      <c r="C6" s="2144" t="s">
        <v>2072</v>
      </c>
      <c r="D6" s="2789"/>
      <c r="E6" s="2609">
        <f ca="1">SUMIF(INDIRECT("'"&amp;A6&amp;"'"&amp;"!C:C"),"建筑面积",INDIRECT("'"&amp;A6&amp;"'"&amp;"!D:D"))</f>
        <v>34710.700000000004</v>
      </c>
      <c r="F6" s="2789"/>
      <c r="G6" s="2789"/>
      <c r="H6" s="2789"/>
      <c r="I6" s="2789"/>
      <c r="J6" s="2789"/>
      <c r="K6" s="2789"/>
      <c r="L6" s="2789"/>
      <c r="M6" s="2789"/>
      <c r="N6" s="2789"/>
      <c r="O6" s="2789"/>
      <c r="P6" s="2789"/>
    </row>
    <row r="7" spans="1:16" ht="15.75">
      <c r="A7" s="2606"/>
      <c r="B7" s="2599" t="e">
        <f ca="1">SUMIF(INDIRECT("'"&amp;A7&amp;"'"&amp;"!A:A"),"总价",INDIRECT("'"&amp;A7&amp;"'"&amp;"!B:B"))</f>
        <v>#REF!</v>
      </c>
      <c r="C7" s="2144" t="s">
        <v>2072</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4" t="s">
        <v>2072</v>
      </c>
      <c r="D8" s="2789"/>
      <c r="E8" s="2609" t="e">
        <f t="shared" ca="1" si="0"/>
        <v>#REF!</v>
      </c>
      <c r="F8" s="2789"/>
      <c r="G8" s="2789"/>
      <c r="H8" s="2789"/>
      <c r="I8" s="2789"/>
      <c r="J8" s="2789"/>
      <c r="K8" s="2789"/>
      <c r="L8" s="2789"/>
      <c r="M8" s="2789"/>
      <c r="N8" s="2789"/>
      <c r="O8" s="2789"/>
      <c r="P8" s="2789"/>
    </row>
    <row r="9" spans="1:16" ht="15.75">
      <c r="A9" s="2606"/>
      <c r="B9" s="2599" t="e">
        <f t="shared" ca="1" si="1"/>
        <v>#REF!</v>
      </c>
      <c r="C9" s="2144" t="s">
        <v>2072</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4" t="s">
        <v>2072</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4" t="s">
        <v>2072</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4" t="s">
        <v>2072</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4" t="s">
        <v>2072</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34710.700000000004</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5019</v>
      </c>
      <c r="C2" s="1998" t="s">
        <v>1933</v>
      </c>
      <c r="D2" s="1999" t="s">
        <v>1934</v>
      </c>
      <c r="E2" s="3418" t="s">
        <v>3</v>
      </c>
      <c r="F2" s="1999" t="s">
        <v>1935</v>
      </c>
      <c r="G2" s="2000" t="str">
        <f>IF(E2="商业",项目基本情况!B37,IF(E2="办公",项目基本情况!C37,IF(E2="住宅",项目基本情况!D37,IF(E2="工业",项目基本情况!E37,项目基本情况!F37))))</f>
        <v>八级</v>
      </c>
      <c r="H2" s="1999" t="s">
        <v>1936</v>
      </c>
      <c r="I2" s="2000" t="str">
        <f>IF(E2="商业",项目基本情况!B38,IF(E2="办公",项目基本情况!C38,IF(E2="住宅",项目基本情况!D38,IF(E2="工业",项目基本情况!E38,项目基本情况!F38))))</f>
        <v>Ⅷ-顺5</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1.5418000000000001</v>
      </c>
      <c r="T2" s="3357">
        <f t="shared" ref="T2:T16" si="0">ROUND($C$5*$C$22*$C$23*$C$24*S2*$C$28,0)</f>
        <v>2359</v>
      </c>
      <c r="U2" s="1212"/>
      <c r="V2" s="3357">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1446</v>
      </c>
      <c r="C3" s="1998" t="s">
        <v>1939</v>
      </c>
      <c r="D3" s="1999" t="s">
        <v>1940</v>
      </c>
      <c r="E3" s="3416" t="s">
        <v>3501</v>
      </c>
      <c r="F3" s="2003" t="s">
        <v>3502</v>
      </c>
      <c r="G3" s="752">
        <f>IF(F3="宗地容积率",'数据-汇总表'!I4,IF(F3="估价对象容积率",'数据-汇总表'!I6,'数据-汇总表'!I7))</f>
        <v>1.79</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1.1883999999999999</v>
      </c>
      <c r="T3" s="3357">
        <f t="shared" si="0"/>
        <v>1818</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73"/>
      <c r="B4" s="3774"/>
      <c r="C4" s="3774"/>
      <c r="D4" s="3775"/>
      <c r="E4" s="3775"/>
      <c r="F4" s="3775"/>
      <c r="G4" s="3775"/>
      <c r="H4" s="3775"/>
      <c r="I4" s="3775"/>
      <c r="J4" s="3776"/>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0.96940000000000004</v>
      </c>
      <c r="T4" s="3357">
        <f t="shared" si="0"/>
        <v>1483</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1147</v>
      </c>
      <c r="D5" s="1338">
        <f>ROUND(C6*C17+C20,0)</f>
        <v>1147</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0.82299999999999995</v>
      </c>
      <c r="T5" s="3357">
        <f t="shared" si="0"/>
        <v>1259</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1100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0.74980000000000002</v>
      </c>
      <c r="T6" s="3357">
        <f t="shared" si="0"/>
        <v>1147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1953</v>
      </c>
      <c r="X7" s="1213" t="str">
        <f>G2</f>
        <v>八级</v>
      </c>
      <c r="Y7" s="1213" t="s">
        <v>1954</v>
      </c>
      <c r="Z7" s="1214">
        <f>G3</f>
        <v>1.79</v>
      </c>
      <c r="AA7" s="1215"/>
      <c r="AB7" s="1215"/>
      <c r="AC7" s="1216"/>
      <c r="AD7" s="1217"/>
      <c r="AE7" s="1217"/>
      <c r="AF7" s="1217"/>
      <c r="AG7" s="1217"/>
      <c r="AH7" s="1217"/>
      <c r="AI7" s="1217"/>
      <c r="AJ7" s="1218"/>
    </row>
    <row r="8" spans="1:36" ht="15">
      <c r="A8" s="3295"/>
      <c r="B8" s="170" t="s">
        <v>1955</v>
      </c>
      <c r="C8" s="2025"/>
      <c r="D8" s="756" t="s">
        <v>112</v>
      </c>
      <c r="E8" s="757" t="e">
        <f>ROUND(C11/E7,4)</f>
        <v>#DIV/0!</v>
      </c>
      <c r="F8" s="2026" t="s">
        <v>1956</v>
      </c>
      <c r="G8" s="2027"/>
      <c r="H8" s="2027"/>
      <c r="I8" s="2027"/>
      <c r="J8" s="2028"/>
      <c r="K8" s="1119"/>
      <c r="L8" s="2002" t="s">
        <v>1957</v>
      </c>
      <c r="M8" s="864">
        <f>SUMPRODUCT((区片价!B234:B276=I2)*(区片价!C3:G3=E2)*(区片价!C234:G276))</f>
        <v>1100</v>
      </c>
      <c r="N8" s="866">
        <f>SUMPRODUCT((因素修正幅度!B234:B276=I2)*(因素修正幅度!C3:G3=E2)*(因素修正幅度!C234:G276))</f>
        <v>0.1</v>
      </c>
      <c r="O8" s="1119"/>
      <c r="P8" s="1119"/>
      <c r="Q8" s="1119"/>
      <c r="R8" s="1211">
        <v>7</v>
      </c>
      <c r="S8" s="1212"/>
      <c r="T8" s="3357">
        <f t="shared" si="0"/>
        <v>0</v>
      </c>
      <c r="U8" s="1212"/>
      <c r="V8" s="3357">
        <f t="shared" si="1"/>
        <v>0</v>
      </c>
      <c r="W8" s="3770" t="s">
        <v>1958</v>
      </c>
      <c r="X8" s="3771"/>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72"/>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7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1980</v>
      </c>
      <c r="C13" s="755">
        <f>ROUND(C16*D16*E16*F16*G16*H16*I16*J16,4)</f>
        <v>0</v>
      </c>
      <c r="D13" s="2034" t="s">
        <v>1981</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3247</v>
      </c>
      <c r="G14" s="3308" t="s">
        <v>3247</v>
      </c>
      <c r="H14" s="3308" t="s">
        <v>3247</v>
      </c>
      <c r="I14" s="3308" t="s">
        <v>3247</v>
      </c>
      <c r="J14" s="3308" t="s">
        <v>3247</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3253</v>
      </c>
      <c r="E19" s="3334"/>
      <c r="F19" s="3335" t="s">
        <v>3256</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777" t="s">
        <v>3258</v>
      </c>
      <c r="B20" s="167" t="s">
        <v>1992</v>
      </c>
      <c r="C20" s="3321">
        <f>ROUND(IF(F21="与级别开发程度一致",0,(G21-E21)/C21),0)</f>
        <v>47</v>
      </c>
      <c r="D20" s="3337" t="s">
        <v>1996</v>
      </c>
      <c r="E20" s="3338"/>
      <c r="F20" s="3783" t="s">
        <v>1993</v>
      </c>
      <c r="G20" s="3784"/>
      <c r="H20" s="3322" t="s">
        <v>3384</v>
      </c>
      <c r="I20" s="3322" t="s">
        <v>3385</v>
      </c>
      <c r="J20" s="3323" t="s">
        <v>3386</v>
      </c>
      <c r="K20" s="2046" t="s">
        <v>3387</v>
      </c>
      <c r="L20" s="2046" t="s">
        <v>3388</v>
      </c>
      <c r="M20" s="2046" t="s">
        <v>3389</v>
      </c>
      <c r="N20" s="2046" t="s">
        <v>3390</v>
      </c>
      <c r="O20" s="2047" t="s">
        <v>3503</v>
      </c>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778"/>
      <c r="B21" s="2163" t="s">
        <v>1995</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3504</v>
      </c>
      <c r="G21" s="2156">
        <f>SUM(H21:O21)</f>
        <v>255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30</v>
      </c>
      <c r="O21" s="2166">
        <f>SUMPRODUCT((七通一平=O20)*(修正!B1:M1=G2)*(修正!B8:M16))</f>
        <v>10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1998</v>
      </c>
      <c r="C22" s="2159">
        <f>SUMIF(修正!C20:C51,E3,修正!E20:E51)</f>
        <v>2</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3" t="s">
        <v>2000</v>
      </c>
      <c r="E23" s="761">
        <v>44197</v>
      </c>
      <c r="F23" s="2053" t="s">
        <v>2001</v>
      </c>
      <c r="G23" s="762">
        <f>'数据-取费表'!B2</f>
        <v>45111</v>
      </c>
      <c r="H23" s="3339" t="s">
        <v>3260</v>
      </c>
      <c r="I23" s="3340" t="str">
        <f>IF(H23="季度增幅（自定义）",SUMIF(N25:N28,E2,O25:O28),"")</f>
        <v/>
      </c>
      <c r="J23" s="3442" t="s">
        <v>3259</v>
      </c>
      <c r="K23" s="1125"/>
      <c r="L23" s="2054" t="s">
        <v>2002</v>
      </c>
      <c r="M23" s="1327">
        <f>ROUND(SUMIF(地价!B2:G2,E2,地价!B16:G16),0)</f>
        <v>318</v>
      </c>
      <c r="N23" s="2055" t="s">
        <v>2003</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0.61170000000000002</v>
      </c>
      <c r="D24" s="2059" t="s">
        <v>2005</v>
      </c>
      <c r="E24" s="1334">
        <f>存贷款利率!E23/100</f>
        <v>4.3499999999999997E-2</v>
      </c>
      <c r="F24" s="2059" t="s">
        <v>1997</v>
      </c>
      <c r="G24" s="768">
        <f>SUMIF(M30:Q30,E2,M33:Q33)</f>
        <v>0.05</v>
      </c>
      <c r="H24" s="2059" t="s">
        <v>2006</v>
      </c>
      <c r="I24" s="769">
        <f>SUMIF('数据-取费表'!C6:C15,E2,'数据-取费表'!F6:F15)/COUNTIF('数据-取费表'!C6:C15,E2)</f>
        <v>16.75</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3339</v>
      </c>
      <c r="C25" s="771">
        <f>IF(B25="容积率修正",IF(G3&lt;10,D26,J26),C27)</f>
        <v>0.94479999999999997</v>
      </c>
      <c r="D25" s="2066"/>
      <c r="E25" s="2066"/>
      <c r="F25" s="2066"/>
      <c r="G25" s="2066"/>
      <c r="H25" s="2066"/>
      <c r="I25" s="2066"/>
      <c r="J25" s="2067"/>
      <c r="K25" s="1125"/>
      <c r="L25" s="2784"/>
      <c r="M25" s="2784"/>
      <c r="N25" s="2068"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1" t="s">
        <v>3261</v>
      </c>
      <c r="D26" s="1351">
        <f>IF(E26=G26,F26,IF(G3&lt;10,ROUND(F26+(H26-F26)*(G3-E26)/(G26-E26),4),"——"))</f>
        <v>0.94479999999999997</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1" t="s">
        <v>3262</v>
      </c>
      <c r="J26" s="772" t="str">
        <f>IF(G3&gt;=10,D115,"——")</f>
        <v>——</v>
      </c>
      <c r="K26" s="1125"/>
      <c r="L26" s="2784"/>
      <c r="M26" s="2784"/>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1.0329999999999999</v>
      </c>
      <c r="D28" s="2051"/>
      <c r="E28" s="2076"/>
      <c r="F28" s="2076"/>
      <c r="G28" s="2076"/>
      <c r="H28" s="2076"/>
      <c r="I28" s="2076"/>
      <c r="J28" s="2077"/>
      <c r="K28" s="1125"/>
      <c r="L28" s="2784"/>
      <c r="M28" s="2784"/>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5019</v>
      </c>
      <c r="D30" s="2082"/>
      <c r="E30" s="2045"/>
      <c r="F30" s="2083"/>
      <c r="G30" s="2045"/>
      <c r="H30" s="2045"/>
      <c r="I30" s="2045"/>
      <c r="J30" s="2084"/>
      <c r="K30" s="1119"/>
      <c r="L30" s="3347" t="s">
        <v>1934</v>
      </c>
      <c r="M30" s="3348" t="s">
        <v>1988</v>
      </c>
      <c r="N30" s="3348" t="s">
        <v>1989</v>
      </c>
      <c r="O30" s="3348" t="s">
        <v>1990</v>
      </c>
      <c r="P30" s="3348" t="s">
        <v>1991</v>
      </c>
      <c r="Q30" s="3351"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49" t="s">
        <v>1994</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0" t="s">
        <v>1997</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1446</v>
      </c>
      <c r="D33" s="2097">
        <f>'数据-汇总表'!F19</f>
        <v>34710.700000000004</v>
      </c>
      <c r="E33" s="773">
        <f>ROUND(C33*D33/10000,0)</f>
        <v>5019</v>
      </c>
      <c r="F33" s="3342" t="s">
        <v>3264</v>
      </c>
      <c r="G33" s="2098"/>
      <c r="H33" s="2098"/>
      <c r="I33" s="2098"/>
      <c r="J33" s="2099"/>
      <c r="K33" s="1119"/>
      <c r="L33" s="3345" t="s">
        <v>3267</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217</v>
      </c>
      <c r="D34" s="2102"/>
      <c r="E34" s="773">
        <f>ROUND(IF(B25="楼层修正",SUM(V2:V16)*M40,C34*D34/10000),0)</f>
        <v>0</v>
      </c>
      <c r="F34" s="2103" t="s">
        <v>2030</v>
      </c>
      <c r="G34" s="2104"/>
      <c r="H34" s="2104"/>
      <c r="I34" s="2104"/>
      <c r="J34" s="2105"/>
      <c r="K34" s="1119"/>
      <c r="L34" s="3345" t="s">
        <v>3268</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3" t="s">
        <v>3265</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3" t="s">
        <v>3269</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1"/>
      <c r="B37" s="2112" t="s">
        <v>2034</v>
      </c>
      <c r="C37" s="175">
        <f>ROUND(D5*C22*C23*C24*C28*F37,0)</f>
        <v>765</v>
      </c>
      <c r="D37" s="2097"/>
      <c r="E37" s="171">
        <f>ROUND(C37*D37/10000,0)</f>
        <v>0</v>
      </c>
      <c r="F37" s="171">
        <f>SUMIF(修正!A57:A68,G2,修正!B57:B68)</f>
        <v>0.5</v>
      </c>
      <c r="G37" s="171">
        <f>ROUND(IF(E2="工业",C37*$M$42,C37*$M$41),0)</f>
        <v>115</v>
      </c>
      <c r="H37" s="171">
        <f>D37</f>
        <v>0</v>
      </c>
      <c r="I37" s="171">
        <f>ROUND(G37*H37/10000,0)</f>
        <v>0</v>
      </c>
      <c r="J37" s="3008"/>
      <c r="K37" s="3355" t="s">
        <v>3270</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2"/>
      <c r="B38" s="2040" t="s">
        <v>2035</v>
      </c>
      <c r="C38" s="175">
        <f>ROUND(D5*C22*C23*C24*C28*F38,0)</f>
        <v>306</v>
      </c>
      <c r="D38" s="2097"/>
      <c r="E38" s="171">
        <f t="shared" ref="E38:E42" si="4">ROUND(C38*D38/10000,0)</f>
        <v>0</v>
      </c>
      <c r="F38" s="171">
        <f>SUMIF(修正!A57:A68,G2,修正!C57:C68)</f>
        <v>0.2</v>
      </c>
      <c r="G38" s="171">
        <f>ROUND(IF(E2="工业",C38*$M$42,C38*$M$41),0)</f>
        <v>46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2"/>
      <c r="B39" s="2040" t="s">
        <v>3263</v>
      </c>
      <c r="C39" s="175">
        <f>ROUND(D5*C22*C23*C24*C28*F39,0)</f>
        <v>306</v>
      </c>
      <c r="D39" s="2097"/>
      <c r="E39" s="171">
        <f t="shared" si="4"/>
        <v>0</v>
      </c>
      <c r="F39" s="171">
        <f>SUMIF(修正!A57:A68,G2,修正!D57:D68)</f>
        <v>0.2</v>
      </c>
      <c r="G39" s="171">
        <f>ROUND(IF(E2="工业",C39*$M$42,C39*$M$41),0)</f>
        <v>46</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306</v>
      </c>
      <c r="D40" s="2097"/>
      <c r="E40" s="171">
        <f t="shared" si="4"/>
        <v>0</v>
      </c>
      <c r="F40" s="175">
        <f>SUMIF(修正!A57:A68,G2,修正!E57:E68)</f>
        <v>0.2</v>
      </c>
      <c r="G40" s="171">
        <f>ROUND(IF(E2="工业",C40*$M$42,C40*$M$41),0)</f>
        <v>46</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306</v>
      </c>
      <c r="D41" s="2097"/>
      <c r="E41" s="171">
        <f t="shared" si="4"/>
        <v>0</v>
      </c>
      <c r="F41" s="175">
        <f>SUMIF(修正!A57:A68,G2,修正!F57:F68)</f>
        <v>0.2</v>
      </c>
      <c r="G41" s="171">
        <f>ROUND(IF(E2="工业",C41*$M$42,C41*$M$41),0)</f>
        <v>46</v>
      </c>
      <c r="H41" s="171">
        <f t="shared" si="5"/>
        <v>0</v>
      </c>
      <c r="I41" s="171">
        <f t="shared" si="6"/>
        <v>0</v>
      </c>
      <c r="J41" s="2113"/>
      <c r="L41" s="3356" t="s">
        <v>3271</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153</v>
      </c>
      <c r="D42" s="2102"/>
      <c r="E42" s="187">
        <f t="shared" si="4"/>
        <v>0</v>
      </c>
      <c r="F42" s="767">
        <f>SUMIF(修正!A57:A68,G2,修正!G57:G68)</f>
        <v>0.1</v>
      </c>
      <c r="G42" s="187">
        <f>ROUND(IF(E2="工业",C42*$M$42,C42*$M$41),0)</f>
        <v>23</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0.61170000000000002</v>
      </c>
      <c r="D44" s="171" t="s">
        <v>1997</v>
      </c>
      <c r="E44" s="2152">
        <f>G24</f>
        <v>0.05</v>
      </c>
      <c r="F44" s="171" t="s">
        <v>2006</v>
      </c>
      <c r="G44" s="183">
        <f>项目基本情况!H15</f>
        <v>16.75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3273</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2052</v>
      </c>
      <c r="B53" s="2134" t="s">
        <v>2053</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2054</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2055</v>
      </c>
      <c r="B55" s="2135" t="s">
        <v>2056</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2057</v>
      </c>
      <c r="B56" s="1325" t="str">
        <f>估价对象房地状况!C21</f>
        <v>估价对象所在区域公共配套设施齐备情况</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2058</v>
      </c>
      <c r="B57" s="2133" t="str">
        <f>估价对象房地状况!C22</f>
        <v>估价对象所在区域基础设施水平</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3273</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2052</v>
      </c>
      <c r="B64" s="2134" t="s">
        <v>2053</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2054</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2055</v>
      </c>
      <c r="B66" s="2135" t="s">
        <v>2056</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2057</v>
      </c>
      <c r="B67" s="1325"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2058</v>
      </c>
      <c r="B68" s="1325"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5" t="s">
        <v>3273</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2065</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2057</v>
      </c>
      <c r="B76" s="1325"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2058</v>
      </c>
      <c r="B77" s="1325"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2055</v>
      </c>
      <c r="B78" s="2135" t="s">
        <v>2056</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2059</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2066</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1.0329999999999999</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t="s">
        <v>3505</v>
      </c>
      <c r="D83" s="1065">
        <f t="shared" ref="D83:D90" si="22">SUMIF($J$82:$N$82,C83,J83:N83)</f>
        <v>1.2999999999999999E-2</v>
      </c>
      <c r="E83" s="744">
        <f>ROUND(SUM(D83:D90),4)</f>
        <v>3.3000000000000002E-2</v>
      </c>
      <c r="F83" s="1813">
        <f>IF(E2="工业",SUMIF(L1:L12,G2,N1:N12),"——")</f>
        <v>0.1</v>
      </c>
      <c r="G83" s="1063">
        <f>H83</f>
        <v>1.2999999999999999E-2</v>
      </c>
      <c r="H83" s="1066">
        <f t="shared" ref="H83:H90" si="23">IFERROR(ROUNDDOWN($F$83*I83/2,4),"——")</f>
        <v>1.2999999999999999E-2</v>
      </c>
      <c r="I83" s="3363">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3506</v>
      </c>
      <c r="D84" s="1065">
        <f t="shared" si="22"/>
        <v>0</v>
      </c>
      <c r="E84" s="747"/>
      <c r="F84" s="1813"/>
      <c r="G84" s="1063">
        <f t="shared" ref="G84:G90" si="27">H84</f>
        <v>1.4999999999999999E-2</v>
      </c>
      <c r="H84" s="1066">
        <f t="shared" si="23"/>
        <v>1.4999999999999999E-2</v>
      </c>
      <c r="I84" s="3363">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65" t="s">
        <v>3274</v>
      </c>
      <c r="B85" s="2133">
        <f>估价对象房地状况!G17</f>
        <v>0</v>
      </c>
      <c r="C85" s="2043" t="s">
        <v>3505</v>
      </c>
      <c r="D85" s="1065">
        <f t="shared" si="22"/>
        <v>5.0000000000000001E-3</v>
      </c>
      <c r="E85" s="747"/>
      <c r="F85" s="1813"/>
      <c r="G85" s="1063">
        <f t="shared" si="27"/>
        <v>5.0000000000000001E-3</v>
      </c>
      <c r="H85" s="1066">
        <f t="shared" si="23"/>
        <v>5.0000000000000001E-3</v>
      </c>
      <c r="I85" s="3363">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2065</v>
      </c>
      <c r="B86" s="2133">
        <f>估价对象房地状况!G22</f>
        <v>0</v>
      </c>
      <c r="C86" s="2043" t="s">
        <v>3506</v>
      </c>
      <c r="D86" s="1065">
        <f t="shared" si="22"/>
        <v>0</v>
      </c>
      <c r="E86" s="747"/>
      <c r="F86" s="1813"/>
      <c r="G86" s="1063">
        <f t="shared" si="27"/>
        <v>2.5000000000000001E-3</v>
      </c>
      <c r="H86" s="1066">
        <f t="shared" si="23"/>
        <v>2.5000000000000001E-3</v>
      </c>
      <c r="I86" s="3363">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2057</v>
      </c>
      <c r="B87" s="1325" t="str">
        <f>估价对象房地状况!G19</f>
        <v>估价对象所在区域公共配套设施齐备情况</v>
      </c>
      <c r="C87" s="2043" t="s">
        <v>3506</v>
      </c>
      <c r="D87" s="1065">
        <f t="shared" si="22"/>
        <v>0</v>
      </c>
      <c r="E87" s="747"/>
      <c r="F87" s="1813"/>
      <c r="G87" s="1063">
        <f t="shared" si="27"/>
        <v>3.0000000000000001E-3</v>
      </c>
      <c r="H87" s="1066">
        <f t="shared" si="23"/>
        <v>3.0000000000000001E-3</v>
      </c>
      <c r="I87" s="3363">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2058</v>
      </c>
      <c r="B88" s="1325" t="str">
        <f>估价对象房地状况!G20</f>
        <v>估价对象所在区域基础设施水平</v>
      </c>
      <c r="C88" s="2043" t="s">
        <v>3507</v>
      </c>
      <c r="D88" s="1065">
        <f t="shared" si="22"/>
        <v>1.2E-2</v>
      </c>
      <c r="E88" s="747"/>
      <c r="F88" s="1813"/>
      <c r="G88" s="1063">
        <f t="shared" si="27"/>
        <v>6.0000000000000001E-3</v>
      </c>
      <c r="H88" s="1066">
        <f t="shared" si="23"/>
        <v>6.0000000000000001E-3</v>
      </c>
      <c r="I88" s="3363">
        <v>0.12</v>
      </c>
      <c r="J88" s="1064">
        <f t="shared" si="24"/>
        <v>1.2E-2</v>
      </c>
      <c r="K88" s="1064">
        <f t="shared" si="25"/>
        <v>6.0000000000000001E-3</v>
      </c>
      <c r="L88" s="1064">
        <v>0</v>
      </c>
      <c r="M88" s="1064">
        <f t="shared" si="26"/>
        <v>-6.0000000000000001E-3</v>
      </c>
      <c r="N88" s="1064">
        <f t="shared" si="26"/>
        <v>-1.2E-2</v>
      </c>
    </row>
    <row r="89" spans="1:37" ht="24">
      <c r="A89" s="2129" t="s">
        <v>2055</v>
      </c>
      <c r="B89" s="2135" t="s">
        <v>2069</v>
      </c>
      <c r="C89" s="2043" t="s">
        <v>3505</v>
      </c>
      <c r="D89" s="1065">
        <f t="shared" si="22"/>
        <v>3.0000000000000001E-3</v>
      </c>
      <c r="E89" s="747"/>
      <c r="F89" s="1813"/>
      <c r="G89" s="1063">
        <f t="shared" si="27"/>
        <v>3.0000000000000001E-3</v>
      </c>
      <c r="H89" s="1066">
        <f t="shared" si="23"/>
        <v>3.0000000000000001E-3</v>
      </c>
      <c r="I89" s="3363">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2070</v>
      </c>
      <c r="B90" s="2142" t="str">
        <f>估价对象房地状况!G18</f>
        <v>该园区内是否有污染型企业，绿化情况，卫生条件，整体环境状况判断</v>
      </c>
      <c r="C90" s="2043" t="s">
        <v>3506</v>
      </c>
      <c r="D90" s="1065">
        <f t="shared" si="22"/>
        <v>0</v>
      </c>
      <c r="E90" s="748"/>
      <c r="F90" s="1813"/>
      <c r="G90" s="1063">
        <f t="shared" si="27"/>
        <v>2.5000000000000001E-3</v>
      </c>
      <c r="H90" s="1066">
        <f t="shared" si="23"/>
        <v>2.5000000000000001E-3</v>
      </c>
      <c r="I90" s="3364">
        <v>0.05</v>
      </c>
      <c r="J90" s="1064">
        <f t="shared" si="24"/>
        <v>5.0000000000000001E-3</v>
      </c>
      <c r="K90" s="1064">
        <f t="shared" si="25"/>
        <v>2.5000000000000001E-3</v>
      </c>
      <c r="L90" s="1064">
        <v>0</v>
      </c>
      <c r="M90" s="1064">
        <f t="shared" si="26"/>
        <v>-2.5000000000000001E-3</v>
      </c>
      <c r="N90" s="1064">
        <f t="shared" si="26"/>
        <v>-5.0000000000000001E-3</v>
      </c>
    </row>
    <row r="91" spans="1:37" ht="15">
      <c r="A91" s="3373" t="s">
        <v>2614</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3277</v>
      </c>
      <c r="B94" s="3366" t="str">
        <f>估价对象房地状况!C18</f>
        <v>估价对象周边道路状况、公共交通通达情况、停车便捷程度，综合评价交通便捷度较好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3273</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3278</v>
      </c>
      <c r="B96" s="3381" t="s">
        <v>3289</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3279</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3280</v>
      </c>
      <c r="B98" s="3382" t="s">
        <v>3290</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5.5">
      <c r="A99" s="3375" t="s">
        <v>3281</v>
      </c>
      <c r="B99" s="3366" t="str">
        <f>估价对象房地状况!C21</f>
        <v>估价对象所在区域公共配套设施齐备情况</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5.5">
      <c r="A100" s="3375" t="s">
        <v>3282</v>
      </c>
      <c r="B100" s="3366" t="str">
        <f>估价对象房地状况!C22</f>
        <v>估价对象所在区域基础设施水平</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3283</v>
      </c>
      <c r="B101" s="3383" t="str">
        <f>估价对象房地状况!C20</f>
        <v>区域自然环境：；人文环境；综合评价环境状况一般</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9" t="s">
        <v>3298</v>
      </c>
      <c r="B103" s="3779"/>
      <c r="C103" s="3779"/>
      <c r="D103" s="3779"/>
      <c r="E103" s="3779"/>
      <c r="F103" s="3779"/>
      <c r="G103" s="3779"/>
      <c r="H103" s="3779"/>
      <c r="I103" s="3779"/>
      <c r="J103" s="3779"/>
      <c r="K103" s="3386"/>
      <c r="L103" s="3386"/>
      <c r="M103" s="3386"/>
      <c r="N103" s="3386"/>
    </row>
    <row r="104" spans="1:14">
      <c r="A104" s="3780" t="s">
        <v>3299</v>
      </c>
      <c r="B104" s="3780" t="s">
        <v>3300</v>
      </c>
      <c r="C104" s="3387" t="s">
        <v>3301</v>
      </c>
      <c r="D104" s="3388"/>
      <c r="E104" s="3388"/>
      <c r="F104" s="3388"/>
      <c r="G104" s="3388"/>
      <c r="H104" s="3388"/>
      <c r="I104" s="3388"/>
      <c r="J104" s="3389"/>
      <c r="K104" s="3390"/>
      <c r="L104" s="3390"/>
      <c r="M104" s="3390"/>
      <c r="N104" s="3390"/>
    </row>
    <row r="105" spans="1:14">
      <c r="A105" s="3780"/>
      <c r="B105" s="3780"/>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66"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7"/>
      <c r="B111" s="3391" t="s">
        <v>3272</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8"/>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9" t="s">
        <v>3315</v>
      </c>
      <c r="B113" s="3769"/>
      <c r="C113" s="3769"/>
      <c r="D113" s="3769"/>
      <c r="E113" s="3769"/>
      <c r="F113" s="3769"/>
      <c r="G113" s="3769"/>
      <c r="H113" s="3769"/>
      <c r="I113" s="3769"/>
      <c r="J113" s="376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1.79</v>
      </c>
      <c r="C116" s="3396" t="s">
        <v>3317</v>
      </c>
      <c r="D116" s="3397">
        <f>SUMPRODUCT((A118:A122=F116)*(B117:M117=H116)*B118:M122)</f>
        <v>0.55649999999999999</v>
      </c>
      <c r="E116" s="1999" t="s">
        <v>3318</v>
      </c>
      <c r="F116" s="3398" t="str">
        <f>E2</f>
        <v>工业</v>
      </c>
      <c r="G116" s="1999" t="s">
        <v>3319</v>
      </c>
      <c r="H116" s="3398" t="str">
        <f>G2</f>
        <v>八级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6">I118</f>
        <v>0.81640000000000001</v>
      </c>
      <c r="K118" s="3384">
        <f t="shared" si="36"/>
        <v>0.81640000000000001</v>
      </c>
      <c r="L118" s="3384">
        <f t="shared" si="36"/>
        <v>0.81640000000000001</v>
      </c>
      <c r="M118" s="3407">
        <f t="shared" si="36"/>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7">D119</f>
        <v>0.91610000000000003</v>
      </c>
      <c r="F119" s="3384">
        <f t="shared" si="37"/>
        <v>0.91610000000000003</v>
      </c>
      <c r="G119" s="3384">
        <f t="shared" si="37"/>
        <v>0.91610000000000003</v>
      </c>
      <c r="H119" s="3384">
        <f t="shared" si="37"/>
        <v>0.91610000000000003</v>
      </c>
      <c r="I119" s="3384">
        <f>ROUND(0.838-0.0182*B116,4)</f>
        <v>0.8054</v>
      </c>
      <c r="J119" s="3384">
        <f t="shared" si="36"/>
        <v>0.8054</v>
      </c>
      <c r="K119" s="3384">
        <f t="shared" si="36"/>
        <v>0.8054</v>
      </c>
      <c r="L119" s="3384">
        <f t="shared" si="36"/>
        <v>0.8054</v>
      </c>
      <c r="M119" s="3407">
        <f t="shared" si="36"/>
        <v>0.8054</v>
      </c>
      <c r="N119" s="3394"/>
    </row>
    <row r="120" spans="1:14">
      <c r="A120" s="3406" t="s">
        <v>3334</v>
      </c>
      <c r="B120" s="3384">
        <f>ROUND(0.9448-0.0115*B116,4)</f>
        <v>0.92420000000000002</v>
      </c>
      <c r="C120" s="3384">
        <f>B120</f>
        <v>0.92420000000000002</v>
      </c>
      <c r="D120" s="3384">
        <f>ROUND(0.937-0.0145*B116,4)</f>
        <v>0.91100000000000003</v>
      </c>
      <c r="E120" s="3384">
        <f t="shared" si="37"/>
        <v>0.91100000000000003</v>
      </c>
      <c r="F120" s="3384">
        <f t="shared" si="37"/>
        <v>0.91100000000000003</v>
      </c>
      <c r="G120" s="3384">
        <f t="shared" si="37"/>
        <v>0.91100000000000003</v>
      </c>
      <c r="H120" s="3384">
        <f t="shared" si="37"/>
        <v>0.91100000000000003</v>
      </c>
      <c r="I120" s="3384">
        <f>ROUND(0.7965-0.0185*B116,4)</f>
        <v>0.76339999999999997</v>
      </c>
      <c r="J120" s="3384">
        <f t="shared" si="36"/>
        <v>0.76339999999999997</v>
      </c>
      <c r="K120" s="3384">
        <f t="shared" si="36"/>
        <v>0.76339999999999997</v>
      </c>
      <c r="L120" s="3384">
        <f t="shared" si="36"/>
        <v>0.76339999999999997</v>
      </c>
      <c r="M120" s="3407">
        <f t="shared" si="36"/>
        <v>0.76339999999999997</v>
      </c>
      <c r="N120" s="3394"/>
    </row>
    <row r="121" spans="1:14" ht="13.5"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6"/>
        <v>0.55649999999999999</v>
      </c>
      <c r="K121" s="3409">
        <f t="shared" si="36"/>
        <v>0.55649999999999999</v>
      </c>
      <c r="L121" s="3409">
        <f t="shared" si="36"/>
        <v>0.55649999999999999</v>
      </c>
      <c r="M121" s="3410">
        <f t="shared" si="36"/>
        <v>0.55649999999999999</v>
      </c>
      <c r="N121" s="3394"/>
    </row>
    <row r="122" spans="1:14">
      <c r="A122" s="3411" t="s">
        <v>2614</v>
      </c>
      <c r="B122" s="3384">
        <f>ROUND(0.9404-0.0106*B116,4)</f>
        <v>0.9214</v>
      </c>
      <c r="C122" s="3384">
        <f>B122</f>
        <v>0.9214</v>
      </c>
      <c r="D122" s="3384">
        <f>ROUND(0.8955-0.0135*B116,4)</f>
        <v>0.87129999999999996</v>
      </c>
      <c r="E122" s="3384">
        <f t="shared" ref="E122:H122" si="38">D122</f>
        <v>0.87129999999999996</v>
      </c>
      <c r="F122" s="3384">
        <f t="shared" si="38"/>
        <v>0.87129999999999996</v>
      </c>
      <c r="G122" s="3384">
        <f t="shared" si="38"/>
        <v>0.87129999999999996</v>
      </c>
      <c r="H122" s="3384">
        <f t="shared" si="38"/>
        <v>0.87129999999999996</v>
      </c>
      <c r="I122" s="3384">
        <f>ROUND(0.7632-0.0166*B116,4)</f>
        <v>0.73350000000000004</v>
      </c>
      <c r="J122" s="3384">
        <f t="shared" si="36"/>
        <v>0.73350000000000004</v>
      </c>
      <c r="K122" s="3384">
        <f t="shared" si="36"/>
        <v>0.73350000000000004</v>
      </c>
      <c r="L122" s="3384">
        <f t="shared" si="36"/>
        <v>0.73350000000000004</v>
      </c>
      <c r="M122" s="3407">
        <f t="shared" si="36"/>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2"/>
      <c r="B4" s="3482" t="s">
        <v>917</v>
      </c>
      <c r="C4" s="3482"/>
      <c r="D4" s="3482"/>
      <c r="E4" s="1492"/>
    </row>
    <row r="5" spans="1:5" ht="16.5" thickTop="1">
      <c r="A5" s="1490"/>
      <c r="B5" s="3480" t="s">
        <v>909</v>
      </c>
      <c r="C5" s="1493" t="s">
        <v>910</v>
      </c>
      <c r="D5" s="850">
        <f ca="1">结果表!H101</f>
        <v>24656</v>
      </c>
      <c r="E5" s="1490"/>
    </row>
    <row r="6" spans="1:5" ht="15.75">
      <c r="A6" s="1490"/>
      <c r="B6" s="3480"/>
      <c r="C6" s="1493" t="s">
        <v>911</v>
      </c>
      <c r="D6" s="850" t="str">
        <f ca="1">NUMBERSTRING(INT(D5*10000),2)&amp;"元整"</f>
        <v>贰亿肆仟陆佰伍拾陆万元整</v>
      </c>
      <c r="E6" s="1490"/>
    </row>
    <row r="7" spans="1:5" ht="15.75">
      <c r="A7" s="1490"/>
      <c r="B7" s="3485"/>
      <c r="C7" s="1494" t="s">
        <v>912</v>
      </c>
      <c r="D7" s="851">
        <f ca="1">结果表!H102</f>
        <v>5178</v>
      </c>
      <c r="E7" s="1490"/>
    </row>
    <row r="8" spans="1:5" ht="15.75">
      <c r="A8" s="1490"/>
      <c r="B8" s="3486" t="str">
        <f>结果表!E103</f>
        <v>2.估价师知悉的法定优先受偿款</v>
      </c>
      <c r="C8" s="1495" t="s">
        <v>913</v>
      </c>
      <c r="D8" s="851">
        <f>结果表!H103</f>
        <v>0</v>
      </c>
      <c r="E8" s="1490"/>
    </row>
    <row r="9" spans="1:5" ht="15.75">
      <c r="A9" s="1490"/>
      <c r="B9" s="348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9" t="str">
        <f>结果表!E107</f>
        <v>3.房地产抵押价值</v>
      </c>
      <c r="C13" s="1498" t="s">
        <v>910</v>
      </c>
      <c r="D13" s="853">
        <f ca="1">结果表!H107</f>
        <v>24656</v>
      </c>
      <c r="E13" s="1490"/>
    </row>
    <row r="14" spans="1:5" ht="15.75">
      <c r="A14" s="1490"/>
      <c r="B14" s="3480"/>
      <c r="C14" s="1493" t="s">
        <v>911</v>
      </c>
      <c r="D14" s="850" t="str">
        <f ca="1">NUMBERSTRING(INT(D13*10000),2)&amp;"元整"</f>
        <v>贰亿肆仟陆佰伍拾陆万元整</v>
      </c>
      <c r="E14" s="1490"/>
    </row>
    <row r="15" spans="1:5" ht="15">
      <c r="A15" s="1490"/>
      <c r="B15" s="3485"/>
      <c r="C15" s="1494" t="s">
        <v>921</v>
      </c>
      <c r="D15" s="859">
        <f ca="1">结果表!H108</f>
        <v>5178</v>
      </c>
      <c r="E15" s="1490"/>
    </row>
    <row r="16" spans="1:5" ht="15">
      <c r="A16" s="1490"/>
      <c r="B16" s="3486" t="str">
        <f>结果表!E109</f>
        <v>——</v>
      </c>
      <c r="C16" s="1498" t="s">
        <v>922</v>
      </c>
      <c r="D16" s="1499" t="str">
        <f>结果表!H109</f>
        <v>——</v>
      </c>
      <c r="E16" s="1490"/>
    </row>
    <row r="17" spans="1:5" ht="15.75">
      <c r="A17" s="1490"/>
      <c r="B17" s="3487"/>
      <c r="C17" s="1493" t="s">
        <v>923</v>
      </c>
      <c r="D17" s="850" t="e">
        <f>NUMBERSTRING(INT(D16*10000),2)&amp;"元整"</f>
        <v>#VALUE!</v>
      </c>
      <c r="E17" s="1490"/>
    </row>
    <row r="18" spans="1:5" ht="15">
      <c r="A18" s="1490"/>
      <c r="B18" s="3488"/>
      <c r="C18" s="1494" t="s">
        <v>912</v>
      </c>
      <c r="D18" s="859" t="str">
        <f>结果表!H110</f>
        <v>——</v>
      </c>
      <c r="E18" s="1490"/>
    </row>
    <row r="19" spans="1:5" ht="15.75">
      <c r="A19" s="1490"/>
      <c r="B19" s="3479" t="str">
        <f>结果表!E111</f>
        <v>——</v>
      </c>
      <c r="C19" s="1498" t="s">
        <v>910</v>
      </c>
      <c r="D19" s="851" t="str">
        <f>结果表!H111</f>
        <v>——</v>
      </c>
      <c r="E19" s="1490"/>
    </row>
    <row r="20" spans="1:5" ht="15.75">
      <c r="A20" s="1490"/>
      <c r="B20" s="3480"/>
      <c r="C20" s="1493" t="s">
        <v>923</v>
      </c>
      <c r="D20" s="850" t="e">
        <f>NUMBERSTRING(INT(D19*10000),2)&amp;"元整"</f>
        <v>#VALUE!</v>
      </c>
      <c r="E20" s="1490"/>
    </row>
    <row r="21" spans="1:5" ht="15.75" thickBot="1">
      <c r="A21" s="1490"/>
      <c r="B21" s="348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70" zoomScaleNormal="70" workbookViewId="0">
      <selection activeCell="B44" sqref="A44:XFD44"/>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94" t="s">
        <v>2609</v>
      </c>
      <c r="B20" s="3789" t="s">
        <v>2630</v>
      </c>
      <c r="C20" s="3099" t="s">
        <v>2441</v>
      </c>
      <c r="D20" s="3100"/>
      <c r="E20" s="3101">
        <v>1</v>
      </c>
      <c r="F20" s="3102" t="s">
        <v>2442</v>
      </c>
      <c r="G20" s="3102"/>
    </row>
    <row r="21" spans="1:13" ht="19.5" customHeight="1">
      <c r="A21" s="3795"/>
      <c r="B21" s="3788"/>
      <c r="C21" s="3103" t="s">
        <v>2443</v>
      </c>
      <c r="D21" s="3104"/>
      <c r="E21" s="3105">
        <v>1</v>
      </c>
      <c r="F21" s="3102" t="s">
        <v>2444</v>
      </c>
      <c r="G21" s="3102"/>
    </row>
    <row r="22" spans="1:13" ht="19.5" customHeight="1">
      <c r="A22" s="3795"/>
      <c r="B22" s="3788"/>
      <c r="C22" s="3103" t="s">
        <v>2445</v>
      </c>
      <c r="D22" s="3104"/>
      <c r="E22" s="3105">
        <v>0.9</v>
      </c>
      <c r="F22" s="3102" t="s">
        <v>2446</v>
      </c>
      <c r="G22" s="3102"/>
    </row>
    <row r="23" spans="1:13" ht="19.5" customHeight="1">
      <c r="A23" s="3795"/>
      <c r="B23" s="3788"/>
      <c r="C23" s="3103" t="s">
        <v>2447</v>
      </c>
      <c r="D23" s="3104"/>
      <c r="E23" s="3105">
        <v>0.9</v>
      </c>
      <c r="F23" s="3102" t="s">
        <v>2448</v>
      </c>
      <c r="G23" s="3102"/>
    </row>
    <row r="24" spans="1:13" ht="19.5" customHeight="1">
      <c r="A24" s="3795"/>
      <c r="B24" s="3788"/>
      <c r="C24" s="3103" t="s">
        <v>2449</v>
      </c>
      <c r="D24" s="3104"/>
      <c r="E24" s="3105">
        <v>0.8</v>
      </c>
      <c r="F24" s="3102" t="s">
        <v>2450</v>
      </c>
      <c r="G24" s="3102"/>
    </row>
    <row r="25" spans="1:13" ht="19.5" customHeight="1" thickBot="1">
      <c r="A25" s="3796"/>
      <c r="B25" s="3790"/>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91" t="s">
        <v>2633</v>
      </c>
      <c r="B27" s="3789" t="s">
        <v>2614</v>
      </c>
      <c r="C27" s="3099" t="s">
        <v>2454</v>
      </c>
      <c r="D27" s="3100"/>
      <c r="E27" s="3101">
        <v>1</v>
      </c>
      <c r="F27" s="3102" t="s">
        <v>2455</v>
      </c>
      <c r="G27" s="3102"/>
    </row>
    <row r="28" spans="1:13" ht="19.5" customHeight="1">
      <c r="A28" s="3792"/>
      <c r="B28" s="3788"/>
      <c r="C28" s="3103" t="s">
        <v>2456</v>
      </c>
      <c r="D28" s="3104"/>
      <c r="E28" s="3105">
        <v>1</v>
      </c>
      <c r="F28" s="3102" t="s">
        <v>2457</v>
      </c>
      <c r="G28" s="3102"/>
    </row>
    <row r="29" spans="1:13" ht="19.5" customHeight="1">
      <c r="A29" s="3792"/>
      <c r="B29" s="3788"/>
      <c r="C29" s="3103" t="s">
        <v>2458</v>
      </c>
      <c r="D29" s="3104"/>
      <c r="E29" s="3105">
        <v>0.8</v>
      </c>
      <c r="F29" s="3102" t="s">
        <v>2459</v>
      </c>
      <c r="G29" s="3102"/>
    </row>
    <row r="30" spans="1:13" ht="19.5" customHeight="1">
      <c r="A30" s="3792"/>
      <c r="B30" s="3788"/>
      <c r="C30" s="3103" t="s">
        <v>2460</v>
      </c>
      <c r="D30" s="3104"/>
      <c r="E30" s="3105">
        <v>0.8</v>
      </c>
      <c r="F30" s="3102" t="s">
        <v>2461</v>
      </c>
      <c r="G30" s="3102"/>
    </row>
    <row r="31" spans="1:13" ht="19.5" customHeight="1">
      <c r="A31" s="3792"/>
      <c r="B31" s="3788"/>
      <c r="C31" s="3103" t="s">
        <v>2462</v>
      </c>
      <c r="D31" s="3104"/>
      <c r="E31" s="3105">
        <v>0.8</v>
      </c>
      <c r="F31" s="3102" t="s">
        <v>2463</v>
      </c>
      <c r="G31" s="3102"/>
    </row>
    <row r="32" spans="1:13" ht="19.5" customHeight="1">
      <c r="A32" s="3792"/>
      <c r="B32" s="3788"/>
      <c r="C32" s="3103" t="s">
        <v>2464</v>
      </c>
      <c r="D32" s="3104"/>
      <c r="E32" s="3105">
        <v>0.7</v>
      </c>
      <c r="F32" s="3102" t="s">
        <v>2465</v>
      </c>
      <c r="G32" s="3102"/>
    </row>
    <row r="33" spans="1:7" ht="19.5" customHeight="1">
      <c r="A33" s="3792"/>
      <c r="B33" s="3788"/>
      <c r="C33" s="3103" t="s">
        <v>2466</v>
      </c>
      <c r="D33" s="3104"/>
      <c r="E33" s="3105">
        <v>0.8</v>
      </c>
      <c r="F33" s="3102" t="s">
        <v>2467</v>
      </c>
      <c r="G33" s="3102"/>
    </row>
    <row r="34" spans="1:7" ht="19.5" customHeight="1">
      <c r="A34" s="3792"/>
      <c r="B34" s="3788"/>
      <c r="C34" s="3103" t="s">
        <v>2468</v>
      </c>
      <c r="D34" s="3104"/>
      <c r="E34" s="3105">
        <v>0.6</v>
      </c>
      <c r="F34" s="3102" t="s">
        <v>2469</v>
      </c>
      <c r="G34" s="3102"/>
    </row>
    <row r="35" spans="1:7" ht="19.5" customHeight="1">
      <c r="A35" s="3792"/>
      <c r="B35" s="3788"/>
      <c r="C35" s="3103" t="s">
        <v>2470</v>
      </c>
      <c r="D35" s="3104"/>
      <c r="E35" s="3105">
        <v>0.2</v>
      </c>
      <c r="F35" s="3102" t="s">
        <v>2471</v>
      </c>
      <c r="G35" s="3102"/>
    </row>
    <row r="36" spans="1:7" ht="19.5" customHeight="1">
      <c r="A36" s="3792"/>
      <c r="B36" s="3788"/>
      <c r="C36" s="3103" t="s">
        <v>2472</v>
      </c>
      <c r="D36" s="3104"/>
      <c r="E36" s="3105">
        <v>0.2</v>
      </c>
      <c r="F36" s="3102" t="s">
        <v>2473</v>
      </c>
      <c r="G36" s="3102"/>
    </row>
    <row r="37" spans="1:7" ht="19.5" customHeight="1">
      <c r="A37" s="3792"/>
      <c r="B37" s="3786" t="s">
        <v>2634</v>
      </c>
      <c r="C37" s="3103" t="s">
        <v>2474</v>
      </c>
      <c r="D37" s="3104"/>
      <c r="E37" s="3105">
        <v>0.6</v>
      </c>
      <c r="F37" s="3102" t="s">
        <v>2475</v>
      </c>
      <c r="G37" s="3102"/>
    </row>
    <row r="38" spans="1:7" ht="19.5" customHeight="1">
      <c r="A38" s="3792"/>
      <c r="B38" s="3788"/>
      <c r="C38" s="3103" t="s">
        <v>2476</v>
      </c>
      <c r="D38" s="3104"/>
      <c r="E38" s="3105">
        <v>0.6</v>
      </c>
      <c r="F38" s="3102" t="s">
        <v>2477</v>
      </c>
      <c r="G38" s="3102"/>
    </row>
    <row r="39" spans="1:7" ht="19.5" customHeight="1" thickBot="1">
      <c r="A39" s="3793"/>
      <c r="B39" s="3790"/>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94" t="s">
        <v>2612</v>
      </c>
      <c r="B41" s="3789" t="s">
        <v>2636</v>
      </c>
      <c r="C41" s="3099" t="s">
        <v>2481</v>
      </c>
      <c r="D41" s="3100"/>
      <c r="E41" s="3101">
        <v>1</v>
      </c>
      <c r="F41" s="3102" t="s">
        <v>2482</v>
      </c>
      <c r="G41" s="3102"/>
    </row>
    <row r="42" spans="1:7" ht="19.5" customHeight="1">
      <c r="A42" s="3795"/>
      <c r="B42" s="3788"/>
      <c r="C42" s="3103" t="s">
        <v>2483</v>
      </c>
      <c r="D42" s="3104"/>
      <c r="E42" s="3105">
        <v>1</v>
      </c>
      <c r="F42" s="3102" t="s">
        <v>2484</v>
      </c>
      <c r="G42" s="3102"/>
    </row>
    <row r="43" spans="1:7" ht="19.5" customHeight="1">
      <c r="A43" s="3795"/>
      <c r="B43" s="3787"/>
      <c r="C43" s="3103" t="s">
        <v>2485</v>
      </c>
      <c r="D43" s="3104"/>
      <c r="E43" s="3105">
        <v>1.5</v>
      </c>
      <c r="F43" s="3102" t="s">
        <v>2486</v>
      </c>
      <c r="G43" s="3102"/>
    </row>
    <row r="44" spans="1:7" ht="19.5" customHeight="1">
      <c r="A44" s="3795"/>
      <c r="B44" s="3114" t="s">
        <v>2637</v>
      </c>
      <c r="C44" s="3103" t="s">
        <v>2638</v>
      </c>
      <c r="D44" s="3104"/>
      <c r="E44" s="3105">
        <v>2</v>
      </c>
      <c r="F44" s="3102" t="s">
        <v>2487</v>
      </c>
      <c r="G44" s="3102"/>
    </row>
    <row r="45" spans="1:7" ht="19.5" customHeight="1">
      <c r="A45" s="3795"/>
      <c r="B45" s="3786" t="s">
        <v>2639</v>
      </c>
      <c r="C45" s="3103" t="s">
        <v>2488</v>
      </c>
      <c r="D45" s="3104"/>
      <c r="E45" s="3105">
        <v>1</v>
      </c>
      <c r="F45" s="3102" t="s">
        <v>2489</v>
      </c>
      <c r="G45" s="3102"/>
    </row>
    <row r="46" spans="1:7" ht="19.5" customHeight="1">
      <c r="A46" s="3795"/>
      <c r="B46" s="3788"/>
      <c r="C46" s="3103" t="s">
        <v>2490</v>
      </c>
      <c r="D46" s="3104"/>
      <c r="E46" s="3105">
        <v>1</v>
      </c>
      <c r="F46" s="3102" t="s">
        <v>2491</v>
      </c>
      <c r="G46" s="3102"/>
    </row>
    <row r="47" spans="1:7" ht="19.5" customHeight="1">
      <c r="A47" s="3795"/>
      <c r="B47" s="3788"/>
      <c r="C47" s="3103" t="s">
        <v>2492</v>
      </c>
      <c r="D47" s="3104"/>
      <c r="E47" s="3105">
        <v>1</v>
      </c>
      <c r="F47" s="3102" t="s">
        <v>2493</v>
      </c>
      <c r="G47" s="3102"/>
    </row>
    <row r="48" spans="1:7" ht="19.5" customHeight="1">
      <c r="A48" s="3795"/>
      <c r="B48" s="3788"/>
      <c r="C48" s="3103" t="s">
        <v>2494</v>
      </c>
      <c r="D48" s="3104"/>
      <c r="E48" s="3105">
        <v>1</v>
      </c>
      <c r="F48" s="3102" t="s">
        <v>2495</v>
      </c>
      <c r="G48" s="3102"/>
    </row>
    <row r="49" spans="1:7" ht="19.5" customHeight="1">
      <c r="A49" s="3795"/>
      <c r="B49" s="3788"/>
      <c r="C49" s="3103" t="s">
        <v>2496</v>
      </c>
      <c r="D49" s="3104"/>
      <c r="E49" s="3105">
        <v>1</v>
      </c>
      <c r="F49" s="3102" t="s">
        <v>2497</v>
      </c>
      <c r="G49" s="3102"/>
    </row>
    <row r="50" spans="1:7" ht="19.5" customHeight="1">
      <c r="A50" s="3795"/>
      <c r="B50" s="3788"/>
      <c r="C50" s="3103" t="s">
        <v>2498</v>
      </c>
      <c r="D50" s="3104"/>
      <c r="E50" s="3105">
        <v>1</v>
      </c>
      <c r="F50" s="3102" t="s">
        <v>2499</v>
      </c>
      <c r="G50" s="3102"/>
    </row>
    <row r="51" spans="1:7" ht="19.5" customHeight="1" thickBot="1">
      <c r="A51" s="3796"/>
      <c r="B51" s="3790"/>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86" t="s">
        <v>2653</v>
      </c>
      <c r="C73" s="3088" t="s">
        <v>2654</v>
      </c>
      <c r="D73" s="3088" t="s">
        <v>2655</v>
      </c>
      <c r="E73" s="3114">
        <v>0.2</v>
      </c>
      <c r="F73" s="3114">
        <v>25</v>
      </c>
    </row>
    <row r="74" spans="1:7" ht="24">
      <c r="A74" s="3114">
        <v>2</v>
      </c>
      <c r="B74" s="3788"/>
      <c r="C74" s="3088" t="s">
        <v>2656</v>
      </c>
      <c r="D74" s="3088" t="s">
        <v>2657</v>
      </c>
      <c r="E74" s="3114">
        <v>0.2</v>
      </c>
      <c r="F74" s="3114">
        <v>25</v>
      </c>
    </row>
    <row r="75" spans="1:7" ht="24">
      <c r="A75" s="3114">
        <v>3</v>
      </c>
      <c r="B75" s="3788"/>
      <c r="C75" s="3088" t="s">
        <v>2658</v>
      </c>
      <c r="D75" s="3088" t="s">
        <v>2659</v>
      </c>
      <c r="E75" s="3114">
        <v>0.2</v>
      </c>
      <c r="F75" s="3114">
        <v>25</v>
      </c>
    </row>
    <row r="76" spans="1:7" ht="13.5">
      <c r="A76" s="3114">
        <v>4</v>
      </c>
      <c r="B76" s="3788"/>
      <c r="C76" s="3088" t="s">
        <v>2660</v>
      </c>
      <c r="D76" s="3088" t="s">
        <v>2661</v>
      </c>
      <c r="E76" s="3114">
        <v>0.15</v>
      </c>
      <c r="F76" s="3114">
        <v>20</v>
      </c>
    </row>
    <row r="77" spans="1:7" ht="24">
      <c r="A77" s="3114">
        <v>5</v>
      </c>
      <c r="B77" s="3788"/>
      <c r="C77" s="3088" t="s">
        <v>2662</v>
      </c>
      <c r="D77" s="3088" t="s">
        <v>2663</v>
      </c>
      <c r="E77" s="3114">
        <v>0.15</v>
      </c>
      <c r="F77" s="3114">
        <v>20</v>
      </c>
    </row>
    <row r="78" spans="1:7" ht="24">
      <c r="A78" s="3114">
        <v>6</v>
      </c>
      <c r="B78" s="3788"/>
      <c r="C78" s="3088" t="s">
        <v>2664</v>
      </c>
      <c r="D78" s="3088" t="s">
        <v>2665</v>
      </c>
      <c r="E78" s="3114">
        <v>0.15</v>
      </c>
      <c r="F78" s="3114">
        <v>20</v>
      </c>
    </row>
    <row r="79" spans="1:7" ht="24">
      <c r="A79" s="3114">
        <v>7</v>
      </c>
      <c r="B79" s="3788"/>
      <c r="C79" s="3088" t="s">
        <v>2666</v>
      </c>
      <c r="D79" s="3088" t="s">
        <v>2667</v>
      </c>
      <c r="E79" s="3114">
        <v>0.15</v>
      </c>
      <c r="F79" s="3114">
        <v>20</v>
      </c>
    </row>
    <row r="80" spans="1:7" ht="24">
      <c r="A80" s="3114">
        <v>8</v>
      </c>
      <c r="B80" s="3788"/>
      <c r="C80" s="3088" t="s">
        <v>2668</v>
      </c>
      <c r="D80" s="3088" t="s">
        <v>2669</v>
      </c>
      <c r="E80" s="3114">
        <v>0.1</v>
      </c>
      <c r="F80" s="3114">
        <v>15</v>
      </c>
    </row>
    <row r="81" spans="1:6" ht="24">
      <c r="A81" s="3114">
        <v>9</v>
      </c>
      <c r="B81" s="3788"/>
      <c r="C81" s="3088" t="s">
        <v>2670</v>
      </c>
      <c r="D81" s="3088" t="s">
        <v>2671</v>
      </c>
      <c r="E81" s="3114">
        <v>0.1</v>
      </c>
      <c r="F81" s="3114">
        <v>15</v>
      </c>
    </row>
    <row r="82" spans="1:6" ht="24">
      <c r="A82" s="3114">
        <v>10</v>
      </c>
      <c r="B82" s="3788"/>
      <c r="C82" s="3088" t="s">
        <v>2672</v>
      </c>
      <c r="D82" s="3088" t="s">
        <v>2673</v>
      </c>
      <c r="E82" s="3114">
        <v>0.1</v>
      </c>
      <c r="F82" s="3114">
        <v>15</v>
      </c>
    </row>
    <row r="83" spans="1:6" ht="24">
      <c r="A83" s="3114">
        <v>11</v>
      </c>
      <c r="B83" s="3788"/>
      <c r="C83" s="3088" t="s">
        <v>2674</v>
      </c>
      <c r="D83" s="3088" t="s">
        <v>2675</v>
      </c>
      <c r="E83" s="3114">
        <v>0.1</v>
      </c>
      <c r="F83" s="3114">
        <v>15</v>
      </c>
    </row>
    <row r="84" spans="1:6" ht="24">
      <c r="A84" s="3114">
        <v>12</v>
      </c>
      <c r="B84" s="3788"/>
      <c r="C84" s="3088" t="s">
        <v>2676</v>
      </c>
      <c r="D84" s="3088" t="s">
        <v>2677</v>
      </c>
      <c r="E84" s="3114">
        <v>0.1</v>
      </c>
      <c r="F84" s="3114">
        <v>15</v>
      </c>
    </row>
    <row r="85" spans="1:6" ht="13.5">
      <c r="A85" s="3114">
        <v>13</v>
      </c>
      <c r="B85" s="3788"/>
      <c r="C85" s="3088" t="s">
        <v>2678</v>
      </c>
      <c r="D85" s="3088" t="s">
        <v>2679</v>
      </c>
      <c r="E85" s="3114">
        <v>0.1</v>
      </c>
      <c r="F85" s="3114">
        <v>15</v>
      </c>
    </row>
    <row r="86" spans="1:6" ht="13.5">
      <c r="A86" s="3114">
        <v>14</v>
      </c>
      <c r="B86" s="3788"/>
      <c r="C86" s="3088" t="s">
        <v>2680</v>
      </c>
      <c r="D86" s="3088" t="s">
        <v>2681</v>
      </c>
      <c r="E86" s="3114">
        <v>0.1</v>
      </c>
      <c r="F86" s="3114">
        <v>15</v>
      </c>
    </row>
    <row r="87" spans="1:6" ht="13.5">
      <c r="A87" s="3114">
        <v>15</v>
      </c>
      <c r="B87" s="3788"/>
      <c r="C87" s="3088" t="s">
        <v>2682</v>
      </c>
      <c r="D87" s="3088" t="s">
        <v>2683</v>
      </c>
      <c r="E87" s="3114">
        <v>0.1</v>
      </c>
      <c r="F87" s="3114">
        <v>15</v>
      </c>
    </row>
    <row r="88" spans="1:6" ht="24">
      <c r="A88" s="3114">
        <v>16</v>
      </c>
      <c r="B88" s="3788"/>
      <c r="C88" s="3088" t="s">
        <v>2684</v>
      </c>
      <c r="D88" s="3088" t="s">
        <v>2685</v>
      </c>
      <c r="E88" s="3114">
        <v>0.1</v>
      </c>
      <c r="F88" s="3114">
        <v>15</v>
      </c>
    </row>
    <row r="89" spans="1:6" ht="24">
      <c r="A89" s="3114">
        <v>17</v>
      </c>
      <c r="B89" s="3787"/>
      <c r="C89" s="3088" t="s">
        <v>2686</v>
      </c>
      <c r="D89" s="3088" t="s">
        <v>2687</v>
      </c>
      <c r="E89" s="3114">
        <v>0.1</v>
      </c>
      <c r="F89" s="3114">
        <v>15</v>
      </c>
    </row>
    <row r="90" spans="1:6" ht="13.5">
      <c r="A90" s="3114">
        <v>18</v>
      </c>
      <c r="B90" s="3786" t="s">
        <v>2688</v>
      </c>
      <c r="C90" s="3088" t="s">
        <v>2689</v>
      </c>
      <c r="D90" s="3088" t="s">
        <v>2690</v>
      </c>
      <c r="E90" s="3114">
        <v>0.2</v>
      </c>
      <c r="F90" s="3114">
        <v>25</v>
      </c>
    </row>
    <row r="91" spans="1:6" ht="24">
      <c r="A91" s="3114">
        <v>19</v>
      </c>
      <c r="B91" s="3788"/>
      <c r="C91" s="3088" t="s">
        <v>2691</v>
      </c>
      <c r="D91" s="3088" t="s">
        <v>2692</v>
      </c>
      <c r="E91" s="3114">
        <v>0.2</v>
      </c>
      <c r="F91" s="3114">
        <v>25</v>
      </c>
    </row>
    <row r="92" spans="1:6" ht="13.5">
      <c r="A92" s="3114">
        <v>20</v>
      </c>
      <c r="B92" s="3788"/>
      <c r="C92" s="3088" t="s">
        <v>2693</v>
      </c>
      <c r="D92" s="3088" t="s">
        <v>2694</v>
      </c>
      <c r="E92" s="3114">
        <v>0.15</v>
      </c>
      <c r="F92" s="3114">
        <v>20</v>
      </c>
    </row>
    <row r="93" spans="1:6" ht="13.5">
      <c r="A93" s="3114">
        <v>21</v>
      </c>
      <c r="B93" s="3788"/>
      <c r="C93" s="3088" t="s">
        <v>2695</v>
      </c>
      <c r="D93" s="3088" t="s">
        <v>2696</v>
      </c>
      <c r="E93" s="3114">
        <v>0.15</v>
      </c>
      <c r="F93" s="3114">
        <v>20</v>
      </c>
    </row>
    <row r="94" spans="1:6" ht="13.5">
      <c r="A94" s="3114">
        <v>22</v>
      </c>
      <c r="B94" s="3788"/>
      <c r="C94" s="3088" t="s">
        <v>2697</v>
      </c>
      <c r="D94" s="3088" t="s">
        <v>2698</v>
      </c>
      <c r="E94" s="3114">
        <v>0.15</v>
      </c>
      <c r="F94" s="3114">
        <v>20</v>
      </c>
    </row>
    <row r="95" spans="1:6" ht="36">
      <c r="A95" s="3114">
        <v>23</v>
      </c>
      <c r="B95" s="3788"/>
      <c r="C95" s="3088" t="s">
        <v>2699</v>
      </c>
      <c r="D95" s="3088" t="s">
        <v>2700</v>
      </c>
      <c r="E95" s="3114">
        <v>0.15</v>
      </c>
      <c r="F95" s="3114">
        <v>20</v>
      </c>
    </row>
    <row r="96" spans="1:6" ht="13.5">
      <c r="A96" s="3114">
        <v>24</v>
      </c>
      <c r="B96" s="3788"/>
      <c r="C96" s="3088" t="s">
        <v>2701</v>
      </c>
      <c r="D96" s="3088" t="s">
        <v>2702</v>
      </c>
      <c r="E96" s="3114">
        <v>0.1</v>
      </c>
      <c r="F96" s="3114">
        <v>15</v>
      </c>
    </row>
    <row r="97" spans="1:6" ht="13.5">
      <c r="A97" s="3114">
        <v>25</v>
      </c>
      <c r="B97" s="3788"/>
      <c r="C97" s="3088" t="s">
        <v>2703</v>
      </c>
      <c r="D97" s="3088" t="s">
        <v>2704</v>
      </c>
      <c r="E97" s="3114">
        <v>0.1</v>
      </c>
      <c r="F97" s="3114">
        <v>15</v>
      </c>
    </row>
    <row r="98" spans="1:6" ht="24">
      <c r="A98" s="3114">
        <v>26</v>
      </c>
      <c r="B98" s="3788"/>
      <c r="C98" s="3088" t="s">
        <v>2705</v>
      </c>
      <c r="D98" s="3088" t="s">
        <v>2706</v>
      </c>
      <c r="E98" s="3114">
        <v>0.1</v>
      </c>
      <c r="F98" s="3114">
        <v>15</v>
      </c>
    </row>
    <row r="99" spans="1:6" ht="24">
      <c r="A99" s="3114">
        <v>27</v>
      </c>
      <c r="B99" s="3788"/>
      <c r="C99" s="3088" t="s">
        <v>2707</v>
      </c>
      <c r="D99" s="3088" t="s">
        <v>2708</v>
      </c>
      <c r="E99" s="3114">
        <v>0.1</v>
      </c>
      <c r="F99" s="3114">
        <v>15</v>
      </c>
    </row>
    <row r="100" spans="1:6" ht="13.5">
      <c r="A100" s="3114">
        <v>28</v>
      </c>
      <c r="B100" s="3788"/>
      <c r="C100" s="3088" t="s">
        <v>2709</v>
      </c>
      <c r="D100" s="3088" t="s">
        <v>2710</v>
      </c>
      <c r="E100" s="3114">
        <v>0.1</v>
      </c>
      <c r="F100" s="3114">
        <v>15</v>
      </c>
    </row>
    <row r="101" spans="1:6" ht="13.5">
      <c r="A101" s="3114">
        <v>29</v>
      </c>
      <c r="B101" s="3788"/>
      <c r="C101" s="3088" t="s">
        <v>2711</v>
      </c>
      <c r="D101" s="3088" t="s">
        <v>2712</v>
      </c>
      <c r="E101" s="3114">
        <v>0.1</v>
      </c>
      <c r="F101" s="3114">
        <v>15</v>
      </c>
    </row>
    <row r="102" spans="1:6" ht="13.5">
      <c r="A102" s="3114">
        <v>30</v>
      </c>
      <c r="B102" s="3788"/>
      <c r="C102" s="3088" t="s">
        <v>2713</v>
      </c>
      <c r="D102" s="3088" t="s">
        <v>2714</v>
      </c>
      <c r="E102" s="3114">
        <v>0.1</v>
      </c>
      <c r="F102" s="3114">
        <v>15</v>
      </c>
    </row>
    <row r="103" spans="1:6" ht="24">
      <c r="A103" s="3114">
        <v>31</v>
      </c>
      <c r="B103" s="3788"/>
      <c r="C103" s="3088" t="s">
        <v>2715</v>
      </c>
      <c r="D103" s="3088" t="s">
        <v>2716</v>
      </c>
      <c r="E103" s="3114">
        <v>0.1</v>
      </c>
      <c r="F103" s="3114">
        <v>15</v>
      </c>
    </row>
    <row r="104" spans="1:6" ht="24">
      <c r="A104" s="3114">
        <v>32</v>
      </c>
      <c r="B104" s="3788"/>
      <c r="C104" s="3088" t="s">
        <v>2717</v>
      </c>
      <c r="D104" s="3088" t="s">
        <v>2718</v>
      </c>
      <c r="E104" s="3114">
        <v>0.1</v>
      </c>
      <c r="F104" s="3114">
        <v>15</v>
      </c>
    </row>
    <row r="105" spans="1:6" ht="24">
      <c r="A105" s="3114">
        <v>33</v>
      </c>
      <c r="B105" s="3788"/>
      <c r="C105" s="3088" t="s">
        <v>2719</v>
      </c>
      <c r="D105" s="3088" t="s">
        <v>2720</v>
      </c>
      <c r="E105" s="3114">
        <v>0.1</v>
      </c>
      <c r="F105" s="3114">
        <v>15</v>
      </c>
    </row>
    <row r="106" spans="1:6" ht="24">
      <c r="A106" s="3114">
        <v>34</v>
      </c>
      <c r="B106" s="3787"/>
      <c r="C106" s="3088" t="s">
        <v>2721</v>
      </c>
      <c r="D106" s="3088" t="s">
        <v>2722</v>
      </c>
      <c r="E106" s="3114">
        <v>0.1</v>
      </c>
      <c r="F106" s="3114">
        <v>15</v>
      </c>
    </row>
    <row r="107" spans="1:6" ht="24">
      <c r="A107" s="3114">
        <v>35</v>
      </c>
      <c r="B107" s="3786" t="s">
        <v>2723</v>
      </c>
      <c r="C107" s="3114" t="s">
        <v>2724</v>
      </c>
      <c r="D107" s="3088" t="s">
        <v>2725</v>
      </c>
      <c r="E107" s="3114">
        <v>0.15</v>
      </c>
      <c r="F107" s="3114">
        <v>20</v>
      </c>
    </row>
    <row r="108" spans="1:6" ht="13.5">
      <c r="A108" s="3114">
        <v>36</v>
      </c>
      <c r="B108" s="3788"/>
      <c r="C108" s="3114" t="s">
        <v>2726</v>
      </c>
      <c r="D108" s="3088" t="s">
        <v>2727</v>
      </c>
      <c r="E108" s="3114">
        <v>0.15</v>
      </c>
      <c r="F108" s="3114">
        <v>20</v>
      </c>
    </row>
    <row r="109" spans="1:6" ht="13.5">
      <c r="A109" s="3114">
        <v>37</v>
      </c>
      <c r="B109" s="3788"/>
      <c r="C109" s="3114" t="s">
        <v>2728</v>
      </c>
      <c r="D109" s="3088" t="s">
        <v>2729</v>
      </c>
      <c r="E109" s="3114">
        <v>0.15</v>
      </c>
      <c r="F109" s="3114">
        <v>20</v>
      </c>
    </row>
    <row r="110" spans="1:6" ht="13.5">
      <c r="A110" s="3114">
        <v>38</v>
      </c>
      <c r="B110" s="3788"/>
      <c r="C110" s="3114" t="s">
        <v>2730</v>
      </c>
      <c r="D110" s="3088" t="s">
        <v>2731</v>
      </c>
      <c r="E110" s="3114">
        <v>0.1</v>
      </c>
      <c r="F110" s="3114">
        <v>15</v>
      </c>
    </row>
    <row r="111" spans="1:6" ht="24">
      <c r="A111" s="3114">
        <v>39</v>
      </c>
      <c r="B111" s="3788"/>
      <c r="C111" s="3114" t="s">
        <v>2732</v>
      </c>
      <c r="D111" s="3088" t="s">
        <v>2733</v>
      </c>
      <c r="E111" s="3114">
        <v>0.1</v>
      </c>
      <c r="F111" s="3114">
        <v>15</v>
      </c>
    </row>
    <row r="112" spans="1:6" ht="24">
      <c r="A112" s="3114">
        <v>40</v>
      </c>
      <c r="B112" s="3787"/>
      <c r="C112" s="3114" t="s">
        <v>2734</v>
      </c>
      <c r="D112" s="3088" t="s">
        <v>2735</v>
      </c>
      <c r="E112" s="3114">
        <v>0.1</v>
      </c>
      <c r="F112" s="3114">
        <v>15</v>
      </c>
    </row>
    <row r="113" spans="1:6" ht="13.5">
      <c r="A113" s="3114">
        <v>41</v>
      </c>
      <c r="B113" s="3785" t="s">
        <v>2736</v>
      </c>
      <c r="C113" s="3114" t="s">
        <v>2737</v>
      </c>
      <c r="D113" s="3088" t="s">
        <v>2738</v>
      </c>
      <c r="E113" s="3114">
        <v>0.1</v>
      </c>
      <c r="F113" s="3114">
        <v>15</v>
      </c>
    </row>
    <row r="114" spans="1:6" ht="13.5">
      <c r="A114" s="3114">
        <v>42</v>
      </c>
      <c r="B114" s="3785"/>
      <c r="C114" s="3114" t="s">
        <v>2739</v>
      </c>
      <c r="D114" s="3088" t="s">
        <v>2740</v>
      </c>
      <c r="E114" s="3114">
        <v>0.1</v>
      </c>
      <c r="F114" s="3114">
        <v>15</v>
      </c>
    </row>
    <row r="115" spans="1:6" ht="24">
      <c r="A115" s="3114">
        <v>43</v>
      </c>
      <c r="B115" s="3785"/>
      <c r="C115" s="3114" t="s">
        <v>2741</v>
      </c>
      <c r="D115" s="3088" t="s">
        <v>2742</v>
      </c>
      <c r="E115" s="3114">
        <v>0.1</v>
      </c>
      <c r="F115" s="3114">
        <v>15</v>
      </c>
    </row>
    <row r="116" spans="1:6" ht="13.5">
      <c r="A116" s="3114">
        <v>44</v>
      </c>
      <c r="B116" s="3786" t="s">
        <v>2743</v>
      </c>
      <c r="C116" s="3114" t="s">
        <v>2744</v>
      </c>
      <c r="D116" s="3088" t="s">
        <v>2745</v>
      </c>
      <c r="E116" s="3114">
        <v>0.1</v>
      </c>
      <c r="F116" s="3114">
        <v>15</v>
      </c>
    </row>
    <row r="117" spans="1:6" ht="24">
      <c r="A117" s="3114">
        <v>45</v>
      </c>
      <c r="B117" s="3787"/>
      <c r="C117" s="3088" t="s">
        <v>2746</v>
      </c>
      <c r="D117" s="3088" t="s">
        <v>2747</v>
      </c>
      <c r="E117" s="3114">
        <v>0.1</v>
      </c>
      <c r="F117" s="3114">
        <v>15</v>
      </c>
    </row>
    <row r="118" spans="1:6" ht="24">
      <c r="A118" s="3114">
        <v>46</v>
      </c>
      <c r="B118" s="3786" t="s">
        <v>2748</v>
      </c>
      <c r="C118" s="3114" t="s">
        <v>2749</v>
      </c>
      <c r="D118" s="3088" t="s">
        <v>2750</v>
      </c>
      <c r="E118" s="3114">
        <v>0.1</v>
      </c>
      <c r="F118" s="3114">
        <v>15</v>
      </c>
    </row>
    <row r="119" spans="1:6" ht="24">
      <c r="A119" s="3114">
        <v>47</v>
      </c>
      <c r="B119" s="3787"/>
      <c r="C119" s="3114" t="s">
        <v>2751</v>
      </c>
      <c r="D119" s="3088" t="s">
        <v>2752</v>
      </c>
      <c r="E119" s="3114">
        <v>0.1</v>
      </c>
      <c r="F119" s="3114">
        <v>15</v>
      </c>
    </row>
    <row r="120" spans="1:6" ht="13.5">
      <c r="A120" s="3114">
        <v>48</v>
      </c>
      <c r="B120" s="3786" t="s">
        <v>2753</v>
      </c>
      <c r="C120" s="3114" t="s">
        <v>2754</v>
      </c>
      <c r="D120" s="3088" t="s">
        <v>2755</v>
      </c>
      <c r="E120" s="3114">
        <v>0.1</v>
      </c>
      <c r="F120" s="3114">
        <v>15</v>
      </c>
    </row>
    <row r="121" spans="1:6" ht="13.5">
      <c r="A121" s="3114">
        <v>49</v>
      </c>
      <c r="B121" s="3787"/>
      <c r="C121" s="3114" t="s">
        <v>2756</v>
      </c>
      <c r="D121" s="3088" t="s">
        <v>2757</v>
      </c>
      <c r="E121" s="3114">
        <v>0.1</v>
      </c>
      <c r="F121" s="3114">
        <v>15</v>
      </c>
    </row>
    <row r="122" spans="1:6" ht="24">
      <c r="A122" s="3114">
        <v>50</v>
      </c>
      <c r="B122" s="3785" t="s">
        <v>2758</v>
      </c>
      <c r="C122" s="3114" t="s">
        <v>2759</v>
      </c>
      <c r="D122" s="3088" t="s">
        <v>2760</v>
      </c>
      <c r="E122" s="3114">
        <v>0.1</v>
      </c>
      <c r="F122" s="3114">
        <v>15</v>
      </c>
    </row>
    <row r="123" spans="1:6" ht="24">
      <c r="A123" s="3114">
        <v>51</v>
      </c>
      <c r="B123" s="3785"/>
      <c r="C123" s="3114" t="s">
        <v>2761</v>
      </c>
      <c r="D123" s="3088" t="s">
        <v>2762</v>
      </c>
      <c r="E123" s="3114">
        <v>0.1</v>
      </c>
      <c r="F123" s="3114">
        <v>15</v>
      </c>
    </row>
    <row r="124" spans="1:6" ht="24">
      <c r="A124" s="3114">
        <v>52</v>
      </c>
      <c r="B124" s="3785" t="s">
        <v>2763</v>
      </c>
      <c r="C124" s="3114" t="s">
        <v>2764</v>
      </c>
      <c r="D124" s="3088" t="s">
        <v>2765</v>
      </c>
      <c r="E124" s="3114">
        <v>0.1</v>
      </c>
      <c r="F124" s="3114">
        <v>15</v>
      </c>
    </row>
    <row r="125" spans="1:6" ht="24">
      <c r="A125" s="3114">
        <v>53</v>
      </c>
      <c r="B125" s="3785"/>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85" t="s">
        <v>2771</v>
      </c>
      <c r="C127" s="3114" t="s">
        <v>2772</v>
      </c>
      <c r="D127" s="3088" t="s">
        <v>2773</v>
      </c>
      <c r="E127" s="3114">
        <v>0.1</v>
      </c>
      <c r="F127" s="3114">
        <v>15</v>
      </c>
    </row>
    <row r="128" spans="1:6" ht="13.5">
      <c r="A128" s="3114">
        <v>56</v>
      </c>
      <c r="B128" s="3785"/>
      <c r="C128" s="3114" t="s">
        <v>2774</v>
      </c>
      <c r="D128" s="3088" t="s">
        <v>2775</v>
      </c>
      <c r="E128" s="3114">
        <v>0.1</v>
      </c>
      <c r="F128" s="3114">
        <v>15</v>
      </c>
    </row>
    <row r="129" spans="1:6" ht="24">
      <c r="A129" s="3114">
        <v>57</v>
      </c>
      <c r="B129" s="3785"/>
      <c r="C129" s="3114" t="s">
        <v>2776</v>
      </c>
      <c r="D129" s="3088" t="s">
        <v>2777</v>
      </c>
      <c r="E129" s="3114">
        <v>0.1</v>
      </c>
      <c r="F129" s="3114">
        <v>15</v>
      </c>
    </row>
    <row r="130" spans="1:6" ht="24">
      <c r="A130" s="3114">
        <v>58</v>
      </c>
      <c r="B130" s="3785" t="s">
        <v>2778</v>
      </c>
      <c r="C130" s="3114" t="s">
        <v>2779</v>
      </c>
      <c r="D130" s="3088" t="s">
        <v>2780</v>
      </c>
      <c r="E130" s="3114">
        <v>0.1</v>
      </c>
      <c r="F130" s="3114">
        <v>15</v>
      </c>
    </row>
    <row r="131" spans="1:6" ht="13.5">
      <c r="A131" s="3114">
        <v>59</v>
      </c>
      <c r="B131" s="3785"/>
      <c r="C131" s="3114" t="s">
        <v>2781</v>
      </c>
      <c r="D131" s="3088" t="s">
        <v>2782</v>
      </c>
      <c r="E131" s="3114">
        <v>0.1</v>
      </c>
      <c r="F131" s="3114">
        <v>15</v>
      </c>
    </row>
    <row r="132" spans="1:6" ht="13.5">
      <c r="A132" s="3114">
        <v>60</v>
      </c>
      <c r="B132" s="3786" t="s">
        <v>2783</v>
      </c>
      <c r="C132" s="3114" t="s">
        <v>2784</v>
      </c>
      <c r="D132" s="3088" t="s">
        <v>2785</v>
      </c>
      <c r="E132" s="3114">
        <v>0.1</v>
      </c>
      <c r="F132" s="3114">
        <v>15</v>
      </c>
    </row>
    <row r="133" spans="1:6" ht="13.5">
      <c r="A133" s="3114">
        <v>61</v>
      </c>
      <c r="B133" s="3787"/>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85" t="s">
        <v>2791</v>
      </c>
      <c r="C135" s="3114" t="s">
        <v>2792</v>
      </c>
      <c r="D135" s="3088" t="s">
        <v>2793</v>
      </c>
      <c r="E135" s="3114">
        <v>0.1</v>
      </c>
      <c r="F135" s="3114">
        <v>15</v>
      </c>
    </row>
    <row r="136" spans="1:6" ht="13.5">
      <c r="A136" s="3114">
        <v>64</v>
      </c>
      <c r="B136" s="3785"/>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2800</v>
      </c>
      <c r="B1" s="3123"/>
      <c r="C1" s="3123"/>
      <c r="D1" s="3123"/>
      <c r="E1" s="3123"/>
      <c r="F1" s="3123"/>
      <c r="G1" s="3123"/>
      <c r="H1" s="3123"/>
      <c r="I1" s="3123"/>
      <c r="J1" s="3123"/>
      <c r="K1" s="3123"/>
      <c r="L1" s="3123"/>
      <c r="M1" s="3123"/>
      <c r="N1" s="749"/>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50">
        <f>SUMPRODUCT((A95:A184=ROUNDDOWN(基准地价修正!G3,1))*(B94:M94=基准地价修正!G2)*(B95:M184))</f>
        <v>1.0556000000000001</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50">
        <f>SUMPRODUCT((A371:A460=ROUNDDOWN(基准地价修正!G3,1))*(B370:M370=基准地价修正!G2)*(B371:M460))</f>
        <v>0.96089999999999998</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44358</v>
      </c>
      <c r="C2" s="2" t="s">
        <v>106</v>
      </c>
      <c r="D2" s="199"/>
      <c r="E2" s="199"/>
      <c r="F2" s="199"/>
      <c r="G2" s="199"/>
    </row>
    <row r="3" spans="1:7" s="200" customFormat="1" ht="18" customHeight="1" thickBot="1">
      <c r="A3" s="203" t="s">
        <v>58</v>
      </c>
      <c r="B3" s="204">
        <f ca="1">ROUND(B2*10000/'数据-汇总表'!E3,0)</f>
        <v>9315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47621.420000000006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952</v>
      </c>
      <c r="D19" s="849">
        <f>'数据-汇总表'!E3</f>
        <v>47621.420000000006</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1169</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1485</v>
      </c>
      <c r="D27" s="235">
        <f>C29</f>
        <v>1.4E-3</v>
      </c>
      <c r="E27" s="236" t="s">
        <v>99</v>
      </c>
      <c r="F27" s="246">
        <f>'数据-取费表'!Q16</f>
        <v>0.09</v>
      </c>
      <c r="G27" s="247" t="s">
        <v>431</v>
      </c>
    </row>
    <row r="28" spans="1:7" s="214" customFormat="1" ht="13.5" customHeight="1">
      <c r="A28" s="780" t="s">
        <v>349</v>
      </c>
      <c r="B28" s="248" t="s">
        <v>424</v>
      </c>
      <c r="C28" s="249">
        <f>ROUND((C5+C19+C20)*F27*'数据-取费表'!B21/'数据-取费表'!B20,0)</f>
        <v>1485</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14408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12858</v>
      </c>
      <c r="D34" s="217"/>
      <c r="E34" s="220"/>
      <c r="F34" s="257">
        <f>IF('数据-取费表'!B24=0,1,'数据-取费表'!N16)</f>
        <v>0.75</v>
      </c>
      <c r="G34" s="219" t="s">
        <v>89</v>
      </c>
    </row>
    <row r="35" spans="1:7" ht="13.5" customHeight="1">
      <c r="A35" s="780" t="s">
        <v>351</v>
      </c>
      <c r="B35" s="215" t="s">
        <v>33</v>
      </c>
      <c r="C35" s="220">
        <f>ROUND(C34*F35,0)</f>
        <v>643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714</v>
      </c>
      <c r="D37" s="217">
        <f>'数据-汇总表'!E3</f>
        <v>47621.420000000006</v>
      </c>
      <c r="E37" s="249">
        <f>'数据-取费表'!B35</f>
        <v>200</v>
      </c>
      <c r="F37" s="259"/>
      <c r="G37" s="261" t="s">
        <v>92</v>
      </c>
    </row>
    <row r="38" spans="1:7" ht="13.5" customHeight="1">
      <c r="A38" s="780" t="s">
        <v>354</v>
      </c>
      <c r="B38" s="215" t="s">
        <v>36</v>
      </c>
      <c r="C38" s="220">
        <f>ROUND(C34*F38,0)</f>
        <v>193</v>
      </c>
      <c r="D38" s="220"/>
      <c r="E38" s="220"/>
      <c r="F38" s="259">
        <f>'数据-取费表'!B36</f>
        <v>1.4999999999999999E-2</v>
      </c>
      <c r="G38" s="219" t="s">
        <v>90</v>
      </c>
    </row>
    <row r="39" spans="1:7" s="214" customFormat="1" ht="13.5" customHeight="1">
      <c r="A39" s="777" t="s">
        <v>338</v>
      </c>
      <c r="B39" s="210" t="s">
        <v>77</v>
      </c>
      <c r="C39" s="232">
        <f>ROUND(C33*F20,0)</f>
        <v>288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382</v>
      </c>
      <c r="D42" s="238"/>
      <c r="E42" s="238"/>
      <c r="F42" s="239"/>
      <c r="G42" s="3661" t="s">
        <v>94</v>
      </c>
    </row>
    <row r="43" spans="1:7" ht="13.5" customHeight="1">
      <c r="A43" s="780" t="s">
        <v>347</v>
      </c>
      <c r="B43" s="215" t="s">
        <v>426</v>
      </c>
      <c r="C43" s="238">
        <f ca="1">ROUND(IF('数据-取费表'!B22&lt;=1,C39*F22*'数据-取费表'!B21/2,C39*(POWER((1+F22),'数据-取费表'!B21/2)-1)),0)</f>
        <v>8</v>
      </c>
      <c r="D43" s="238"/>
      <c r="E43" s="238"/>
      <c r="F43" s="239"/>
      <c r="G43" s="3662"/>
    </row>
    <row r="44" spans="1:7" ht="13.5" customHeight="1">
      <c r="A44" s="780" t="s">
        <v>348</v>
      </c>
      <c r="B44" s="215" t="s">
        <v>428</v>
      </c>
      <c r="C44" s="238">
        <f ca="1">ROUND(IF('数据-取费表'!B22&lt;=1,C40*F22*'数据-取费表'!B21/2,C40*(POWER((1+F22),'数据-取费表'!B21/2)-1)),4)</f>
        <v>5.0000000000000001E-4</v>
      </c>
      <c r="D44" s="238"/>
      <c r="E44" s="238"/>
      <c r="F44" s="239"/>
      <c r="G44" s="3663"/>
    </row>
    <row r="45" spans="1:7" s="214" customFormat="1" ht="13.5" customHeight="1">
      <c r="A45" s="777" t="s">
        <v>341</v>
      </c>
      <c r="B45" s="244" t="s">
        <v>85</v>
      </c>
      <c r="C45" s="245">
        <f>C46</f>
        <v>1323</v>
      </c>
      <c r="D45" s="235">
        <f>C47</f>
        <v>1.8E-3</v>
      </c>
      <c r="E45" s="236" t="s">
        <v>102</v>
      </c>
      <c r="F45" s="246"/>
      <c r="G45" s="247" t="s">
        <v>434</v>
      </c>
    </row>
    <row r="46" spans="1:7" s="214" customFormat="1" ht="13.5" customHeight="1">
      <c r="A46" s="780" t="s">
        <v>349</v>
      </c>
      <c r="B46" s="248" t="s">
        <v>427</v>
      </c>
      <c r="C46" s="249">
        <f>ROUND((C33+C39)*F27,0)</f>
        <v>1323</v>
      </c>
      <c r="D46" s="263"/>
      <c r="E46" s="236"/>
      <c r="F46" s="246"/>
      <c r="G46" s="247"/>
    </row>
    <row r="47" spans="1:7" s="214" customFormat="1" ht="13.5" customHeight="1">
      <c r="A47" s="780" t="s">
        <v>347</v>
      </c>
      <c r="B47" s="248" t="s">
        <v>429</v>
      </c>
      <c r="C47" s="238">
        <f>ROUND(C40*F27,4)</f>
        <v>1.8E-3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17733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17733</v>
      </c>
      <c r="D51" s="232"/>
      <c r="E51" s="232"/>
      <c r="F51" s="264"/>
      <c r="G51" s="234" t="s">
        <v>37</v>
      </c>
    </row>
    <row r="52" spans="1:7" s="208" customFormat="1" ht="16.5" thickBot="1">
      <c r="A52" s="265" t="s">
        <v>38</v>
      </c>
      <c r="B52" s="266"/>
      <c r="C52" s="267">
        <f ca="1">C31+C51</f>
        <v>44358</v>
      </c>
      <c r="D52" s="266"/>
      <c r="E52" s="266"/>
      <c r="F52" s="266"/>
      <c r="G52" s="268"/>
    </row>
    <row r="55" spans="1:7" ht="15">
      <c r="B55" s="270" t="s">
        <v>39</v>
      </c>
      <c r="C55" s="271"/>
    </row>
    <row r="56" spans="1:7">
      <c r="B56" s="273" t="s">
        <v>40</v>
      </c>
      <c r="C56" s="274">
        <f ca="1">ROUND(C51/C52,3)</f>
        <v>0.4</v>
      </c>
    </row>
    <row r="57" spans="1:7">
      <c r="B57" s="273" t="s">
        <v>41</v>
      </c>
      <c r="C57" s="275">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9" t="s">
        <v>2843</v>
      </c>
      <c r="B1" s="3799"/>
      <c r="C1" s="3799"/>
      <c r="D1" s="3799"/>
      <c r="E1" s="3799"/>
      <c r="F1" s="3799"/>
      <c r="G1" s="3800"/>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7" t="s">
        <v>2870</v>
      </c>
      <c r="B3" s="3226"/>
      <c r="C3" s="3227" t="s">
        <v>2813</v>
      </c>
      <c r="D3" s="3227" t="s">
        <v>2871</v>
      </c>
      <c r="E3" s="3227" t="s">
        <v>2815</v>
      </c>
      <c r="F3" s="3227" t="s">
        <v>2872</v>
      </c>
      <c r="G3" s="3227" t="s">
        <v>2633</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98"/>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1" t="s">
        <v>3185</v>
      </c>
      <c r="B1" s="3801"/>
    </row>
    <row r="2" spans="1:7" ht="14.25" thickBot="1">
      <c r="A2" s="3251"/>
      <c r="B2" s="3251"/>
    </row>
    <row r="3" spans="1:7" ht="14.25" thickBot="1">
      <c r="A3" s="3251"/>
      <c r="B3" s="3251"/>
      <c r="C3" s="3252" t="s">
        <v>2813</v>
      </c>
      <c r="D3" s="3252" t="s">
        <v>2871</v>
      </c>
      <c r="E3" s="3252" t="s">
        <v>2815</v>
      </c>
      <c r="F3" s="3252" t="s">
        <v>2872</v>
      </c>
      <c r="G3" s="3252" t="s">
        <v>2633</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2" t="s">
        <v>3236</v>
      </c>
      <c r="B1" s="3802"/>
      <c r="C1" s="3802"/>
      <c r="D1" s="3802"/>
      <c r="E1" s="3802"/>
      <c r="F1" s="3803"/>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45111</v>
      </c>
      <c r="B1" s="3206" t="s">
        <v>2842</v>
      </c>
      <c r="C1" s="3207"/>
      <c r="D1" s="3207"/>
      <c r="E1" s="3207"/>
      <c r="F1" s="3207"/>
      <c r="G1" s="3207"/>
      <c r="H1" s="3207"/>
      <c r="I1" s="3207"/>
      <c r="J1" s="3161"/>
      <c r="K1" s="3207" t="s">
        <v>454</v>
      </c>
      <c r="L1" s="3207"/>
      <c r="M1" s="3207"/>
      <c r="N1" s="3207"/>
      <c r="O1" s="3207"/>
      <c r="P1" s="3207"/>
      <c r="Q1" s="3161"/>
      <c r="R1" s="3804" t="s">
        <v>456</v>
      </c>
      <c r="S1" s="3805"/>
      <c r="T1" s="3805"/>
      <c r="U1" s="3805"/>
      <c r="V1" s="3805"/>
      <c r="W1" s="3805"/>
      <c r="X1" s="3161"/>
      <c r="Y1" s="3804" t="s">
        <v>457</v>
      </c>
      <c r="Z1" s="3805"/>
      <c r="AA1" s="3805"/>
      <c r="AB1" s="3805"/>
      <c r="AC1" s="3805"/>
      <c r="AD1" s="3805"/>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804" t="s">
        <v>2830</v>
      </c>
      <c r="S21" s="3805"/>
      <c r="T21" s="3805"/>
      <c r="U21" s="3805"/>
      <c r="V21" s="3805"/>
      <c r="W21" s="3805"/>
      <c r="X21" s="3161"/>
      <c r="Y21" s="3804" t="s">
        <v>2831</v>
      </c>
      <c r="Z21" s="3805"/>
      <c r="AA21" s="3805"/>
      <c r="AB21" s="3805"/>
      <c r="AC21" s="3805"/>
      <c r="AD21" s="3805"/>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1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45111</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30">
      <c r="A4" s="1504" t="str">
        <f>项目基本情况!S2</f>
        <v>北京市顺义区赵全营镇板桥村房地产</v>
      </c>
      <c r="B4" s="854">
        <f>项目基本情况!C17</f>
        <v>47621.420000000006</v>
      </c>
      <c r="C4" s="854">
        <f>项目基本情况!C18</f>
        <v>17833.27</v>
      </c>
      <c r="D4" s="854">
        <f ca="1">结果表!D118</f>
        <v>6854</v>
      </c>
      <c r="E4" s="854">
        <f ca="1">结果表!E118</f>
        <v>1440</v>
      </c>
      <c r="F4" s="854">
        <f ca="1">结果表!F118</f>
        <v>17802</v>
      </c>
      <c r="G4" s="854">
        <f ca="1">结果表!G118</f>
        <v>3738</v>
      </c>
      <c r="H4" s="854">
        <f ca="1">结果表!H118</f>
        <v>24656</v>
      </c>
      <c r="I4" s="854">
        <f ca="1">结果表!I118</f>
        <v>5178</v>
      </c>
    </row>
    <row r="5" spans="1:9" ht="30" customHeight="1">
      <c r="A5" s="3492" t="s">
        <v>927</v>
      </c>
      <c r="B5" s="3492"/>
      <c r="C5" s="3492"/>
      <c r="D5" s="3492" t="str">
        <f ca="1">结果表!D119</f>
        <v>陆仟捌佰伍拾肆万元整</v>
      </c>
      <c r="E5" s="3492"/>
      <c r="F5" s="3492" t="str">
        <f ca="1">结果表!F119</f>
        <v>壹亿柒仟捌佰零贰万元整</v>
      </c>
      <c r="G5" s="3492"/>
      <c r="H5" s="3492" t="str">
        <f ca="1">结果表!H119</f>
        <v>贰亿肆仟陆佰伍拾陆万元整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24656</v>
      </c>
      <c r="E8" s="3491"/>
      <c r="F8" s="3491"/>
      <c r="G8" s="3491"/>
      <c r="H8" s="3491"/>
      <c r="I8" s="3491"/>
    </row>
    <row r="9" spans="1:9" ht="15">
      <c r="A9" s="3492" t="s">
        <v>927</v>
      </c>
      <c r="B9" s="3492"/>
      <c r="C9" s="3492"/>
      <c r="D9" s="3492" t="str">
        <f ca="1">结果表!D123</f>
        <v>贰亿肆仟陆佰伍拾陆万元整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4" t="s">
        <v>949</v>
      </c>
      <c r="B1" s="3504"/>
      <c r="C1" s="3504"/>
      <c r="D1" s="3504"/>
    </row>
    <row r="2" spans="1:4" ht="18">
      <c r="A2" s="3505" t="s">
        <v>933</v>
      </c>
      <c r="B2" s="3505"/>
      <c r="C2" s="3505"/>
      <c r="D2" s="350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5" t="s">
        <v>939</v>
      </c>
      <c r="B6" s="3505"/>
      <c r="C6" s="3505"/>
      <c r="D6" s="350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2" t="s">
        <v>956</v>
      </c>
      <c r="B15" s="3507" t="s">
        <v>109</v>
      </c>
      <c r="C15" s="3508"/>
    </row>
    <row r="16" spans="1:7" ht="13.5">
      <c r="A16" s="3513"/>
      <c r="B16" s="3507" t="s">
        <v>42</v>
      </c>
      <c r="C16" s="3508"/>
    </row>
    <row r="17" spans="1:3" ht="13.5">
      <c r="A17" s="3513"/>
      <c r="B17" s="3510" t="s">
        <v>957</v>
      </c>
      <c r="C17" s="1531" t="s">
        <v>956</v>
      </c>
    </row>
    <row r="18" spans="1:3" ht="13.5">
      <c r="A18" s="3513"/>
      <c r="B18" s="3510"/>
      <c r="C18" s="1531" t="s">
        <v>958</v>
      </c>
    </row>
    <row r="19" spans="1:3" ht="13.5">
      <c r="A19" s="3513"/>
      <c r="B19" s="3510"/>
      <c r="C19" s="1531" t="s">
        <v>959</v>
      </c>
    </row>
    <row r="20" spans="1:3" ht="13.5">
      <c r="A20" s="3514"/>
      <c r="B20" s="3509" t="s">
        <v>960</v>
      </c>
      <c r="C20" s="3508"/>
    </row>
    <row r="21" spans="1:3" ht="13.5">
      <c r="A21" s="1532" t="s">
        <v>961</v>
      </c>
      <c r="B21" s="1533"/>
      <c r="C21" s="1534"/>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1" t="s">
        <v>967</v>
      </c>
    </row>
    <row r="26" spans="1:3" ht="13.5">
      <c r="A26" s="3511"/>
      <c r="B26" s="3510"/>
      <c r="C26" s="1531" t="s">
        <v>968</v>
      </c>
    </row>
    <row r="27" spans="1:3" ht="13.5">
      <c r="A27" s="3511"/>
      <c r="B27" s="3510"/>
      <c r="C27" s="1531" t="s">
        <v>969</v>
      </c>
    </row>
    <row r="28" spans="1:3" ht="13.5">
      <c r="A28" s="3511"/>
      <c r="B28" s="3510"/>
      <c r="C28" s="1531" t="s">
        <v>970</v>
      </c>
    </row>
    <row r="29" spans="1:3" ht="13.5">
      <c r="A29" s="3511"/>
      <c r="B29" s="3510"/>
      <c r="C29" s="1531" t="s">
        <v>971</v>
      </c>
    </row>
    <row r="30" spans="1:3" ht="13.5">
      <c r="A30" s="3511"/>
      <c r="B30" s="3510"/>
      <c r="C30" s="1531" t="s">
        <v>972</v>
      </c>
    </row>
    <row r="31" spans="1:3" ht="13.5">
      <c r="A31" s="3511"/>
      <c r="B31" s="3510"/>
      <c r="C31" s="1531" t="s">
        <v>973</v>
      </c>
    </row>
    <row r="32" spans="1:3" ht="13.5">
      <c r="A32" s="3511"/>
      <c r="B32" s="3510"/>
      <c r="C32" s="1531" t="s">
        <v>974</v>
      </c>
    </row>
    <row r="33" spans="1:3" ht="13.5">
      <c r="A33" s="3511"/>
      <c r="B33" s="351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45113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5" t="s">
        <v>2158</v>
      </c>
      <c r="B17" s="3515"/>
      <c r="C17" s="3515"/>
      <c r="D17" s="3515"/>
      <c r="E17" s="3515"/>
      <c r="F17" s="3515"/>
      <c r="G17" s="3515"/>
      <c r="H17" s="3515"/>
    </row>
    <row r="18" spans="1:8" ht="24" customHeight="1">
      <c r="A18" s="3516" t="s">
        <v>2159</v>
      </c>
      <c r="B18" s="3516"/>
      <c r="C18" s="3516"/>
      <c r="D18" s="2342"/>
      <c r="E18" s="3517" t="s">
        <v>2160</v>
      </c>
      <c r="F18" s="3516"/>
      <c r="G18" s="3516"/>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收益法(仓储)</vt:lpstr>
      <vt:lpstr>收益法(车库)</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2023-07-06T07:11:03Z</dcterms:modified>
</cp:coreProperties>
</file>