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富贵园\"/>
    </mc:Choice>
  </mc:AlternateContent>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sheetId="15" r:id="rId34"/>
    <sheet name="信息"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33">收益法!$A$1:$F$43</definedName>
    <definedName name="_xlnm.Print_Area" localSheetId="22">'收益法 (元)'!$A$1:$AK$69</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24" i="77" l="1"/>
  <c r="F23" i="77"/>
  <c r="E19" i="77"/>
  <c r="C5" i="77" l="1"/>
  <c r="C4" i="77"/>
  <c r="C3" i="77"/>
  <c r="E15" i="77" l="1"/>
  <c r="D15" i="77"/>
  <c r="C15" i="77"/>
  <c r="E14" i="77"/>
  <c r="N6" i="1"/>
  <c r="B6" i="77"/>
  <c r="D2" i="77"/>
  <c r="U4" i="43"/>
  <c r="U3" i="43"/>
  <c r="U2" i="43"/>
  <c r="G49" i="43"/>
  <c r="G50" i="43"/>
  <c r="G51" i="43"/>
  <c r="G52" i="43"/>
  <c r="G53" i="43"/>
  <c r="G54" i="43"/>
  <c r="G55" i="43"/>
  <c r="G56" i="43"/>
  <c r="G48" i="43"/>
  <c r="D5" i="77"/>
  <c r="D4" i="77"/>
  <c r="D3" i="77"/>
  <c r="Y6" i="1"/>
  <c r="K13" i="3"/>
  <c r="G19" i="6" s="1"/>
  <c r="I13" i="3"/>
  <c r="F19" i="6"/>
  <c r="B5" i="77"/>
  <c r="B4" i="77"/>
  <c r="B3" i="77"/>
  <c r="B2" i="77"/>
  <c r="AD5" i="71"/>
  <c r="AH5" i="71"/>
  <c r="AG5" i="71"/>
  <c r="AE5" i="71"/>
  <c r="AF5" i="71"/>
  <c r="Q5" i="71"/>
  <c r="P5" i="71"/>
  <c r="O5" i="71"/>
  <c r="N5" i="71"/>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E9" i="71"/>
  <c r="O9" i="71"/>
  <c r="Q10" i="71"/>
  <c r="F9" i="71"/>
  <c r="P10" i="71"/>
  <c r="O10" i="71"/>
  <c r="N10" i="71"/>
  <c r="A2" i="53"/>
  <c r="B19" i="72"/>
  <c r="K59" i="67"/>
  <c r="K59" i="15"/>
  <c r="P74" i="15"/>
  <c r="D116" i="39"/>
  <c r="E116" i="39"/>
  <c r="F116" i="39"/>
  <c r="G116" i="39"/>
  <c r="H116" i="39"/>
  <c r="I116" i="39"/>
  <c r="J116" i="39"/>
  <c r="K116" i="39"/>
  <c r="L116" i="39"/>
  <c r="M116" i="39"/>
  <c r="C116" i="39"/>
  <c r="A21" i="62"/>
  <c r="A20" i="62"/>
  <c r="A22" i="51"/>
  <c r="A21" i="51"/>
  <c r="B16" i="72"/>
  <c r="A20" i="51"/>
  <c r="A15" i="62"/>
  <c r="B61" i="72"/>
  <c r="A14" i="62"/>
  <c r="A13" i="62"/>
  <c r="A19" i="62"/>
  <c r="A12" i="62"/>
  <c r="B58" i="72"/>
  <c r="A120" i="9"/>
  <c r="H2" i="52"/>
  <c r="A1" i="52"/>
  <c r="A3" i="53"/>
  <c r="Q11" i="71"/>
  <c r="P11" i="71"/>
  <c r="O11" i="71"/>
  <c r="N11" i="71"/>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AB9"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B19" i="53"/>
  <c r="B37" i="72"/>
  <c r="E109" i="9"/>
  <c r="A124" i="9"/>
  <c r="B44" i="72"/>
  <c r="B42" i="72"/>
  <c r="B69" i="72"/>
  <c r="B68" i="72"/>
  <c r="B63" i="72"/>
  <c r="B62" i="72"/>
  <c r="B65" i="72"/>
  <c r="B60" i="72"/>
  <c r="B59" i="72"/>
  <c r="B67" i="72"/>
  <c r="B66" i="72"/>
  <c r="B12" i="72"/>
  <c r="B10" i="72"/>
  <c r="C53" i="10"/>
  <c r="B51" i="10"/>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C28" i="71"/>
  <c r="N26" i="71"/>
  <c r="B27" i="71"/>
  <c r="B28" i="71"/>
  <c r="B29" i="71"/>
  <c r="S29" i="71"/>
  <c r="D26" i="71"/>
  <c r="Q25" i="71"/>
  <c r="P25" i="71"/>
  <c r="O25" i="71"/>
  <c r="N25" i="71"/>
  <c r="Q24" i="71"/>
  <c r="AB24" i="71"/>
  <c r="P24" i="71"/>
  <c r="AA24" i="71"/>
  <c r="O24" i="71"/>
  <c r="Y24" i="71"/>
  <c r="Z24" i="71"/>
  <c r="N24" i="71"/>
  <c r="X24" i="71"/>
  <c r="Q23" i="71"/>
  <c r="AB23" i="71"/>
  <c r="P23" i="71"/>
  <c r="AA23" i="71"/>
  <c r="O23" i="71"/>
  <c r="Y23" i="71"/>
  <c r="Z23" i="71"/>
  <c r="N23" i="71"/>
  <c r="Q22" i="71"/>
  <c r="F23" i="71"/>
  <c r="F24" i="71"/>
  <c r="F25" i="71"/>
  <c r="V25" i="71"/>
  <c r="P22" i="71"/>
  <c r="O22" i="71"/>
  <c r="N22" i="71"/>
  <c r="B23" i="71"/>
  <c r="B24" i="71"/>
  <c r="B25" i="71"/>
  <c r="S25" i="71"/>
  <c r="D22" i="71"/>
  <c r="Q21" i="71"/>
  <c r="AB21" i="71"/>
  <c r="P21" i="71"/>
  <c r="AA20" i="71"/>
  <c r="O21" i="71"/>
  <c r="Y21" i="71"/>
  <c r="Z21" i="71"/>
  <c r="N21" i="71"/>
  <c r="Q20" i="71"/>
  <c r="AB20" i="71"/>
  <c r="P20" i="71"/>
  <c r="O20" i="71"/>
  <c r="Y20" i="71"/>
  <c r="Z20" i="71"/>
  <c r="N20" i="71"/>
  <c r="Q19" i="71"/>
  <c r="AB19" i="71"/>
  <c r="P19" i="71"/>
  <c r="AA19" i="71"/>
  <c r="O19" i="71"/>
  <c r="Y19" i="71"/>
  <c r="Z19" i="71"/>
  <c r="N19" i="71"/>
  <c r="Q18" i="71"/>
  <c r="F19" i="71"/>
  <c r="F20" i="71"/>
  <c r="F21" i="71"/>
  <c r="V21" i="71"/>
  <c r="P18" i="71"/>
  <c r="O18" i="71"/>
  <c r="N18" i="71"/>
  <c r="D18" i="71"/>
  <c r="Q17" i="71"/>
  <c r="AB17" i="71"/>
  <c r="P17" i="71"/>
  <c r="O17" i="71"/>
  <c r="Y17" i="71"/>
  <c r="Z17" i="71"/>
  <c r="N17" i="71"/>
  <c r="X16" i="71"/>
  <c r="Q16" i="71"/>
  <c r="AB16" i="71"/>
  <c r="P16" i="71"/>
  <c r="O16" i="71"/>
  <c r="Y16" i="71"/>
  <c r="Z16" i="71"/>
  <c r="N16" i="71"/>
  <c r="Q15" i="71"/>
  <c r="AB15" i="71"/>
  <c r="P15" i="71"/>
  <c r="O15" i="71"/>
  <c r="Y15" i="71"/>
  <c r="Z15" i="71"/>
  <c r="N15" i="71"/>
  <c r="X15" i="71"/>
  <c r="Q14" i="71"/>
  <c r="F15" i="71"/>
  <c r="F16" i="71"/>
  <c r="F17" i="71"/>
  <c r="V17" i="71"/>
  <c r="P14" i="71"/>
  <c r="E15" i="71"/>
  <c r="E16" i="71"/>
  <c r="E17" i="71"/>
  <c r="U17" i="71"/>
  <c r="O14" i="71"/>
  <c r="N14" i="71"/>
  <c r="X11" i="71"/>
  <c r="D14" i="71"/>
  <c r="O13" i="71"/>
  <c r="C13" i="71"/>
  <c r="N13" i="71"/>
  <c r="B15" i="71"/>
  <c r="B16" i="71"/>
  <c r="B17" i="71"/>
  <c r="S17" i="71"/>
  <c r="X14" i="71"/>
  <c r="B19" i="71"/>
  <c r="B20" i="71"/>
  <c r="B21" i="71"/>
  <c r="S21" i="71"/>
  <c r="X18" i="71"/>
  <c r="E23" i="71"/>
  <c r="E24" i="71"/>
  <c r="E25" i="71"/>
  <c r="U25" i="71"/>
  <c r="AA22" i="71"/>
  <c r="N53" i="71"/>
  <c r="E19" i="71"/>
  <c r="E20" i="71"/>
  <c r="E21" i="71"/>
  <c r="U21" i="71"/>
  <c r="AA18" i="71"/>
  <c r="C15" i="71"/>
  <c r="Y14" i="71"/>
  <c r="Z14" i="71"/>
  <c r="AB14" i="71"/>
  <c r="AA15" i="71"/>
  <c r="AA16" i="71"/>
  <c r="AA17" i="71"/>
  <c r="C19" i="71"/>
  <c r="C20" i="71"/>
  <c r="D20" i="71"/>
  <c r="X19" i="71"/>
  <c r="X20" i="71"/>
  <c r="X21" i="71"/>
  <c r="C23" i="71"/>
  <c r="C24" i="71"/>
  <c r="Y22" i="71"/>
  <c r="Z22" i="71"/>
  <c r="X23" i="71"/>
  <c r="Y3" i="71"/>
  <c r="Z3" i="71"/>
  <c r="B13" i="71"/>
  <c r="B12" i="71"/>
  <c r="B11" i="71"/>
  <c r="X10" i="71"/>
  <c r="X12" i="71"/>
  <c r="C16" i="71"/>
  <c r="D16" i="71"/>
  <c r="D15" i="71"/>
  <c r="D19" i="71"/>
  <c r="D23" i="71"/>
  <c r="D27" i="71"/>
  <c r="C32" i="71"/>
  <c r="D32" i="71"/>
  <c r="D31" i="71"/>
  <c r="C36" i="71"/>
  <c r="D36" i="71"/>
  <c r="D35" i="71"/>
  <c r="P13" i="71"/>
  <c r="AA3" i="71"/>
  <c r="E40" i="71"/>
  <c r="E41" i="71"/>
  <c r="U41" i="71"/>
  <c r="E44" i="71"/>
  <c r="E45" i="71"/>
  <c r="U45" i="71"/>
  <c r="E48" i="71"/>
  <c r="E49" i="71"/>
  <c r="U49" i="71"/>
  <c r="U53" i="71"/>
  <c r="E52" i="71"/>
  <c r="E51" i="71"/>
  <c r="Q13" i="71"/>
  <c r="C44" i="71"/>
  <c r="D44" i="71"/>
  <c r="D43" i="71"/>
  <c r="C48" i="71"/>
  <c r="C49" i="71"/>
  <c r="D47" i="71"/>
  <c r="N52" i="71"/>
  <c r="B51" i="71"/>
  <c r="T53" i="71"/>
  <c r="O53" i="71"/>
  <c r="D53" i="71"/>
  <c r="C52" i="71"/>
  <c r="O52" i="71"/>
  <c r="Q53" i="71"/>
  <c r="C56" i="71"/>
  <c r="D56" i="71"/>
  <c r="E56" i="71"/>
  <c r="E55" i="71"/>
  <c r="D57" i="71"/>
  <c r="C60" i="71"/>
  <c r="C59" i="71"/>
  <c r="D59" i="71"/>
  <c r="E60" i="71"/>
  <c r="E59" i="71"/>
  <c r="D61" i="71"/>
  <c r="C64" i="71"/>
  <c r="C63" i="71"/>
  <c r="D63" i="71"/>
  <c r="E64" i="71"/>
  <c r="E63" i="71"/>
  <c r="D65" i="71"/>
  <c r="C68" i="71"/>
  <c r="D68" i="71"/>
  <c r="C72" i="71"/>
  <c r="S13" i="71"/>
  <c r="F13" i="71"/>
  <c r="F12" i="71"/>
  <c r="F11" i="71"/>
  <c r="AB10" i="71"/>
  <c r="AB12" i="71"/>
  <c r="E13" i="71"/>
  <c r="E12" i="71"/>
  <c r="E11" i="71"/>
  <c r="AA10" i="71"/>
  <c r="AA12" i="71"/>
  <c r="C51" i="71"/>
  <c r="D51" i="71"/>
  <c r="D52" i="71"/>
  <c r="D48" i="71"/>
  <c r="C67" i="71"/>
  <c r="D67" i="71"/>
  <c r="D60" i="71"/>
  <c r="N50" i="71"/>
  <c r="N51" i="71"/>
  <c r="D72" i="71"/>
  <c r="C71" i="71"/>
  <c r="D71" i="71"/>
  <c r="D64" i="71"/>
  <c r="C55" i="71"/>
  <c r="D55" i="71"/>
  <c r="C45" i="71"/>
  <c r="T45" i="71"/>
  <c r="P52" i="71"/>
  <c r="C37" i="71"/>
  <c r="T37" i="71"/>
  <c r="C21" i="71"/>
  <c r="T21" i="71"/>
  <c r="C17" i="71"/>
  <c r="T17" i="71"/>
  <c r="O51" i="71"/>
  <c r="O50" i="71"/>
  <c r="D17" i="71"/>
  <c r="D21" i="71"/>
  <c r="D37" i="71"/>
  <c r="D45"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F21" i="34"/>
  <c r="AA21" i="34"/>
  <c r="C21" i="34"/>
  <c r="Q21" i="33"/>
  <c r="Z21" i="33"/>
  <c r="D83" i="33"/>
  <c r="E83" i="33"/>
  <c r="C21" i="33"/>
  <c r="C21" i="21"/>
  <c r="Q21" i="21"/>
  <c r="Z21" i="21"/>
  <c r="H19" i="21"/>
  <c r="D83" i="21"/>
  <c r="F21" i="21"/>
  <c r="AA21" i="21"/>
  <c r="D81" i="21"/>
  <c r="G20" i="20"/>
  <c r="B86" i="43"/>
  <c r="C22" i="20"/>
  <c r="B75" i="43"/>
  <c r="C25" i="40"/>
  <c r="S25" i="40"/>
  <c r="S29" i="39"/>
  <c r="S18" i="36"/>
  <c r="U18" i="36"/>
  <c r="S21" i="34"/>
  <c r="H25" i="40"/>
  <c r="J25" i="40"/>
  <c r="AC25" i="40"/>
  <c r="H29" i="39"/>
  <c r="AB29" i="39"/>
  <c r="J29" i="39"/>
  <c r="AC29" i="39"/>
  <c r="J18" i="36"/>
  <c r="AC18" i="36"/>
  <c r="H18" i="35"/>
  <c r="S18" i="35"/>
  <c r="G68" i="35"/>
  <c r="J18" i="35"/>
  <c r="F77" i="37"/>
  <c r="H21" i="37"/>
  <c r="F21" i="37"/>
  <c r="AA21" i="37"/>
  <c r="H21" i="34"/>
  <c r="U21" i="34"/>
  <c r="F83" i="33"/>
  <c r="H21" i="33"/>
  <c r="AB21" i="33"/>
  <c r="F21" i="33"/>
  <c r="E83" i="21"/>
  <c r="S21" i="21"/>
  <c r="H1" i="69"/>
  <c r="W25" i="40"/>
  <c r="AB25" i="40"/>
  <c r="U25" i="40"/>
  <c r="U29" i="39"/>
  <c r="W29" i="39"/>
  <c r="W18" i="36"/>
  <c r="AB21" i="37"/>
  <c r="U21" i="37"/>
  <c r="S21" i="37"/>
  <c r="AB21" i="34"/>
  <c r="U21" i="33"/>
  <c r="AA21" i="33"/>
  <c r="S21" i="33"/>
  <c r="AB18" i="35"/>
  <c r="U18" i="35"/>
  <c r="AC18" i="35"/>
  <c r="W18" i="35"/>
  <c r="G77" i="37"/>
  <c r="J21" i="37"/>
  <c r="G84" i="34"/>
  <c r="J21" i="34"/>
  <c r="W21" i="34"/>
  <c r="G83" i="33"/>
  <c r="J21" i="33"/>
  <c r="W21" i="33"/>
  <c r="F83" i="21"/>
  <c r="H21" i="21"/>
  <c r="U21" i="21"/>
  <c r="F38" i="69"/>
  <c r="E37" i="69"/>
  <c r="F36" i="69"/>
  <c r="F35" i="69"/>
  <c r="F21" i="69"/>
  <c r="C21" i="69"/>
  <c r="F20" i="69"/>
  <c r="E10" i="69"/>
  <c r="E9" i="69"/>
  <c r="F7" i="69"/>
  <c r="C7" i="69"/>
  <c r="AC21" i="37"/>
  <c r="W21" i="37"/>
  <c r="AC21" i="34"/>
  <c r="AC21" i="33"/>
  <c r="AB21" i="21"/>
  <c r="G83" i="21"/>
  <c r="J21" i="21"/>
  <c r="F38" i="68"/>
  <c r="E37" i="68"/>
  <c r="F36" i="68"/>
  <c r="F35" i="68"/>
  <c r="F21" i="68"/>
  <c r="C21" i="68"/>
  <c r="F20" i="68"/>
  <c r="E10" i="68"/>
  <c r="E9" i="68"/>
  <c r="F7" i="68"/>
  <c r="W21" i="21"/>
  <c r="AC21" i="21"/>
  <c r="Q72" i="67"/>
  <c r="Q59" i="67"/>
  <c r="Q58" i="67"/>
  <c r="Q51" i="67"/>
  <c r="J50" i="67"/>
  <c r="M47" i="67"/>
  <c r="J53" i="67"/>
  <c r="Q52" i="67"/>
  <c r="D46" i="67"/>
  <c r="F33" i="67"/>
  <c r="F61" i="67"/>
  <c r="F23" i="67"/>
  <c r="D24" i="67"/>
  <c r="F21" i="67"/>
  <c r="F20" i="67"/>
  <c r="M19" i="67"/>
  <c r="F18" i="67"/>
  <c r="F17" i="67"/>
  <c r="F15" i="67"/>
  <c r="D22" i="67"/>
  <c r="S2" i="4"/>
  <c r="C51" i="10"/>
  <c r="A13" i="51"/>
  <c r="B11" i="72"/>
  <c r="S1" i="4"/>
  <c r="A4" i="51"/>
  <c r="B6" i="72"/>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E48" i="43"/>
  <c r="B46" i="43"/>
  <c r="C2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52" i="37"/>
  <c r="F52" i="37"/>
  <c r="F15" i="4"/>
  <c r="F8" i="1"/>
  <c r="G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J20" i="43"/>
  <c r="C18" i="43"/>
  <c r="F15" i="43"/>
  <c r="E15" i="43"/>
  <c r="D15" i="43"/>
  <c r="C15" i="43"/>
  <c r="C10" i="43"/>
  <c r="C11" i="43"/>
  <c r="C9" i="43"/>
  <c r="A7" i="43"/>
  <c r="F33" i="15"/>
  <c r="F61" i="15"/>
  <c r="M19" i="15"/>
  <c r="BR13" i="3"/>
  <c r="M10" i="1"/>
  <c r="O10" i="1"/>
  <c r="B22" i="1"/>
  <c r="E1" i="73"/>
  <c r="B23" i="1"/>
  <c r="B24" i="1"/>
  <c r="B43" i="1"/>
  <c r="D78" i="9"/>
  <c r="BQ13" i="3"/>
  <c r="BQ5" i="3"/>
  <c r="F28" i="6"/>
  <c r="E28" i="6"/>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c r="G29" i="6"/>
  <c r="BN14" i="3"/>
  <c r="BN15" i="3"/>
  <c r="BL15" i="3"/>
  <c r="BN16" i="3"/>
  <c r="BN17" i="3"/>
  <c r="BP13" i="3"/>
  <c r="BP14" i="3"/>
  <c r="BP15" i="3"/>
  <c r="BP16" i="3"/>
  <c r="BP17" i="3"/>
  <c r="E20" i="6"/>
  <c r="E21" i="6"/>
  <c r="K8" i="1"/>
  <c r="M8" i="1"/>
  <c r="O8" i="1"/>
  <c r="P8" i="1"/>
  <c r="F23" i="15"/>
  <c r="D24" i="15"/>
  <c r="M13" i="1"/>
  <c r="O13" i="1"/>
  <c r="P13" i="1"/>
  <c r="E22" i="6"/>
  <c r="E23" i="6"/>
  <c r="E24" i="6"/>
  <c r="E25" i="6"/>
  <c r="E26" i="6"/>
  <c r="BB13" i="3"/>
  <c r="BB5" i="3"/>
  <c r="E8" i="6" s="1"/>
  <c r="BC13" i="3"/>
  <c r="BD13" i="3"/>
  <c r="BD5" i="3"/>
  <c r="BE13" i="3"/>
  <c r="BF13" i="3"/>
  <c r="BG13"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68"/>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c r="D59" i="34"/>
  <c r="E59" i="34"/>
  <c r="F59" i="34"/>
  <c r="G59" i="34"/>
  <c r="H59" i="34"/>
  <c r="W35" i="40"/>
  <c r="J11" i="39"/>
  <c r="W11" i="39"/>
  <c r="F11" i="39"/>
  <c r="AA11" i="39"/>
  <c r="S11" i="39"/>
  <c r="G4" i="4"/>
  <c r="I4" i="4"/>
  <c r="K5" i="4"/>
  <c r="B47" i="48"/>
  <c r="N2" i="43"/>
  <c r="F48"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09" i="3"/>
  <c r="AZ317" i="3"/>
  <c r="AZ325" i="3"/>
  <c r="AZ333" i="3"/>
  <c r="AZ341" i="3"/>
  <c r="AC5" i="3"/>
  <c r="AZ506" i="3"/>
  <c r="AZ496" i="3"/>
  <c r="G548" i="3"/>
  <c r="G538" i="3"/>
  <c r="G520" i="3"/>
  <c r="G502" i="3"/>
  <c r="BS5" i="3"/>
  <c r="BP5" i="3"/>
  <c r="AZ343" i="3"/>
  <c r="BK5" i="3"/>
  <c r="BI5" i="3"/>
  <c r="BG5" i="3"/>
  <c r="BE5" i="3"/>
  <c r="BC5" i="3"/>
  <c r="G17" i="3"/>
  <c r="BA17" i="3"/>
  <c r="BT5" i="3"/>
  <c r="AZ350" i="3"/>
  <c r="AZ352" i="3"/>
  <c r="AZ356" i="3"/>
  <c r="AZ364" i="3"/>
  <c r="AZ368" i="3"/>
  <c r="BA15" i="3"/>
  <c r="AZ15" i="3"/>
  <c r="BR5" i="3"/>
  <c r="G28" i="6"/>
  <c r="AZ384" i="3"/>
  <c r="AZ388" i="3"/>
  <c r="AZ392" i="3"/>
  <c r="AZ396" i="3"/>
  <c r="AZ394" i="3"/>
  <c r="AZ499" i="3"/>
  <c r="AZ509" i="3"/>
  <c r="G509" i="3"/>
  <c r="BL493" i="3"/>
  <c r="AZ493" i="3"/>
  <c r="AZ491" i="3"/>
  <c r="AZ376" i="3"/>
  <c r="AZ382" i="3"/>
  <c r="U36" i="40"/>
  <c r="F36" i="43"/>
  <c r="F81" i="43"/>
  <c r="H83" i="43"/>
  <c r="H113" i="43"/>
  <c r="F70" i="43"/>
  <c r="H73" i="43"/>
  <c r="M11" i="43"/>
  <c r="E17" i="43"/>
  <c r="F39" i="43"/>
  <c r="I17" i="43"/>
  <c r="F35" i="43"/>
  <c r="J17" i="43"/>
  <c r="F6" i="1"/>
  <c r="I20" i="43"/>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c r="R11" i="1"/>
  <c r="S9" i="1"/>
  <c r="R9" i="1"/>
  <c r="J51" i="67"/>
  <c r="C42" i="1"/>
  <c r="H100" i="43"/>
  <c r="C30" i="66"/>
  <c r="E26" i="66"/>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F34" i="67"/>
  <c r="F62" i="67"/>
  <c r="M20" i="67"/>
  <c r="F34" i="15"/>
  <c r="F62" i="15"/>
  <c r="BA13" i="3"/>
  <c r="AZ13" i="3"/>
  <c r="BL17" i="3"/>
  <c r="AZ17" i="3"/>
  <c r="BL13" i="3"/>
  <c r="J56" i="9"/>
  <c r="J57" i="9"/>
  <c r="A24" i="51"/>
  <c r="B18" i="72"/>
  <c r="U29" i="34"/>
  <c r="E5" i="6"/>
  <c r="D9" i="11"/>
  <c r="C9" i="11" s="1"/>
  <c r="E32" i="6"/>
  <c r="L19" i="6"/>
  <c r="G1" i="68"/>
  <c r="K1" i="12"/>
  <c r="AR10" i="1"/>
  <c r="E19" i="69"/>
  <c r="E19" i="11"/>
  <c r="G41" i="69"/>
  <c r="G41" i="68"/>
  <c r="G27" i="12"/>
  <c r="G41" i="11"/>
  <c r="G25" i="12"/>
  <c r="C100" i="43"/>
  <c r="E11" i="43"/>
  <c r="E10" i="43"/>
  <c r="E9" i="43"/>
  <c r="E8" i="43"/>
  <c r="C7" i="43"/>
  <c r="E81" i="43"/>
  <c r="B79" i="43"/>
  <c r="E70" i="43"/>
  <c r="B68" i="43"/>
  <c r="F100" i="43"/>
  <c r="H17" i="43"/>
  <c r="H81" i="43"/>
  <c r="H88" i="43"/>
  <c r="C17" i="43"/>
  <c r="F33" i="43"/>
  <c r="G17" i="43"/>
  <c r="F34" i="43"/>
  <c r="M7" i="43"/>
  <c r="M2" i="43"/>
  <c r="C6" i="43"/>
  <c r="M10" i="43"/>
  <c r="N11" i="43"/>
  <c r="F38" i="43"/>
  <c r="F37" i="43"/>
  <c r="N12" i="43"/>
  <c r="M5" i="43"/>
  <c r="M4" i="43"/>
  <c r="C7" i="39"/>
  <c r="C68" i="39"/>
  <c r="C70" i="39"/>
  <c r="C7" i="33"/>
  <c r="C58" i="33"/>
  <c r="D58" i="33"/>
  <c r="E58" i="33"/>
  <c r="F58" i="33"/>
  <c r="G58" i="33"/>
  <c r="H58" i="33"/>
  <c r="I58" i="33"/>
  <c r="J58" i="33"/>
  <c r="K58" i="33"/>
  <c r="L58" i="33"/>
  <c r="M58" i="33"/>
  <c r="N58" i="33"/>
  <c r="O58" i="33"/>
  <c r="C7" i="40"/>
  <c r="C63" i="40"/>
  <c r="M47" i="9"/>
  <c r="C94" i="9"/>
  <c r="C4" i="12"/>
  <c r="C92" i="9"/>
  <c r="H62" i="43"/>
  <c r="H66" i="43"/>
  <c r="H61" i="43"/>
  <c r="H65" i="43"/>
  <c r="H60" i="43"/>
  <c r="H64" i="43"/>
  <c r="H59" i="43"/>
  <c r="H63" i="43"/>
  <c r="H67" i="43"/>
  <c r="H76" i="43"/>
  <c r="L20" i="6"/>
  <c r="B6" i="1"/>
  <c r="E6" i="1"/>
  <c r="S8" i="1"/>
  <c r="K11" i="1"/>
  <c r="M11" i="1" s="1"/>
  <c r="AP6" i="1"/>
  <c r="C36" i="69" s="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7" i="40"/>
  <c r="C21" i="40"/>
  <c r="U30" i="40"/>
  <c r="B65" i="43"/>
  <c r="B49" i="43"/>
  <c r="B56" i="43"/>
  <c r="B60" i="43"/>
  <c r="B63" i="43"/>
  <c r="B67" i="43"/>
  <c r="D23" i="15"/>
  <c r="D22" i="15"/>
  <c r="O6" i="1"/>
  <c r="F52" i="9"/>
  <c r="C77" i="9"/>
  <c r="C74" i="9"/>
  <c r="S7" i="1"/>
  <c r="AR7" i="1"/>
  <c r="E7" i="70"/>
  <c r="AA39" i="40"/>
  <c r="S39" i="40"/>
  <c r="S12" i="33"/>
  <c r="AA12" i="33"/>
  <c r="J32" i="39"/>
  <c r="W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H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S37" i="21"/>
  <c r="AA23" i="21"/>
  <c r="AB15" i="21"/>
  <c r="J23" i="21"/>
  <c r="F85" i="21"/>
  <c r="G85" i="21"/>
  <c r="H23" i="21"/>
  <c r="AB23" i="21"/>
  <c r="S13" i="21"/>
  <c r="D6" i="52"/>
  <c r="D121" i="9"/>
  <c r="D7" i="52"/>
  <c r="K120" i="9"/>
  <c r="J59" i="9"/>
  <c r="J61" i="9"/>
  <c r="R22" i="31"/>
  <c r="B21" i="31"/>
  <c r="AP7" i="1"/>
  <c r="AB45" i="21"/>
  <c r="AC33" i="21"/>
  <c r="W33" i="21"/>
  <c r="S33" i="21"/>
  <c r="AA33" i="21"/>
  <c r="W32" i="21"/>
  <c r="AC32" i="21"/>
  <c r="AB9" i="21"/>
  <c r="U9" i="21"/>
  <c r="S32" i="21"/>
  <c r="AC9" i="21"/>
  <c r="U32" i="21"/>
  <c r="AA10" i="21"/>
  <c r="S10" i="21"/>
  <c r="A18" i="62"/>
  <c r="B64" i="72"/>
  <c r="U32" i="39"/>
  <c r="AB32" i="39"/>
  <c r="AC32" i="39"/>
  <c r="W19" i="37"/>
  <c r="AC19" i="37"/>
  <c r="W23" i="37"/>
  <c r="AB11" i="37"/>
  <c r="U11" i="37"/>
  <c r="H63" i="37"/>
  <c r="I63" i="37"/>
  <c r="J63" i="37"/>
  <c r="K63" i="37"/>
  <c r="L63" i="37"/>
  <c r="M63" i="37"/>
  <c r="J11" i="37"/>
  <c r="AC10" i="37"/>
  <c r="U11" i="34"/>
  <c r="AB11" i="34"/>
  <c r="W10" i="34"/>
  <c r="I70" i="34"/>
  <c r="J70" i="34"/>
  <c r="K70" i="34"/>
  <c r="L70" i="34"/>
  <c r="M70" i="34"/>
  <c r="J11" i="34"/>
  <c r="AC36" i="33"/>
  <c r="U36" i="33"/>
  <c r="AB36" i="33"/>
  <c r="W27" i="33"/>
  <c r="AC27" i="33"/>
  <c r="W25" i="33"/>
  <c r="AC25" i="33"/>
  <c r="AA23" i="33"/>
  <c r="AB19" i="33"/>
  <c r="U19" i="33"/>
  <c r="AA17" i="33"/>
  <c r="S17" i="33"/>
  <c r="U17" i="33"/>
  <c r="U23" i="21"/>
  <c r="AC23" i="21"/>
  <c r="W23" i="21"/>
  <c r="F1" i="67"/>
  <c r="AC11" i="37"/>
  <c r="W11" i="37"/>
  <c r="W11" i="34"/>
  <c r="AC11" i="34"/>
  <c r="R7" i="1"/>
  <c r="C13" i="12"/>
  <c r="F34" i="11"/>
  <c r="F11" i="12"/>
  <c r="C23" i="12" s="1"/>
  <c r="R8" i="1"/>
  <c r="AE7" i="1"/>
  <c r="AE8" i="1"/>
  <c r="AG6" i="1"/>
  <c r="F7" i="33"/>
  <c r="S7" i="33"/>
  <c r="AA7" i="33"/>
  <c r="R48" i="33"/>
  <c r="D59" i="9"/>
  <c r="M55" i="9"/>
  <c r="AD3" i="71"/>
  <c r="F34" i="68"/>
  <c r="H111" i="9"/>
  <c r="D126" i="9"/>
  <c r="A126" i="9"/>
  <c r="A12" i="52"/>
  <c r="B56" i="72"/>
  <c r="C40" i="68"/>
  <c r="G13" i="3"/>
  <c r="G5" i="3"/>
  <c r="B3" i="3" s="1"/>
  <c r="P61" i="15"/>
  <c r="F54" i="9"/>
  <c r="F30" i="69"/>
  <c r="C30" i="69"/>
  <c r="F28" i="15"/>
  <c r="F32" i="67"/>
  <c r="F60" i="67"/>
  <c r="D68" i="9"/>
  <c r="M18" i="15"/>
  <c r="F32" i="15"/>
  <c r="F60" i="15"/>
  <c r="M18" i="67"/>
  <c r="F31" i="12"/>
  <c r="F28" i="67"/>
  <c r="C28" i="67"/>
  <c r="F30" i="11"/>
  <c r="F30" i="68"/>
  <c r="C30" i="68"/>
  <c r="C31" i="12"/>
  <c r="C48" i="69"/>
  <c r="D93" i="9"/>
  <c r="C40" i="69"/>
  <c r="G22" i="11"/>
  <c r="G26" i="12"/>
  <c r="G22" i="68"/>
  <c r="G22" i="69"/>
  <c r="B52" i="43"/>
  <c r="B54" i="43"/>
  <c r="C27" i="39"/>
  <c r="C23" i="40"/>
  <c r="C15" i="40"/>
  <c r="B55" i="43"/>
  <c r="H84" i="43"/>
  <c r="H85" i="43"/>
  <c r="H87" i="43"/>
  <c r="C16" i="43"/>
  <c r="C5" i="43"/>
  <c r="H86" i="43"/>
  <c r="H52" i="43"/>
  <c r="H50" i="43"/>
  <c r="H54" i="43"/>
  <c r="H82" i="43"/>
  <c r="L27" i="6"/>
  <c r="E261" i="3"/>
  <c r="E528" i="3"/>
  <c r="E183" i="3"/>
  <c r="E361" i="3"/>
  <c r="E503" i="3"/>
  <c r="E239" i="3"/>
  <c r="E516" i="3"/>
  <c r="E569" i="3"/>
  <c r="E396" i="3"/>
  <c r="E229" i="3"/>
  <c r="E151" i="3"/>
  <c r="E314" i="3"/>
  <c r="E511" i="3"/>
  <c r="E16" i="3"/>
  <c r="AK6" i="3"/>
  <c r="E434" i="3"/>
  <c r="E306" i="3"/>
  <c r="E296" i="3"/>
  <c r="E262" i="3"/>
  <c r="E136" i="3"/>
  <c r="E236" i="3"/>
  <c r="E269" i="3"/>
  <c r="E89" i="3"/>
  <c r="E85" i="3"/>
  <c r="E238" i="3"/>
  <c r="E116" i="3"/>
  <c r="E105" i="3"/>
  <c r="E379" i="3"/>
  <c r="E585" i="3"/>
  <c r="U6" i="3"/>
  <c r="E515" i="3"/>
  <c r="E411" i="3"/>
  <c r="E478" i="3"/>
  <c r="E548" i="3"/>
  <c r="E414" i="3"/>
  <c r="E432" i="3"/>
  <c r="E477" i="3"/>
  <c r="E367" i="3"/>
  <c r="E505" i="3"/>
  <c r="E547" i="3"/>
  <c r="AS6" i="3"/>
  <c r="AR12" i="1"/>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62" i="3"/>
  <c r="E121" i="3"/>
  <c r="E92" i="3"/>
  <c r="E70" i="3"/>
  <c r="E27" i="3"/>
  <c r="E88" i="3"/>
  <c r="E71" i="3"/>
  <c r="E28" i="3"/>
  <c r="E447" i="3"/>
  <c r="E404" i="3"/>
  <c r="E546" i="3"/>
  <c r="E489" i="3"/>
  <c r="E476" i="3"/>
  <c r="E444" i="3"/>
  <c r="E403" i="3"/>
  <c r="E517" i="3"/>
  <c r="E554" i="3"/>
  <c r="AP6" i="3"/>
  <c r="I3" i="6"/>
  <c r="E255" i="3"/>
  <c r="E449" i="3"/>
  <c r="E430" i="3"/>
  <c r="E541" i="3"/>
  <c r="E466" i="3"/>
  <c r="E442" i="3"/>
  <c r="E502" i="3"/>
  <c r="R6" i="3"/>
  <c r="E499" i="3"/>
  <c r="E575" i="3"/>
  <c r="E286" i="3"/>
  <c r="E193" i="3"/>
  <c r="E224" i="3"/>
  <c r="E45" i="3"/>
  <c r="E181" i="3"/>
  <c r="E188" i="3"/>
  <c r="E191" i="3"/>
  <c r="E245" i="3"/>
  <c r="E263" i="3"/>
  <c r="E382" i="3"/>
  <c r="E423" i="3"/>
  <c r="E578" i="3"/>
  <c r="AI6" i="3"/>
  <c r="E518" i="3"/>
  <c r="E385" i="3"/>
  <c r="E143" i="3"/>
  <c r="E337" i="3"/>
  <c r="E410" i="3"/>
  <c r="E555" i="3"/>
  <c r="E388" i="3"/>
  <c r="E535" i="3"/>
  <c r="E445" i="3"/>
  <c r="E172" i="3"/>
  <c r="E563" i="3"/>
  <c r="E278" i="3"/>
  <c r="E69" i="3"/>
  <c r="D19" i="12"/>
  <c r="C19" i="12" s="1"/>
  <c r="T13" i="1"/>
  <c r="AR11" i="1"/>
  <c r="T11" i="1"/>
  <c r="AQ13" i="1"/>
  <c r="T10" i="1"/>
  <c r="E56" i="39"/>
  <c r="F27" i="6"/>
  <c r="E51" i="40"/>
  <c r="D9" i="69"/>
  <c r="C9" i="69" s="1"/>
  <c r="BA5" i="3"/>
  <c r="F31" i="15"/>
  <c r="E12" i="6"/>
  <c r="E10" i="6"/>
  <c r="E14" i="6"/>
  <c r="E15" i="6"/>
  <c r="E13" i="6"/>
  <c r="E11" i="6"/>
  <c r="E56" i="40" s="1"/>
  <c r="K14" i="1"/>
  <c r="G30" i="6"/>
  <c r="T7" i="1"/>
  <c r="AQ7" i="1"/>
  <c r="T12" i="1"/>
  <c r="P10" i="1"/>
  <c r="F29" i="6"/>
  <c r="H22" i="43"/>
  <c r="AB11" i="43"/>
  <c r="AB13" i="43" s="1"/>
  <c r="E101" i="43"/>
  <c r="H77" i="43"/>
  <c r="H51" i="43"/>
  <c r="M12" i="43"/>
  <c r="N5" i="43"/>
  <c r="M9" i="43"/>
  <c r="N3" i="43"/>
  <c r="N6" i="43"/>
  <c r="H70" i="43"/>
  <c r="N8" i="43"/>
  <c r="M1" i="43"/>
  <c r="M3" i="43"/>
  <c r="H48" i="43"/>
  <c r="H75" i="43"/>
  <c r="M6" i="43"/>
  <c r="N7" i="43"/>
  <c r="N4" i="43"/>
  <c r="H72" i="43"/>
  <c r="H56" i="43"/>
  <c r="H55" i="43"/>
  <c r="D5" i="43"/>
  <c r="H71" i="43"/>
  <c r="H78" i="43"/>
  <c r="H53" i="43"/>
  <c r="H49" i="43"/>
  <c r="H74" i="43"/>
  <c r="T35" i="4"/>
  <c r="A19" i="51"/>
  <c r="B14" i="72"/>
  <c r="G10" i="1"/>
  <c r="A2" i="9"/>
  <c r="A118" i="9"/>
  <c r="A4" i="52"/>
  <c r="B41" i="72"/>
  <c r="H112" i="9"/>
  <c r="D21" i="53"/>
  <c r="B39" i="72"/>
  <c r="D19" i="53"/>
  <c r="D63" i="40"/>
  <c r="C65" i="40"/>
  <c r="H7" i="33"/>
  <c r="AB7" i="33"/>
  <c r="T48" i="33"/>
  <c r="G48" i="33"/>
  <c r="G52" i="33"/>
  <c r="H52" i="33"/>
  <c r="J7" i="33"/>
  <c r="W7" i="33"/>
  <c r="C36" i="11"/>
  <c r="C24" i="12"/>
  <c r="D68" i="39"/>
  <c r="C28" i="15"/>
  <c r="G19" i="43"/>
  <c r="O19" i="43"/>
  <c r="C7" i="21"/>
  <c r="C58" i="21"/>
  <c r="D58" i="21"/>
  <c r="E58" i="21"/>
  <c r="F58" i="21"/>
  <c r="G58" i="21"/>
  <c r="H58" i="21"/>
  <c r="I58" i="21"/>
  <c r="C7" i="35"/>
  <c r="C48" i="35"/>
  <c r="D48" i="35"/>
  <c r="E48" i="35"/>
  <c r="F48" i="35"/>
  <c r="G48" i="35"/>
  <c r="C7" i="36"/>
  <c r="C46" i="36"/>
  <c r="D46" i="36"/>
  <c r="E46" i="36"/>
  <c r="J1" i="73"/>
  <c r="I14" i="74"/>
  <c r="B8" i="74"/>
  <c r="D127" i="9"/>
  <c r="D13" i="52"/>
  <c r="D12" i="52"/>
  <c r="E48" i="33"/>
  <c r="R49" i="33"/>
  <c r="J58" i="21"/>
  <c r="K58" i="21"/>
  <c r="L58" i="21"/>
  <c r="M58" i="21"/>
  <c r="N58" i="21"/>
  <c r="O58" i="21"/>
  <c r="I59" i="34"/>
  <c r="J59" i="34"/>
  <c r="K59" i="34"/>
  <c r="L59" i="34"/>
  <c r="M59" i="34"/>
  <c r="N59" i="34"/>
  <c r="O59" i="34"/>
  <c r="H7" i="34"/>
  <c r="H48" i="35"/>
  <c r="I48" i="35"/>
  <c r="J48" i="35"/>
  <c r="K48" i="35"/>
  <c r="L48" i="35"/>
  <c r="M48" i="35"/>
  <c r="N48" i="35"/>
  <c r="O48" i="35"/>
  <c r="F7" i="35"/>
  <c r="J7" i="35"/>
  <c r="U7" i="33"/>
  <c r="O11" i="1"/>
  <c r="O16" i="1" s="1"/>
  <c r="P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 i="6"/>
  <c r="F30" i="6"/>
  <c r="AZ503" i="3"/>
  <c r="BL5" i="3"/>
  <c r="AC7" i="33"/>
  <c r="V48" i="33"/>
  <c r="I48" i="33"/>
  <c r="H7" i="35"/>
  <c r="P7" i="1"/>
  <c r="G52" i="37"/>
  <c r="P6" i="1"/>
  <c r="O12" i="1"/>
  <c r="P12" i="1"/>
  <c r="D9" i="53"/>
  <c r="B25" i="72"/>
  <c r="B24" i="72"/>
  <c r="AZ557" i="3"/>
  <c r="U33" i="21"/>
  <c r="W17" i="21"/>
  <c r="U12" i="39"/>
  <c r="AA34" i="21"/>
  <c r="S34" i="21"/>
  <c r="AA25" i="21"/>
  <c r="W31" i="34"/>
  <c r="AA13" i="35"/>
  <c r="F12" i="21"/>
  <c r="J12" i="21"/>
  <c r="H12" i="21"/>
  <c r="S38" i="40"/>
  <c r="AA38" i="40"/>
  <c r="AZ398" i="3"/>
  <c r="AZ405" i="3"/>
  <c r="AZ407" i="3"/>
  <c r="AZ410" i="3"/>
  <c r="AZ415" i="3"/>
  <c r="AZ420" i="3"/>
  <c r="AZ426" i="3"/>
  <c r="AZ431" i="3"/>
  <c r="AZ439" i="3"/>
  <c r="AZ475" i="3"/>
  <c r="AZ385" i="3"/>
  <c r="AB12" i="33"/>
  <c r="W31" i="40"/>
  <c r="H39" i="37"/>
  <c r="W33" i="33"/>
  <c r="U35" i="33"/>
  <c r="S9" i="33"/>
  <c r="F26" i="33"/>
  <c r="S34" i="34"/>
  <c r="U34" i="35"/>
  <c r="W34" i="35"/>
  <c r="AA31" i="36"/>
  <c r="J23" i="35"/>
  <c r="H12" i="36"/>
  <c r="H24" i="36"/>
  <c r="H38" i="40"/>
  <c r="J38" i="40"/>
  <c r="H39" i="40"/>
  <c r="AZ451" i="3"/>
  <c r="AZ461" i="3"/>
  <c r="AZ463" i="3"/>
  <c r="AZ466" i="3"/>
  <c r="AZ468" i="3"/>
  <c r="AZ470" i="3"/>
  <c r="AZ316" i="3"/>
  <c r="AZ397" i="3"/>
  <c r="AZ217" i="3"/>
  <c r="AZ231" i="3"/>
  <c r="AZ264" i="3"/>
  <c r="AZ56" i="3"/>
  <c r="AZ73" i="3"/>
  <c r="AZ87" i="3"/>
  <c r="AZ95" i="3"/>
  <c r="AZ100" i="3"/>
  <c r="AZ247" i="3"/>
  <c r="AZ255" i="3"/>
  <c r="AZ274" i="3"/>
  <c r="AZ285" i="3"/>
  <c r="AZ293" i="3"/>
  <c r="AZ298" i="3"/>
  <c r="AZ153" i="3"/>
  <c r="AZ185" i="3"/>
  <c r="AZ207" i="3"/>
  <c r="AZ22" i="3"/>
  <c r="AZ64" i="3"/>
  <c r="AZ78" i="3"/>
  <c r="AZ108" i="3"/>
  <c r="F3" i="35"/>
  <c r="M100" i="43"/>
  <c r="I100" i="43"/>
  <c r="E100" i="43"/>
  <c r="D100" i="43"/>
  <c r="D23" i="67"/>
  <c r="T49" i="71"/>
  <c r="D49" i="71"/>
  <c r="P51" i="71"/>
  <c r="P50" i="71"/>
  <c r="D24" i="71"/>
  <c r="C25" i="71"/>
  <c r="C12" i="71"/>
  <c r="T13" i="71"/>
  <c r="D13" i="71"/>
  <c r="U13" i="71"/>
  <c r="D28" i="71"/>
  <c r="C29" i="71"/>
  <c r="D39" i="71"/>
  <c r="C40" i="71"/>
  <c r="V9" i="71"/>
  <c r="E8" i="71"/>
  <c r="E7" i="71"/>
  <c r="Z12" i="43"/>
  <c r="Z10" i="43"/>
  <c r="AD12" i="43"/>
  <c r="AD10" i="43"/>
  <c r="AH12" i="43"/>
  <c r="AH10" i="43"/>
  <c r="P61" i="67"/>
  <c r="P74" i="67"/>
  <c r="AA9" i="71"/>
  <c r="X8" i="71"/>
  <c r="B9" i="71"/>
  <c r="X9" i="71"/>
  <c r="Y7" i="71"/>
  <c r="Z7" i="71"/>
  <c r="Y8" i="71"/>
  <c r="Z8" i="71"/>
  <c r="AB7" i="71"/>
  <c r="AB8" i="71"/>
  <c r="X7" i="71"/>
  <c r="AA6" i="71"/>
  <c r="AA7" i="71"/>
  <c r="AB6" i="71"/>
  <c r="AB5" i="71"/>
  <c r="C29" i="39"/>
  <c r="B66" i="43"/>
  <c r="V13" i="71"/>
  <c r="AA13" i="71"/>
  <c r="AA11" i="71"/>
  <c r="AB13" i="71"/>
  <c r="AB11" i="71"/>
  <c r="X13" i="71"/>
  <c r="Y13" i="71"/>
  <c r="Z13" i="71"/>
  <c r="Y12" i="71"/>
  <c r="Z12" i="71"/>
  <c r="Y11" i="71"/>
  <c r="Z11" i="71"/>
  <c r="Y10" i="71"/>
  <c r="Z10" i="71"/>
  <c r="AB22" i="71"/>
  <c r="AA21" i="71"/>
  <c r="AB18" i="71"/>
  <c r="Y18" i="71"/>
  <c r="Z18" i="71"/>
  <c r="X17" i="71"/>
  <c r="X22" i="71"/>
  <c r="AA14" i="71"/>
  <c r="V53" i="71"/>
  <c r="F52" i="71"/>
  <c r="AF10" i="43"/>
  <c r="AC12" i="43"/>
  <c r="AC10" i="43"/>
  <c r="AG12" i="43"/>
  <c r="AG10" i="43"/>
  <c r="F8" i="71"/>
  <c r="F7" i="71"/>
  <c r="C9" i="71"/>
  <c r="Y9" i="71"/>
  <c r="Z9" i="71"/>
  <c r="AA8" i="71"/>
  <c r="X6" i="71"/>
  <c r="Y6" i="71"/>
  <c r="Z6" i="71"/>
  <c r="X5" i="71"/>
  <c r="AA5" i="71"/>
  <c r="F6" i="71"/>
  <c r="F5" i="71"/>
  <c r="Y5" i="71"/>
  <c r="Z5" i="71"/>
  <c r="AB3" i="71"/>
  <c r="X3" i="71"/>
  <c r="E6" i="71"/>
  <c r="E5" i="71"/>
  <c r="AF3" i="71"/>
  <c r="P24" i="43"/>
  <c r="B66" i="40"/>
  <c r="P23" i="43"/>
  <c r="B71" i="39"/>
  <c r="P21" i="43"/>
  <c r="P22" i="43"/>
  <c r="E9" i="49"/>
  <c r="F31" i="67"/>
  <c r="M17" i="67"/>
  <c r="M17" i="15"/>
  <c r="F59" i="67"/>
  <c r="F59" i="15"/>
  <c r="F31" i="6"/>
  <c r="E114" i="3"/>
  <c r="E395" i="3"/>
  <c r="E550" i="3"/>
  <c r="O6" i="3"/>
  <c r="E359" i="3"/>
  <c r="E97" i="3"/>
  <c r="E353" i="3"/>
  <c r="AN6" i="3"/>
  <c r="E402" i="3"/>
  <c r="E303" i="3"/>
  <c r="E159" i="3"/>
  <c r="E228" i="3"/>
  <c r="E120" i="3"/>
  <c r="E17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60" i="3"/>
  <c r="E574" i="3"/>
  <c r="E495" i="3"/>
  <c r="E350" i="3"/>
  <c r="E99" i="3"/>
  <c r="E277" i="3"/>
  <c r="AD6" i="3"/>
  <c r="E464" i="3"/>
  <c r="E459" i="3"/>
  <c r="E582" i="3"/>
  <c r="E491" i="3"/>
  <c r="E479" i="3"/>
  <c r="E37" i="3"/>
  <c r="E152" i="3"/>
  <c r="E192" i="3"/>
  <c r="E241" i="3"/>
  <c r="E363" i="3"/>
  <c r="E389" i="3"/>
  <c r="E59" i="3"/>
  <c r="E446" i="3"/>
  <c r="E138" i="3"/>
  <c r="E209" i="3"/>
  <c r="E354" i="3"/>
  <c r="E66" i="3"/>
  <c r="E127" i="3"/>
  <c r="E19" i="3"/>
  <c r="E323" i="3"/>
  <c r="E415" i="3"/>
  <c r="E285" i="3"/>
  <c r="E586" i="3"/>
  <c r="E301" i="3"/>
  <c r="E157" i="3"/>
  <c r="E133" i="3"/>
  <c r="E552" i="3"/>
  <c r="E398" i="3"/>
  <c r="E566" i="3"/>
  <c r="E435" i="3"/>
  <c r="E417" i="3"/>
  <c r="E56" i="3"/>
  <c r="E95" i="3"/>
  <c r="E132" i="3"/>
  <c r="E258" i="3"/>
  <c r="E292" i="3"/>
  <c r="E349" i="3"/>
  <c r="E544" i="3"/>
  <c r="E76" i="3"/>
  <c r="E462" i="3"/>
  <c r="E98" i="3"/>
  <c r="E163" i="3"/>
  <c r="E307" i="3"/>
  <c r="E48" i="3"/>
  <c r="E284" i="3"/>
  <c r="Y6" i="3"/>
  <c r="E179" i="3"/>
  <c r="E82" i="3"/>
  <c r="C48" i="68"/>
  <c r="C48" i="11"/>
  <c r="C30" i="11"/>
  <c r="E58" i="40"/>
  <c r="E63" i="39"/>
  <c r="E59" i="40"/>
  <c r="E64" i="39"/>
  <c r="E57" i="40"/>
  <c r="E62" i="39"/>
  <c r="M14" i="1"/>
  <c r="E61" i="39"/>
  <c r="E16" i="6"/>
  <c r="E105" i="43"/>
  <c r="B38" i="72"/>
  <c r="D20" i="53"/>
  <c r="B40" i="72"/>
  <c r="K1" i="73"/>
  <c r="J7" i="34"/>
  <c r="F7" i="21"/>
  <c r="AA7" i="21"/>
  <c r="R48" i="21"/>
  <c r="H7" i="21"/>
  <c r="D70" i="39"/>
  <c r="E68" i="39"/>
  <c r="D65" i="40"/>
  <c r="E63" i="40"/>
  <c r="F51" i="71"/>
  <c r="Q52" i="71"/>
  <c r="D40" i="71"/>
  <c r="C41" i="71"/>
  <c r="T29" i="71"/>
  <c r="D29" i="71"/>
  <c r="C11" i="71"/>
  <c r="D11" i="71"/>
  <c r="D12" i="71"/>
  <c r="AZ5" i="3"/>
  <c r="AC38" i="40"/>
  <c r="W38" i="40"/>
  <c r="AB24" i="36"/>
  <c r="U24" i="36"/>
  <c r="AC23" i="35"/>
  <c r="W23" i="35"/>
  <c r="AC12" i="21"/>
  <c r="W12" i="21"/>
  <c r="H52" i="37"/>
  <c r="AB7" i="35"/>
  <c r="T38" i="35"/>
  <c r="G38" i="35"/>
  <c r="U7" i="35"/>
  <c r="I52" i="33"/>
  <c r="J52" i="33"/>
  <c r="I53" i="33"/>
  <c r="J53" i="33"/>
  <c r="E30" i="6"/>
  <c r="K15" i="1"/>
  <c r="AA7" i="35"/>
  <c r="R38" i="35"/>
  <c r="S7" i="35"/>
  <c r="U7" i="34"/>
  <c r="AB7" i="34"/>
  <c r="T49" i="34"/>
  <c r="G49" i="34"/>
  <c r="S7" i="21"/>
  <c r="U7" i="21"/>
  <c r="AB7" i="21"/>
  <c r="T48" i="21"/>
  <c r="G48" i="21"/>
  <c r="C49" i="33"/>
  <c r="C48" i="33"/>
  <c r="C8" i="71"/>
  <c r="T9" i="71"/>
  <c r="D9" i="71"/>
  <c r="U9" i="71"/>
  <c r="B8" i="71"/>
  <c r="B7" i="71"/>
  <c r="B6" i="71"/>
  <c r="B5" i="71"/>
  <c r="S9" i="71"/>
  <c r="T25" i="71"/>
  <c r="D25" i="71"/>
  <c r="AB39" i="40"/>
  <c r="U39" i="40"/>
  <c r="U38" i="40"/>
  <c r="AB38" i="40"/>
  <c r="AB12" i="36"/>
  <c r="U12" i="36"/>
  <c r="AA26" i="33"/>
  <c r="S26" i="33"/>
  <c r="AB39" i="37"/>
  <c r="U39" i="37"/>
  <c r="AB12" i="21"/>
  <c r="U12" i="21"/>
  <c r="AA12" i="21"/>
  <c r="S12" i="21"/>
  <c r="F46" i="36"/>
  <c r="AC7" i="35"/>
  <c r="V38" i="35"/>
  <c r="I38" i="35"/>
  <c r="W7" i="35"/>
  <c r="AC7" i="34"/>
  <c r="V49" i="34"/>
  <c r="I49" i="34"/>
  <c r="W7" i="34"/>
  <c r="F7" i="34"/>
  <c r="J7" i="21"/>
  <c r="E53" i="33"/>
  <c r="F53" i="33"/>
  <c r="E52" i="33"/>
  <c r="F52" i="33"/>
  <c r="G53" i="33"/>
  <c r="H53" i="33"/>
  <c r="P25" i="43"/>
  <c r="O14" i="1"/>
  <c r="P14" i="1"/>
  <c r="P16" i="1" s="1"/>
  <c r="C11" i="12"/>
  <c r="C15" i="12" s="1"/>
  <c r="S7" i="43"/>
  <c r="F63" i="40"/>
  <c r="E65" i="40"/>
  <c r="F68" i="39"/>
  <c r="E70" i="39"/>
  <c r="I53" i="34"/>
  <c r="J53" i="34"/>
  <c r="G52" i="21"/>
  <c r="H52" i="21"/>
  <c r="E48" i="21"/>
  <c r="R49" i="21"/>
  <c r="G53" i="34"/>
  <c r="H53" i="34"/>
  <c r="G54" i="34"/>
  <c r="H54" i="34"/>
  <c r="T41" i="71"/>
  <c r="D41" i="71"/>
  <c r="S7" i="34"/>
  <c r="AA7" i="34"/>
  <c r="R49" i="34"/>
  <c r="I42" i="35"/>
  <c r="J42" i="35"/>
  <c r="AC7" i="21"/>
  <c r="V48" i="21"/>
  <c r="I48" i="21"/>
  <c r="W7" i="21"/>
  <c r="G46" i="36"/>
  <c r="C7" i="71"/>
  <c r="D8" i="71"/>
  <c r="E38" i="35"/>
  <c r="R39" i="35"/>
  <c r="G42" i="35"/>
  <c r="H42" i="35"/>
  <c r="G43" i="35"/>
  <c r="H43" i="35"/>
  <c r="I52" i="37"/>
  <c r="Q51" i="71"/>
  <c r="Q50" i="71"/>
  <c r="G68" i="39"/>
  <c r="F70" i="39"/>
  <c r="F65" i="40"/>
  <c r="G63" i="40"/>
  <c r="J52" i="37"/>
  <c r="C38" i="35"/>
  <c r="C39" i="35"/>
  <c r="D7" i="71"/>
  <c r="C6" i="71"/>
  <c r="H46" i="36"/>
  <c r="I52" i="21"/>
  <c r="J52" i="21"/>
  <c r="I53" i="21"/>
  <c r="J53" i="21"/>
  <c r="E52" i="21"/>
  <c r="F52" i="21"/>
  <c r="E53" i="21"/>
  <c r="F53" i="21"/>
  <c r="E43" i="35"/>
  <c r="F43" i="35"/>
  <c r="E42" i="35"/>
  <c r="F42" i="35"/>
  <c r="I43" i="35"/>
  <c r="J43" i="35"/>
  <c r="R50" i="34"/>
  <c r="E49" i="34"/>
  <c r="C48" i="21"/>
  <c r="C49" i="21"/>
  <c r="G53" i="21"/>
  <c r="H53" i="21"/>
  <c r="G65" i="40"/>
  <c r="H63" i="40"/>
  <c r="G70" i="39"/>
  <c r="H68" i="39"/>
  <c r="C50" i="34"/>
  <c r="C49" i="34"/>
  <c r="D6" i="71"/>
  <c r="C5" i="71"/>
  <c r="D5" i="71"/>
  <c r="M20" i="43"/>
  <c r="C19" i="43"/>
  <c r="E54" i="34"/>
  <c r="F54" i="34"/>
  <c r="E53" i="34"/>
  <c r="F53" i="34"/>
  <c r="I54" i="34"/>
  <c r="J54" i="34"/>
  <c r="I46" i="36"/>
  <c r="K52" i="37"/>
  <c r="H70" i="39"/>
  <c r="I68" i="39"/>
  <c r="H65" i="40"/>
  <c r="I63" i="40"/>
  <c r="L52" i="37"/>
  <c r="J46" i="36"/>
  <c r="I65" i="40"/>
  <c r="J63" i="40"/>
  <c r="J68" i="39"/>
  <c r="I70" i="39"/>
  <c r="K46" i="36"/>
  <c r="L46" i="36"/>
  <c r="M46" i="36"/>
  <c r="N46" i="36"/>
  <c r="O46" i="36"/>
  <c r="H7" i="36"/>
  <c r="C19" i="68"/>
  <c r="J7" i="36"/>
  <c r="M52" i="37"/>
  <c r="N52" i="37"/>
  <c r="O52" i="37"/>
  <c r="H7" i="37"/>
  <c r="K63" i="40"/>
  <c r="J65" i="40"/>
  <c r="F7" i="36"/>
  <c r="J70" i="39"/>
  <c r="K68" i="39"/>
  <c r="U7" i="37"/>
  <c r="AB7" i="37"/>
  <c r="T42" i="37"/>
  <c r="G42" i="37"/>
  <c r="F7" i="37"/>
  <c r="J7" i="37"/>
  <c r="AA7" i="36"/>
  <c r="R36" i="36"/>
  <c r="S7" i="36"/>
  <c r="W7" i="36"/>
  <c r="AC7" i="36"/>
  <c r="V36" i="36"/>
  <c r="I36" i="36"/>
  <c r="AB7" i="36"/>
  <c r="T36" i="36"/>
  <c r="G36" i="36"/>
  <c r="U7" i="36"/>
  <c r="L68" i="39"/>
  <c r="K70" i="39"/>
  <c r="L63" i="40"/>
  <c r="K65" i="40"/>
  <c r="I40" i="36"/>
  <c r="J40" i="36"/>
  <c r="E36" i="36"/>
  <c r="I41" i="36"/>
  <c r="J41" i="36"/>
  <c r="R37" i="36"/>
  <c r="AC7" i="37"/>
  <c r="V42" i="37"/>
  <c r="I42" i="37"/>
  <c r="W7" i="37"/>
  <c r="G40" i="36"/>
  <c r="H40" i="36"/>
  <c r="G41" i="36"/>
  <c r="H41" i="36"/>
  <c r="S7" i="37"/>
  <c r="AA7" i="37"/>
  <c r="R42" i="37"/>
  <c r="G46" i="37"/>
  <c r="H46" i="37"/>
  <c r="G47" i="37"/>
  <c r="H47" i="37"/>
  <c r="L65" i="40"/>
  <c r="M63" i="40"/>
  <c r="L70" i="39"/>
  <c r="M68" i="39"/>
  <c r="E42" i="37"/>
  <c r="R43" i="37"/>
  <c r="I47" i="37"/>
  <c r="J47" i="37"/>
  <c r="I46" i="37"/>
  <c r="J46" i="37"/>
  <c r="C36" i="36"/>
  <c r="C37" i="36"/>
  <c r="E40" i="36"/>
  <c r="F40" i="36"/>
  <c r="E41" i="36"/>
  <c r="F41" i="36"/>
  <c r="M70" i="39"/>
  <c r="N68" i="39"/>
  <c r="N63" i="40"/>
  <c r="M65" i="40"/>
  <c r="C42" i="37"/>
  <c r="C43" i="37"/>
  <c r="E47" i="37"/>
  <c r="F47" i="37"/>
  <c r="E46" i="37"/>
  <c r="F46" i="37"/>
  <c r="O63" i="40"/>
  <c r="O65" i="40"/>
  <c r="N65" i="40"/>
  <c r="N70" i="39"/>
  <c r="O68" i="39"/>
  <c r="O70" i="39"/>
  <c r="F7" i="39"/>
  <c r="H7" i="39"/>
  <c r="F7" i="40"/>
  <c r="J7" i="40"/>
  <c r="H7" i="40"/>
  <c r="J7" i="39"/>
  <c r="W7" i="39"/>
  <c r="AC7" i="39"/>
  <c r="V47" i="39"/>
  <c r="I47" i="39"/>
  <c r="W7" i="40"/>
  <c r="AC7" i="40"/>
  <c r="V42" i="40"/>
  <c r="I42" i="40"/>
  <c r="U7" i="39"/>
  <c r="AB7" i="39"/>
  <c r="T47" i="39"/>
  <c r="G47" i="39"/>
  <c r="U7" i="40"/>
  <c r="AB7" i="40"/>
  <c r="T42" i="40"/>
  <c r="G42" i="40"/>
  <c r="S7" i="40"/>
  <c r="AA7" i="40"/>
  <c r="R42" i="40"/>
  <c r="S7" i="39"/>
  <c r="AA7" i="39"/>
  <c r="R47" i="39"/>
  <c r="R48" i="39"/>
  <c r="E47" i="39"/>
  <c r="E42" i="40"/>
  <c r="R43" i="40"/>
  <c r="G47" i="40"/>
  <c r="H47" i="40"/>
  <c r="G46" i="40"/>
  <c r="H46" i="40"/>
  <c r="G52" i="39"/>
  <c r="H52" i="39"/>
  <c r="G51" i="39"/>
  <c r="H51" i="39"/>
  <c r="I46" i="40"/>
  <c r="J46" i="40"/>
  <c r="I47" i="40"/>
  <c r="J47" i="40"/>
  <c r="I51" i="39"/>
  <c r="J51" i="39"/>
  <c r="I52" i="39"/>
  <c r="J52" i="39"/>
  <c r="C42" i="40"/>
  <c r="C43" i="40"/>
  <c r="E51" i="39"/>
  <c r="F51" i="39"/>
  <c r="E52" i="39"/>
  <c r="F52" i="39"/>
  <c r="E46" i="40"/>
  <c r="F46" i="40"/>
  <c r="E47" i="40"/>
  <c r="F47" i="40"/>
  <c r="C48" i="39"/>
  <c r="C47" i="39"/>
  <c r="H107" i="9"/>
  <c r="B52" i="40"/>
  <c r="F52" i="40"/>
  <c r="B55" i="40"/>
  <c r="F55" i="40"/>
  <c r="B57" i="40"/>
  <c r="F57" i="40"/>
  <c r="B56" i="40"/>
  <c r="F56" i="40"/>
  <c r="B53" i="40"/>
  <c r="F53" i="40"/>
  <c r="B58" i="40"/>
  <c r="F58" i="40"/>
  <c r="B51" i="40"/>
  <c r="F51" i="40"/>
  <c r="B60" i="40"/>
  <c r="B59" i="40"/>
  <c r="F59" i="40"/>
  <c r="B54" i="40"/>
  <c r="F54" i="40"/>
  <c r="B58" i="39"/>
  <c r="F58" i="39"/>
  <c r="B57" i="39"/>
  <c r="F57" i="39"/>
  <c r="B61" i="39"/>
  <c r="F61" i="39"/>
  <c r="B59" i="39"/>
  <c r="F59" i="39"/>
  <c r="B63" i="39"/>
  <c r="F63" i="39"/>
  <c r="B60" i="39"/>
  <c r="F60" i="39"/>
  <c r="B64" i="39"/>
  <c r="F64" i="39"/>
  <c r="B62" i="39"/>
  <c r="F62" i="39"/>
  <c r="B56" i="39"/>
  <c r="F56" i="39"/>
  <c r="F66" i="39"/>
  <c r="B2" i="39" s="1"/>
  <c r="B65" i="39"/>
  <c r="D13" i="53"/>
  <c r="D122" i="9"/>
  <c r="D8" i="52"/>
  <c r="D123" i="9"/>
  <c r="D9" i="52"/>
  <c r="G14" i="74"/>
  <c r="B6" i="74"/>
  <c r="D14" i="53"/>
  <c r="B30" i="72"/>
  <c r="B32" i="72"/>
  <c r="M24" i="15"/>
  <c r="B8" i="76"/>
  <c r="C76" i="15"/>
  <c r="D5" i="73"/>
  <c r="D4" i="73"/>
  <c r="F8" i="67"/>
  <c r="D3" i="73"/>
  <c r="M9" i="67"/>
  <c r="F6" i="73"/>
  <c r="B7" i="76"/>
  <c r="F26" i="15"/>
  <c r="D2" i="34"/>
  <c r="F38" i="15"/>
  <c r="M27" i="15"/>
  <c r="E12" i="76"/>
  <c r="M23" i="67"/>
  <c r="M26" i="15"/>
  <c r="M23" i="15"/>
  <c r="G1" i="73"/>
  <c r="E13" i="76"/>
  <c r="E2" i="68"/>
  <c r="M6" i="67"/>
  <c r="F40" i="67"/>
  <c r="L47" i="15"/>
  <c r="D9" i="68"/>
  <c r="M6" i="15"/>
  <c r="F36" i="15"/>
  <c r="M22" i="67"/>
  <c r="D2" i="35"/>
  <c r="AO12" i="1"/>
  <c r="M22" i="15"/>
  <c r="B12" i="76"/>
  <c r="D2" i="33"/>
  <c r="F42" i="67"/>
  <c r="F7" i="67"/>
  <c r="F43" i="67"/>
  <c r="C36" i="68"/>
  <c r="F9" i="67"/>
  <c r="M28" i="15"/>
  <c r="L48" i="15"/>
  <c r="F37" i="15"/>
  <c r="F40" i="15"/>
  <c r="D2" i="37"/>
  <c r="AO8" i="1"/>
  <c r="F20" i="31"/>
  <c r="E10" i="76"/>
  <c r="AO11" i="1"/>
  <c r="F3" i="73"/>
  <c r="F35" i="67"/>
  <c r="F9" i="15"/>
  <c r="M28" i="67"/>
  <c r="E8" i="76"/>
  <c r="F16" i="67"/>
  <c r="F26" i="67"/>
  <c r="F16" i="15"/>
  <c r="B11" i="76"/>
  <c r="D6" i="73"/>
  <c r="D2" i="36"/>
  <c r="M9" i="15"/>
  <c r="L47" i="67"/>
  <c r="M27" i="67"/>
  <c r="M8" i="15"/>
  <c r="F8" i="15"/>
  <c r="J15" i="15"/>
  <c r="F42" i="15"/>
  <c r="J15" i="67"/>
  <c r="F38" i="67"/>
  <c r="F36" i="67"/>
  <c r="F6" i="67"/>
  <c r="F13" i="67"/>
  <c r="B10" i="76"/>
  <c r="M26" i="67"/>
  <c r="M8" i="67"/>
  <c r="M24" i="67"/>
  <c r="E7" i="76"/>
  <c r="F27" i="68"/>
  <c r="B9" i="76"/>
  <c r="AO13" i="1"/>
  <c r="F13" i="15"/>
  <c r="AO9" i="1"/>
  <c r="F5" i="73"/>
  <c r="E2" i="69"/>
  <c r="M21" i="67"/>
  <c r="E9" i="76"/>
  <c r="F37" i="67"/>
  <c r="L48" i="67"/>
  <c r="D7" i="73"/>
  <c r="AO7" i="1"/>
  <c r="M29" i="67"/>
  <c r="E11" i="76"/>
  <c r="AO10" i="1"/>
  <c r="C76" i="67"/>
  <c r="F4" i="73"/>
  <c r="B13" i="76"/>
  <c r="F41" i="67"/>
  <c r="D2" i="21"/>
  <c r="F7" i="73"/>
  <c r="D6" i="77" l="1"/>
  <c r="C8" i="77" s="1"/>
  <c r="U6" i="1" s="1"/>
  <c r="E106" i="43"/>
  <c r="E109" i="43"/>
  <c r="E107" i="43"/>
  <c r="E102" i="43"/>
  <c r="E104" i="43"/>
  <c r="AQ8" i="1"/>
  <c r="T8" i="1"/>
  <c r="AR8" i="1"/>
  <c r="AR9" i="1"/>
  <c r="T9" i="1"/>
  <c r="AQ9" i="1"/>
  <c r="B113" i="43"/>
  <c r="N101" i="43"/>
  <c r="C101" i="43"/>
  <c r="N104" i="46"/>
  <c r="D101" i="43"/>
  <c r="G22" i="43"/>
  <c r="AI11" i="43"/>
  <c r="AI13" i="43" s="1"/>
  <c r="AE11" i="43"/>
  <c r="AE13" i="43" s="1"/>
  <c r="AA11" i="43"/>
  <c r="AA13" i="43" s="1"/>
  <c r="J22" i="43"/>
  <c r="F101" i="43"/>
  <c r="L101" i="43"/>
  <c r="M101" i="43"/>
  <c r="AH11" i="43"/>
  <c r="AH13" i="43" s="1"/>
  <c r="Z11" i="43"/>
  <c r="Z13" i="43" s="1"/>
  <c r="AC11" i="43"/>
  <c r="AC13" i="43" s="1"/>
  <c r="S6" i="43"/>
  <c r="S3" i="43"/>
  <c r="P3" i="43" s="1"/>
  <c r="S2" i="43"/>
  <c r="C23" i="43"/>
  <c r="C21" i="43" s="1"/>
  <c r="K101" i="43"/>
  <c r="J101" i="43"/>
  <c r="I101" i="43"/>
  <c r="AF11" i="43"/>
  <c r="AF13" i="43" s="1"/>
  <c r="Z7" i="43"/>
  <c r="F22" i="43"/>
  <c r="H101" i="43"/>
  <c r="AD11" i="43"/>
  <c r="AD13" i="43" s="1"/>
  <c r="Y11" i="43"/>
  <c r="Y13" i="43" s="1"/>
  <c r="S4" i="43"/>
  <c r="P4" i="43" s="1"/>
  <c r="D33" i="43"/>
  <c r="E19" i="6"/>
  <c r="G27" i="6"/>
  <c r="G31" i="6" s="1"/>
  <c r="S5" i="43"/>
  <c r="E3" i="6"/>
  <c r="AY6" i="3"/>
  <c r="E103" i="43"/>
  <c r="AG11" i="43"/>
  <c r="AG13" i="43" s="1"/>
  <c r="E22" i="43"/>
  <c r="AJ11" i="43"/>
  <c r="AJ13" i="43" s="1"/>
  <c r="G101" i="43"/>
  <c r="E65" i="39"/>
  <c r="F65" i="39" s="1"/>
  <c r="E60" i="40"/>
  <c r="F60" i="40" s="1"/>
  <c r="AC6" i="3"/>
  <c r="E237" i="3"/>
  <c r="E304" i="3"/>
  <c r="E565" i="3"/>
  <c r="E213" i="3"/>
  <c r="E17" i="3"/>
  <c r="E302" i="3"/>
  <c r="E509" i="3"/>
  <c r="E579" i="3"/>
  <c r="E431" i="3"/>
  <c r="E247" i="3"/>
  <c r="E201" i="3"/>
  <c r="E397" i="3"/>
  <c r="E568" i="3"/>
  <c r="I6" i="3"/>
  <c r="H6" i="3" s="1"/>
  <c r="E536" i="3"/>
  <c r="E549" i="3"/>
  <c r="E453" i="3"/>
  <c r="E368" i="3"/>
  <c r="E244" i="3"/>
  <c r="E196" i="3"/>
  <c r="E156" i="3"/>
  <c r="E148" i="3"/>
  <c r="E122" i="3"/>
  <c r="E140" i="3"/>
  <c r="E223" i="3"/>
  <c r="E197" i="3"/>
  <c r="E173" i="3"/>
  <c r="E327" i="3"/>
  <c r="E576" i="3"/>
  <c r="Z6" i="3"/>
  <c r="AG6" i="3"/>
  <c r="AO6" i="3"/>
  <c r="E448" i="3"/>
  <c r="E485" i="3"/>
  <c r="P6" i="3"/>
  <c r="E400" i="3"/>
  <c r="E443" i="3"/>
  <c r="E345" i="3"/>
  <c r="E558" i="3"/>
  <c r="E557" i="3"/>
  <c r="E581" i="3"/>
  <c r="E531"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86" i="3"/>
  <c r="E126" i="3"/>
  <c r="C18" i="9"/>
  <c r="D18" i="9" s="1"/>
  <c r="C12" i="12"/>
  <c r="E22" i="49"/>
  <c r="E7" i="49"/>
  <c r="B5" i="49"/>
  <c r="B14" i="49"/>
  <c r="E6" i="49"/>
  <c r="B13" i="49"/>
  <c r="C4" i="4" s="1"/>
  <c r="E14" i="49"/>
  <c r="E13" i="49"/>
  <c r="E4" i="49"/>
  <c r="E5" i="49"/>
  <c r="E11" i="49"/>
  <c r="B9" i="49"/>
  <c r="E4" i="4" s="1"/>
  <c r="B5" i="62" s="1"/>
  <c r="B73" i="72" s="1"/>
  <c r="E10" i="49"/>
  <c r="B22" i="49"/>
  <c r="E15" i="49"/>
  <c r="B16" i="49"/>
  <c r="B11" i="49"/>
  <c r="E21" i="49"/>
  <c r="B8" i="49"/>
  <c r="E8" i="49"/>
  <c r="B10" i="49"/>
  <c r="E16" i="49"/>
  <c r="B4" i="49"/>
  <c r="B6" i="49"/>
  <c r="B15" i="49"/>
  <c r="B7" i="49"/>
  <c r="B40" i="1"/>
  <c r="C34" i="67"/>
  <c r="F63" i="67"/>
  <c r="C62" i="67" s="1"/>
  <c r="F66" i="15"/>
  <c r="B7" i="70"/>
  <c r="B12" i="70"/>
  <c r="F71" i="67"/>
  <c r="F70" i="67"/>
  <c r="C6" i="67"/>
  <c r="C27" i="67"/>
  <c r="B2" i="36"/>
  <c r="B3" i="36" s="1"/>
  <c r="L59" i="67"/>
  <c r="N59" i="67"/>
  <c r="M59" i="67"/>
  <c r="L58" i="67"/>
  <c r="C29" i="68"/>
  <c r="D27" i="68" s="1"/>
  <c r="C47" i="68"/>
  <c r="D45" i="68" s="1"/>
  <c r="B8" i="70"/>
  <c r="F66" i="67"/>
  <c r="I1" i="73"/>
  <c r="B39" i="1" s="1"/>
  <c r="Q71" i="15"/>
  <c r="B13" i="70"/>
  <c r="F51" i="15"/>
  <c r="F64" i="15"/>
  <c r="F69" i="67"/>
  <c r="B10" i="70"/>
  <c r="E20" i="43"/>
  <c r="C9" i="68"/>
  <c r="C27" i="15"/>
  <c r="F68" i="67"/>
  <c r="F65" i="67"/>
  <c r="F64" i="67"/>
  <c r="F65" i="15"/>
  <c r="B2" i="35"/>
  <c r="B3" i="35" s="1"/>
  <c r="F68" i="15"/>
  <c r="M7" i="67"/>
  <c r="J6" i="67" s="1"/>
  <c r="F50" i="67"/>
  <c r="J53" i="15"/>
  <c r="L56" i="15"/>
  <c r="J57" i="15"/>
  <c r="J55" i="15" s="1"/>
  <c r="J58" i="15" s="1"/>
  <c r="Q50" i="15" s="1"/>
  <c r="I54" i="15"/>
  <c r="J60" i="15"/>
  <c r="Q48" i="15" s="1"/>
  <c r="L57" i="15"/>
  <c r="J59" i="15"/>
  <c r="L60" i="15"/>
  <c r="Q71" i="67"/>
  <c r="F51" i="67"/>
  <c r="L59" i="15"/>
  <c r="L58" i="15"/>
  <c r="N59" i="15"/>
  <c r="M59" i="15"/>
  <c r="B20" i="31"/>
  <c r="B11" i="70"/>
  <c r="B9" i="70"/>
  <c r="J20" i="67"/>
  <c r="J57" i="67"/>
  <c r="J55" i="67" s="1"/>
  <c r="J58" i="67" s="1"/>
  <c r="Q50" i="67" s="1"/>
  <c r="L56" i="67"/>
  <c r="I54" i="67"/>
  <c r="F6" i="15"/>
  <c r="C14" i="67"/>
  <c r="C17" i="67"/>
  <c r="C16" i="67"/>
  <c r="AY83" i="3" l="1"/>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51" i="3"/>
  <c r="AY207" i="3"/>
  <c r="AY124" i="3"/>
  <c r="AY42" i="3"/>
  <c r="AY281" i="3"/>
  <c r="AY168" i="3"/>
  <c r="AY236" i="3"/>
  <c r="AY366" i="3"/>
  <c r="AY473" i="3"/>
  <c r="AY441" i="3"/>
  <c r="AY26" i="3"/>
  <c r="AY260" i="3"/>
  <c r="AY372" i="3"/>
  <c r="AY310" i="3"/>
  <c r="AY452" i="3"/>
  <c r="AY433" i="3"/>
  <c r="AY513" i="3"/>
  <c r="BK6" i="3"/>
  <c r="AY569" i="3"/>
  <c r="AY541" i="3"/>
  <c r="AY553" i="3"/>
  <c r="AY108" i="3"/>
  <c r="AY77" i="3"/>
  <c r="AY45" i="3"/>
  <c r="AY60" i="3"/>
  <c r="AY28" i="3"/>
  <c r="AY206" i="3"/>
  <c r="AY201" i="3"/>
  <c r="AY170" i="3"/>
  <c r="AY138" i="3"/>
  <c r="AY149" i="3"/>
  <c r="AY118" i="3"/>
  <c r="AY299" i="3"/>
  <c r="AY29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87" i="3"/>
  <c r="AY144" i="3"/>
  <c r="AY152" i="3"/>
  <c r="AY253" i="3"/>
  <c r="AY303" i="3"/>
  <c r="AY529" i="3"/>
  <c r="AY217" i="3"/>
  <c r="AY463" i="3"/>
  <c r="AY401" i="3"/>
  <c r="AY544" i="3"/>
  <c r="BE6" i="3"/>
  <c r="AY92" i="3"/>
  <c r="AY76" i="3"/>
  <c r="AY33" i="3"/>
  <c r="AY185" i="3"/>
  <c r="AY165" i="3"/>
  <c r="AY125" i="3"/>
  <c r="AY103" i="3"/>
  <c r="AY160" i="3"/>
  <c r="AY183" i="3"/>
  <c r="AY284" i="3"/>
  <c r="AY319" i="3"/>
  <c r="AY497" i="3"/>
  <c r="AY212" i="3"/>
  <c r="AY478" i="3"/>
  <c r="AY573" i="3"/>
  <c r="AY100" i="3"/>
  <c r="AY20" i="3"/>
  <c r="AY173"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8" i="3"/>
  <c r="AY90" i="3"/>
  <c r="AY75" i="3"/>
  <c r="AY387" i="3"/>
  <c r="AY444" i="3"/>
  <c r="AY269" i="3"/>
  <c r="AY311" i="3"/>
  <c r="AY535" i="3"/>
  <c r="AY555" i="3"/>
  <c r="AY68" i="3"/>
  <c r="AY178" i="3"/>
  <c r="AY117"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41" i="3"/>
  <c r="AY224" i="3"/>
  <c r="AY391" i="3"/>
  <c r="AY354" i="3"/>
  <c r="AY338" i="3"/>
  <c r="AY490" i="3"/>
  <c r="AY448" i="3"/>
  <c r="AY429" i="3"/>
  <c r="BD6" i="3"/>
  <c r="AY511" i="3"/>
  <c r="AY586" i="3"/>
  <c r="AY34" i="3"/>
  <c r="AY95" i="3"/>
  <c r="AY111" i="3"/>
  <c r="AY382" i="3"/>
  <c r="AY460" i="3"/>
  <c r="AY300" i="3"/>
  <c r="AY327" i="3"/>
  <c r="AY420" i="3"/>
  <c r="AY549" i="3"/>
  <c r="AY533" i="3"/>
  <c r="AY97" i="3"/>
  <c r="AY61" i="3"/>
  <c r="AY44" i="3"/>
  <c r="AY190" i="3"/>
  <c r="AY154" i="3"/>
  <c r="AY133" i="3"/>
  <c r="AY283" i="3"/>
  <c r="AY50" i="3"/>
  <c r="AY289" i="3"/>
  <c r="AY261" i="3"/>
  <c r="AY209" i="3"/>
  <c r="AY455" i="3"/>
  <c r="AY116" i="3"/>
  <c r="AY343" i="3"/>
  <c r="AY417" i="3"/>
  <c r="AY539" i="3"/>
  <c r="AY84" i="3"/>
  <c r="AY193" i="3"/>
  <c r="AY134"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172" i="3"/>
  <c r="AY248" i="3"/>
  <c r="AY485" i="3"/>
  <c r="AY547" i="3"/>
  <c r="AY54" i="3"/>
  <c r="AY293" i="3"/>
  <c r="AY351" i="3"/>
  <c r="AY400" i="3"/>
  <c r="AY98" i="3"/>
  <c r="AY163" i="3"/>
  <c r="AY334" i="3"/>
  <c r="AY390" i="3"/>
  <c r="AY574" i="3"/>
  <c r="AY2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256" i="3"/>
  <c r="AY367" i="3"/>
  <c r="AY306" i="3"/>
  <c r="AY416" i="3"/>
  <c r="BC6" i="3"/>
  <c r="AY498" i="3"/>
  <c r="AY62" i="3"/>
  <c r="AY301" i="3"/>
  <c r="AY359" i="3"/>
  <c r="AY408" i="3"/>
  <c r="AY107" i="3"/>
  <c r="AY164" i="3"/>
  <c r="AY240" i="3"/>
  <c r="AY477" i="3"/>
  <c r="AY566" i="3"/>
  <c r="AY171" i="3"/>
  <c r="AY237" i="3"/>
  <c r="AY526" i="3"/>
  <c r="AY447" i="3"/>
  <c r="AY85" i="3"/>
  <c r="AY157" i="3"/>
  <c r="AY262" i="3"/>
  <c r="AY374" i="3"/>
  <c r="AY73" i="3"/>
  <c r="AY145" i="3"/>
  <c r="AY388" i="3"/>
  <c r="AY316" i="3"/>
  <c r="AY430" i="3"/>
  <c r="AY585" i="3"/>
  <c r="BG6" i="3"/>
  <c r="AY101" i="3"/>
  <c r="AY158" i="3"/>
  <c r="AY234" i="3"/>
  <c r="AY344" i="3"/>
  <c r="AY458" i="3"/>
  <c r="AY506" i="3"/>
  <c r="AY542" i="3"/>
  <c r="AY63" i="3"/>
  <c r="AY135" i="3"/>
  <c r="AY378" i="3"/>
  <c r="AY456" i="3"/>
  <c r="BL6" i="3"/>
  <c r="AY184" i="3"/>
  <c r="AY273" i="3"/>
  <c r="AY213" i="3"/>
  <c r="AY323" i="3"/>
  <c r="AY459" i="3"/>
  <c r="AY550" i="3"/>
  <c r="AY504" i="3"/>
  <c r="K6" i="1"/>
  <c r="E27" i="6"/>
  <c r="K19" i="6" s="1"/>
  <c r="M18" i="9"/>
  <c r="B118" i="9" s="1"/>
  <c r="B14" i="74" s="1"/>
  <c r="B1" i="74" s="1"/>
  <c r="E6" i="3"/>
  <c r="E66" i="39"/>
  <c r="G107" i="43"/>
  <c r="G109" i="43"/>
  <c r="G103" i="43"/>
  <c r="G104" i="43"/>
  <c r="G106" i="43"/>
  <c r="G102" i="43"/>
  <c r="G105" i="43"/>
  <c r="D22" i="43"/>
  <c r="D3" i="33"/>
  <c r="B2" i="33" s="1"/>
  <c r="B3" i="33" s="1"/>
  <c r="C17" i="4"/>
  <c r="B4" i="52" s="1"/>
  <c r="B43" i="72" s="1"/>
  <c r="D3" i="37"/>
  <c r="B2" i="37" s="1"/>
  <c r="B3" i="37" s="1"/>
  <c r="D3" i="21"/>
  <c r="B2" i="21" s="1"/>
  <c r="B3" i="21" s="1"/>
  <c r="D3" i="34"/>
  <c r="B2" i="34" s="1"/>
  <c r="B3" i="34" s="1"/>
  <c r="D19" i="11"/>
  <c r="C19" i="11" s="1"/>
  <c r="D37" i="11"/>
  <c r="C37" i="11" s="1"/>
  <c r="E6" i="6"/>
  <c r="D14" i="12"/>
  <c r="H108" i="9"/>
  <c r="D15" i="53" s="1"/>
  <c r="B31" i="72" s="1"/>
  <c r="B3" i="39"/>
  <c r="H33" i="43"/>
  <c r="D1" i="43"/>
  <c r="H102" i="43"/>
  <c r="H104" i="43"/>
  <c r="H106" i="43"/>
  <c r="H109" i="43"/>
  <c r="H103" i="43"/>
  <c r="H105" i="43"/>
  <c r="H107" i="43"/>
  <c r="I102" i="43"/>
  <c r="I103" i="43"/>
  <c r="I107" i="43"/>
  <c r="I109" i="43"/>
  <c r="I104" i="43"/>
  <c r="I105" i="43"/>
  <c r="I106" i="43"/>
  <c r="K103" i="43"/>
  <c r="K106" i="43"/>
  <c r="K104" i="43"/>
  <c r="K109" i="43"/>
  <c r="K107" i="43"/>
  <c r="K102" i="43"/>
  <c r="K105" i="43"/>
  <c r="M109" i="43"/>
  <c r="M106" i="43"/>
  <c r="M104" i="43"/>
  <c r="M105" i="43"/>
  <c r="M102" i="43"/>
  <c r="M107" i="43"/>
  <c r="M103" i="43"/>
  <c r="F104" i="43"/>
  <c r="F103" i="43"/>
  <c r="F106" i="43"/>
  <c r="F109" i="43"/>
  <c r="F107" i="43"/>
  <c r="F105" i="43"/>
  <c r="F102" i="43"/>
  <c r="D103" i="43"/>
  <c r="D107" i="43"/>
  <c r="D105" i="43"/>
  <c r="D104" i="43"/>
  <c r="D102" i="43"/>
  <c r="D106" i="43"/>
  <c r="D109" i="43"/>
  <c r="C106" i="43"/>
  <c r="C103" i="43"/>
  <c r="C109" i="43"/>
  <c r="C105" i="43"/>
  <c r="C102" i="43"/>
  <c r="C104" i="43"/>
  <c r="C107" i="43"/>
  <c r="D117" i="43"/>
  <c r="E117" i="43" s="1"/>
  <c r="F117" i="43" s="1"/>
  <c r="G117" i="43" s="1"/>
  <c r="H117" i="43" s="1"/>
  <c r="D116" i="43"/>
  <c r="E116" i="43" s="1"/>
  <c r="F116" i="43" s="1"/>
  <c r="G116" i="43" s="1"/>
  <c r="H116" i="43" s="1"/>
  <c r="B117" i="43"/>
  <c r="C117" i="43" s="1"/>
  <c r="I116" i="43"/>
  <c r="J116" i="43" s="1"/>
  <c r="K116" i="43" s="1"/>
  <c r="L116" i="43" s="1"/>
  <c r="M116" i="43" s="1"/>
  <c r="B115" i="43"/>
  <c r="G118" i="43"/>
  <c r="H118" i="43" s="1"/>
  <c r="B116" i="43"/>
  <c r="C116" i="43" s="1"/>
  <c r="B118" i="43"/>
  <c r="C118" i="43" s="1"/>
  <c r="I117" i="43"/>
  <c r="J117" i="43" s="1"/>
  <c r="K117" i="43" s="1"/>
  <c r="L117" i="43" s="1"/>
  <c r="M117" i="43" s="1"/>
  <c r="I115" i="43"/>
  <c r="J115" i="43" s="1"/>
  <c r="K115" i="43" s="1"/>
  <c r="L115" i="43" s="1"/>
  <c r="M115" i="43" s="1"/>
  <c r="D115" i="43"/>
  <c r="E115" i="43" s="1"/>
  <c r="F115" i="43" s="1"/>
  <c r="G115" i="43" s="1"/>
  <c r="H115" i="43" s="1"/>
  <c r="D118" i="43"/>
  <c r="E118" i="43" s="1"/>
  <c r="F118" i="43" s="1"/>
  <c r="I118" i="43"/>
  <c r="J118" i="43" s="1"/>
  <c r="K118" i="43" s="1"/>
  <c r="L118" i="43" s="1"/>
  <c r="M118" i="43" s="1"/>
  <c r="J107" i="43"/>
  <c r="J106" i="43"/>
  <c r="J105" i="43"/>
  <c r="J109" i="43"/>
  <c r="J102" i="43"/>
  <c r="J103" i="43"/>
  <c r="J104" i="43"/>
  <c r="L102" i="43"/>
  <c r="L104" i="43"/>
  <c r="L103" i="43"/>
  <c r="L105" i="43"/>
  <c r="L107" i="43"/>
  <c r="L106" i="43"/>
  <c r="L109" i="43"/>
  <c r="N105" i="43"/>
  <c r="N103" i="43"/>
  <c r="N104" i="43"/>
  <c r="N102" i="43"/>
  <c r="N106" i="43"/>
  <c r="N109" i="43"/>
  <c r="N107" i="43"/>
  <c r="L46" i="15"/>
  <c r="K4" i="4"/>
  <c r="B46" i="48" s="1"/>
  <c r="B4" i="72" s="1"/>
  <c r="B4" i="62"/>
  <c r="B71" i="72" s="1"/>
  <c r="C49" i="67"/>
  <c r="C15" i="67"/>
  <c r="C18" i="67"/>
  <c r="Q61" i="15"/>
  <c r="Q74" i="15"/>
  <c r="Q52" i="15"/>
  <c r="F1" i="15"/>
  <c r="Q74" i="67"/>
  <c r="Q61" i="67"/>
  <c r="Q73" i="15"/>
  <c r="Q60" i="15"/>
  <c r="Q66" i="15"/>
  <c r="Q57" i="15"/>
  <c r="P17" i="43"/>
  <c r="M17" i="43"/>
  <c r="G20" i="43" s="1"/>
  <c r="N17" i="43"/>
  <c r="O17" i="43"/>
  <c r="F11" i="67"/>
  <c r="M11" i="67"/>
  <c r="J10" i="67" s="1"/>
  <c r="J5" i="67" s="1"/>
  <c r="M11" i="15"/>
  <c r="F11" i="15"/>
  <c r="C53" i="15" s="1"/>
  <c r="Q60" i="67"/>
  <c r="Q73" i="67"/>
  <c r="F22" i="68"/>
  <c r="F25" i="12"/>
  <c r="C26" i="12" s="1"/>
  <c r="D25" i="12" s="1"/>
  <c r="F24" i="15"/>
  <c r="C24" i="15" s="1"/>
  <c r="F22" i="69"/>
  <c r="F24" i="67"/>
  <c r="C24" i="67" s="1"/>
  <c r="F22" i="11"/>
  <c r="M29" i="15"/>
  <c r="F7" i="15"/>
  <c r="F43" i="15"/>
  <c r="AE6" i="1"/>
  <c r="C17" i="77" l="1"/>
  <c r="B17" i="77"/>
  <c r="D17" i="77"/>
  <c r="M7" i="15"/>
  <c r="J6" i="15" s="1"/>
  <c r="J10" i="15" s="1"/>
  <c r="J5" i="15" s="1"/>
  <c r="E17" i="77"/>
  <c r="F50" i="15"/>
  <c r="C49" i="15" s="1"/>
  <c r="C48" i="15" s="1"/>
  <c r="C6" i="15"/>
  <c r="C10" i="15" s="1"/>
  <c r="C5" i="15" s="1"/>
  <c r="F71" i="15"/>
  <c r="M19" i="6"/>
  <c r="S6" i="1"/>
  <c r="D17" i="12"/>
  <c r="C17" i="12" s="1"/>
  <c r="C14" i="12"/>
  <c r="C16" i="12" s="1"/>
  <c r="C8" i="74"/>
  <c r="C6" i="74"/>
  <c r="C115" i="43"/>
  <c r="D113" i="43"/>
  <c r="D10" i="11"/>
  <c r="C10" i="11" s="1"/>
  <c r="D20" i="12"/>
  <c r="C20" i="12" s="1"/>
  <c r="D10" i="69"/>
  <c r="C20" i="11"/>
  <c r="K24" i="6"/>
  <c r="M24" i="6" s="1"/>
  <c r="I24" i="6" s="1"/>
  <c r="S24" i="6" s="1"/>
  <c r="K22" i="6"/>
  <c r="M22" i="6" s="1"/>
  <c r="I22" i="6" s="1"/>
  <c r="S22" i="6" s="1"/>
  <c r="K20" i="6"/>
  <c r="M20" i="6" s="1"/>
  <c r="I20" i="6" s="1"/>
  <c r="S20" i="6" s="1"/>
  <c r="K26" i="6"/>
  <c r="M26" i="6" s="1"/>
  <c r="I26" i="6" s="1"/>
  <c r="S26" i="6" s="1"/>
  <c r="K21" i="6"/>
  <c r="M21" i="6" s="1"/>
  <c r="I21" i="6" s="1"/>
  <c r="S21" i="6" s="1"/>
  <c r="K23" i="6"/>
  <c r="M23" i="6" s="1"/>
  <c r="I23" i="6" s="1"/>
  <c r="S23" i="6" s="1"/>
  <c r="K25" i="6"/>
  <c r="M25" i="6" s="1"/>
  <c r="I25" i="6" s="1"/>
  <c r="S25" i="6" s="1"/>
  <c r="E31" i="6"/>
  <c r="M6" i="1"/>
  <c r="Q16" i="1"/>
  <c r="C34" i="69"/>
  <c r="K16" i="1"/>
  <c r="E6" i="70"/>
  <c r="E2" i="70" s="1"/>
  <c r="D26" i="6"/>
  <c r="R26" i="6" s="1"/>
  <c r="D8" i="6"/>
  <c r="D14" i="6"/>
  <c r="D12" i="6"/>
  <c r="D13" i="6"/>
  <c r="H23" i="6"/>
  <c r="D15" i="6"/>
  <c r="D21" i="6"/>
  <c r="D20" i="6"/>
  <c r="D6" i="6"/>
  <c r="D10" i="6"/>
  <c r="D29" i="6"/>
  <c r="H22" i="6"/>
  <c r="H24" i="6"/>
  <c r="D19" i="6"/>
  <c r="D23" i="6"/>
  <c r="R23" i="6" s="1"/>
  <c r="D11" i="6"/>
  <c r="E61" i="40"/>
  <c r="F61" i="40" s="1"/>
  <c r="B2" i="40" s="1"/>
  <c r="B3" i="40" s="1"/>
  <c r="D25" i="6"/>
  <c r="D24" i="6"/>
  <c r="D9" i="6"/>
  <c r="C18" i="4"/>
  <c r="D5" i="6"/>
  <c r="D28" i="6"/>
  <c r="D30" i="6" s="1"/>
  <c r="H26" i="6"/>
  <c r="D22" i="6"/>
  <c r="R22" i="6" s="1"/>
  <c r="C19" i="67"/>
  <c r="C20" i="67" s="1"/>
  <c r="C26" i="67" s="1"/>
  <c r="J26" i="67"/>
  <c r="J29" i="67" s="1"/>
  <c r="J18" i="67"/>
  <c r="J24" i="67"/>
  <c r="H6" i="1"/>
  <c r="E41" i="43"/>
  <c r="C41" i="43" s="1"/>
  <c r="C20" i="43"/>
  <c r="C44" i="11"/>
  <c r="D41" i="11" s="1"/>
  <c r="C23" i="11"/>
  <c r="C24" i="11"/>
  <c r="C26" i="11"/>
  <c r="D22" i="11" s="1"/>
  <c r="C25" i="11"/>
  <c r="C26" i="69"/>
  <c r="D22" i="69" s="1"/>
  <c r="C44" i="69"/>
  <c r="D41" i="69" s="1"/>
  <c r="C53" i="67"/>
  <c r="C48" i="67" s="1"/>
  <c r="C10" i="67"/>
  <c r="C5" i="67" s="1"/>
  <c r="C26" i="68"/>
  <c r="D22" i="68" s="1"/>
  <c r="C44" i="68"/>
  <c r="D41" i="68" s="1"/>
  <c r="C24" i="68"/>
  <c r="F41" i="15"/>
  <c r="D10" i="68"/>
  <c r="C16" i="15"/>
  <c r="C17" i="15"/>
  <c r="J18" i="15" l="1"/>
  <c r="J24" i="15"/>
  <c r="J26" i="15"/>
  <c r="C10" i="68"/>
  <c r="D19" i="68"/>
  <c r="D37" i="68" s="1"/>
  <c r="C37" i="68" s="1"/>
  <c r="A7" i="51"/>
  <c r="B7" i="72" s="1"/>
  <c r="C4" i="52"/>
  <c r="B45" i="72" s="1"/>
  <c r="A10" i="51"/>
  <c r="B9" i="72" s="1"/>
  <c r="M19" i="9"/>
  <c r="C118" i="9" s="1"/>
  <c r="C14" i="74" s="1"/>
  <c r="B2" i="74" s="1"/>
  <c r="D27" i="6"/>
  <c r="D31" i="6" s="1"/>
  <c r="I6" i="6" s="1"/>
  <c r="C38" i="69"/>
  <c r="C35" i="69"/>
  <c r="M16" i="1"/>
  <c r="AQ6" i="1"/>
  <c r="T6" i="1"/>
  <c r="AR6" i="1"/>
  <c r="S16" i="1"/>
  <c r="H21" i="6"/>
  <c r="R21" i="6" s="1"/>
  <c r="H25" i="6"/>
  <c r="R25" i="6" s="1"/>
  <c r="R24" i="6"/>
  <c r="D16" i="6"/>
  <c r="H20" i="6"/>
  <c r="R20" i="6" s="1"/>
  <c r="F27" i="11"/>
  <c r="F28" i="12"/>
  <c r="C29" i="12" s="1"/>
  <c r="D28" i="12" s="1"/>
  <c r="F27" i="69"/>
  <c r="I5" i="6"/>
  <c r="C10" i="69"/>
  <c r="C8" i="69" s="1"/>
  <c r="C5" i="69" s="1"/>
  <c r="D19" i="69"/>
  <c r="K27" i="6"/>
  <c r="I19" i="6"/>
  <c r="M27" i="6"/>
  <c r="F69" i="15"/>
  <c r="J29" i="15"/>
  <c r="C23" i="67"/>
  <c r="C29" i="67" s="1"/>
  <c r="C33" i="67" s="1"/>
  <c r="C66" i="67"/>
  <c r="C60" i="67"/>
  <c r="C22" i="11"/>
  <c r="T13" i="43"/>
  <c r="V13" i="43" s="1"/>
  <c r="C35" i="43"/>
  <c r="T2" i="43"/>
  <c r="V2" i="43" s="1"/>
  <c r="C29" i="43"/>
  <c r="T6" i="43"/>
  <c r="V6" i="43" s="1"/>
  <c r="T3" i="43"/>
  <c r="V3" i="43" s="1"/>
  <c r="T11" i="43"/>
  <c r="V11" i="43" s="1"/>
  <c r="T10" i="43"/>
  <c r="V10" i="43" s="1"/>
  <c r="T12" i="43"/>
  <c r="V12" i="43" s="1"/>
  <c r="T7" i="43"/>
  <c r="V7" i="43" s="1"/>
  <c r="T9" i="43"/>
  <c r="V9" i="43" s="1"/>
  <c r="C33" i="43"/>
  <c r="C37" i="43"/>
  <c r="T8" i="43"/>
  <c r="V8" i="43" s="1"/>
  <c r="C36" i="43"/>
  <c r="T5" i="43"/>
  <c r="V5" i="43" s="1"/>
  <c r="T14" i="43"/>
  <c r="V14" i="43" s="1"/>
  <c r="T4" i="43"/>
  <c r="V4" i="43" s="1"/>
  <c r="C34" i="43"/>
  <c r="T15" i="43"/>
  <c r="V15" i="43" s="1"/>
  <c r="T16" i="43"/>
  <c r="V16" i="43" s="1"/>
  <c r="H16" i="1"/>
  <c r="G6" i="1"/>
  <c r="G16" i="1" s="1"/>
  <c r="C60" i="15"/>
  <c r="C66" i="15"/>
  <c r="C32" i="67"/>
  <c r="C38" i="67"/>
  <c r="C32" i="15"/>
  <c r="C38" i="15"/>
  <c r="C33" i="15"/>
  <c r="C39" i="43"/>
  <c r="C38" i="43"/>
  <c r="C14" i="15"/>
  <c r="C34" i="68"/>
  <c r="C35" i="68" l="1"/>
  <c r="C38" i="68"/>
  <c r="C15" i="15"/>
  <c r="C18" i="15"/>
  <c r="C23" i="69"/>
  <c r="C29" i="69"/>
  <c r="D27" i="69" s="1"/>
  <c r="C47" i="69"/>
  <c r="D45" i="69" s="1"/>
  <c r="C29" i="11"/>
  <c r="D27" i="11" s="1"/>
  <c r="C47" i="11"/>
  <c r="D45" i="11" s="1"/>
  <c r="C28" i="11"/>
  <c r="C27" i="11" s="1"/>
  <c r="N16" i="1"/>
  <c r="C34" i="11"/>
  <c r="L16" i="1"/>
  <c r="D6" i="74"/>
  <c r="D8" i="74"/>
  <c r="C31" i="11"/>
  <c r="I27" i="6"/>
  <c r="L18" i="9"/>
  <c r="S19" i="6"/>
  <c r="S27" i="6" s="1"/>
  <c r="H19" i="6"/>
  <c r="C19" i="69"/>
  <c r="D37" i="69"/>
  <c r="C37" i="69" s="1"/>
  <c r="C33" i="69" s="1"/>
  <c r="T16" i="1"/>
  <c r="B29" i="1"/>
  <c r="C18" i="12" s="1"/>
  <c r="C21" i="12" s="1"/>
  <c r="C8" i="68"/>
  <c r="J59" i="67"/>
  <c r="J60" i="67" s="1"/>
  <c r="L46" i="67" s="1"/>
  <c r="J19" i="67"/>
  <c r="J17" i="67" s="1"/>
  <c r="J14" i="67"/>
  <c r="J13" i="67" s="1"/>
  <c r="J23" i="67" s="1"/>
  <c r="C13" i="67"/>
  <c r="C75" i="67" s="1"/>
  <c r="C31" i="67"/>
  <c r="C36" i="67"/>
  <c r="C57" i="67"/>
  <c r="C64" i="67" s="1"/>
  <c r="Q49" i="67"/>
  <c r="G39" i="43"/>
  <c r="I39" i="43" s="1"/>
  <c r="E39" i="43"/>
  <c r="G33" i="43"/>
  <c r="I33" i="43" s="1"/>
  <c r="E33" i="43"/>
  <c r="C30" i="43"/>
  <c r="E30" i="43" s="1"/>
  <c r="E29" i="43"/>
  <c r="G35" i="43"/>
  <c r="I35" i="43" s="1"/>
  <c r="E35" i="43"/>
  <c r="J22" i="67"/>
  <c r="G38" i="43"/>
  <c r="I38" i="43" s="1"/>
  <c r="E38" i="43"/>
  <c r="H10" i="39"/>
  <c r="F10" i="40"/>
  <c r="F10" i="39"/>
  <c r="J10" i="39"/>
  <c r="J10" i="40"/>
  <c r="H10" i="40"/>
  <c r="G34" i="43"/>
  <c r="I34" i="43" s="1"/>
  <c r="E34" i="43"/>
  <c r="G36" i="43"/>
  <c r="I36" i="43" s="1"/>
  <c r="E36" i="43"/>
  <c r="G37" i="43"/>
  <c r="I37" i="43" s="1"/>
  <c r="E37" i="43"/>
  <c r="C33" i="68" l="1"/>
  <c r="C39" i="68" s="1"/>
  <c r="C19" i="15"/>
  <c r="C20" i="15" s="1"/>
  <c r="C26" i="15" s="1"/>
  <c r="C20" i="69"/>
  <c r="C25" i="69" s="1"/>
  <c r="C24" i="69"/>
  <c r="F50" i="11"/>
  <c r="F50" i="68"/>
  <c r="F50" i="69"/>
  <c r="C22" i="12"/>
  <c r="C27" i="12" s="1"/>
  <c r="C25" i="12" s="1"/>
  <c r="C39" i="69"/>
  <c r="C42" i="69"/>
  <c r="H27" i="6"/>
  <c r="R19" i="6"/>
  <c r="L19" i="9"/>
  <c r="C35" i="11"/>
  <c r="C38" i="11"/>
  <c r="C33" i="11" s="1"/>
  <c r="C56" i="67"/>
  <c r="C65" i="67" s="1"/>
  <c r="Q48" i="67"/>
  <c r="C37" i="67"/>
  <c r="C30" i="67" s="1"/>
  <c r="C39" i="67" s="1"/>
  <c r="C61" i="67"/>
  <c r="C59" i="67" s="1"/>
  <c r="Q70" i="67"/>
  <c r="J16" i="67"/>
  <c r="J25" i="67" s="1"/>
  <c r="AC10" i="39"/>
  <c r="W10" i="39"/>
  <c r="S10" i="40"/>
  <c r="AA10" i="40"/>
  <c r="C27" i="43"/>
  <c r="AB10" i="40"/>
  <c r="U10" i="40"/>
  <c r="W10" i="40"/>
  <c r="AC10" i="40"/>
  <c r="S10" i="39"/>
  <c r="AA10" i="39"/>
  <c r="AB10" i="39"/>
  <c r="U10" i="39"/>
  <c r="C26" i="43"/>
  <c r="C6" i="68"/>
  <c r="N32" i="43"/>
  <c r="O32" i="43" s="1"/>
  <c r="E6" i="76"/>
  <c r="L51" i="67"/>
  <c r="C42" i="68" l="1"/>
  <c r="C28" i="69"/>
  <c r="C27" i="69" s="1"/>
  <c r="C30" i="12"/>
  <c r="C28" i="12" s="1"/>
  <c r="C32" i="12" s="1"/>
  <c r="B2" i="12" s="1"/>
  <c r="B3" i="12" s="1"/>
  <c r="C22" i="69"/>
  <c r="C31" i="69" s="1"/>
  <c r="C23" i="15"/>
  <c r="C29" i="15" s="1"/>
  <c r="C39" i="11"/>
  <c r="C43" i="11" s="1"/>
  <c r="C42" i="11"/>
  <c r="C46" i="69"/>
  <c r="C45" i="69" s="1"/>
  <c r="C43" i="69"/>
  <c r="C41" i="69" s="1"/>
  <c r="C46" i="68"/>
  <c r="C45" i="68" s="1"/>
  <c r="C43" i="68"/>
  <c r="C41" i="68" s="1"/>
  <c r="R6" i="1"/>
  <c r="R27" i="6"/>
  <c r="C40" i="67"/>
  <c r="D2" i="67" s="1"/>
  <c r="Q69" i="67"/>
  <c r="Q68" i="67" s="1"/>
  <c r="C58" i="67"/>
  <c r="C67" i="67" s="1"/>
  <c r="C68" i="67" s="1"/>
  <c r="C71" i="67" s="1"/>
  <c r="C80" i="67"/>
  <c r="C79" i="67" s="1"/>
  <c r="E2" i="76"/>
  <c r="Q67" i="67"/>
  <c r="L57" i="67"/>
  <c r="L60" i="67" s="1"/>
  <c r="B2" i="43"/>
  <c r="C7" i="68"/>
  <c r="C5" i="68" s="1"/>
  <c r="M21" i="15"/>
  <c r="F35" i="15"/>
  <c r="B6" i="76"/>
  <c r="C49" i="68" l="1"/>
  <c r="C51" i="68" s="1"/>
  <c r="C41" i="11"/>
  <c r="C34" i="15"/>
  <c r="C31" i="15" s="1"/>
  <c r="F63" i="15"/>
  <c r="C62" i="15" s="1"/>
  <c r="J20" i="15"/>
  <c r="R16" i="1"/>
  <c r="C49" i="69"/>
  <c r="C51" i="69" s="1"/>
  <c r="C13" i="15"/>
  <c r="J19" i="15"/>
  <c r="J17" i="15" s="1"/>
  <c r="C57" i="15"/>
  <c r="C36" i="15"/>
  <c r="Q49" i="15"/>
  <c r="J14" i="15"/>
  <c r="C46" i="11"/>
  <c r="C45" i="11" s="1"/>
  <c r="C49" i="11" s="1"/>
  <c r="C51" i="11" s="1"/>
  <c r="C83" i="67"/>
  <c r="C82" i="67" s="1"/>
  <c r="Q65" i="67"/>
  <c r="Q56" i="67"/>
  <c r="C43" i="67"/>
  <c r="Q47" i="67"/>
  <c r="Q53" i="67" s="1"/>
  <c r="C45" i="67"/>
  <c r="C46" i="67" s="1"/>
  <c r="B2" i="76"/>
  <c r="B3" i="76" s="1"/>
  <c r="B2" i="67"/>
  <c r="B3" i="67"/>
  <c r="B3" i="43"/>
  <c r="C23" i="68"/>
  <c r="C20" i="68"/>
  <c r="C25" i="68" s="1"/>
  <c r="Q57" i="67"/>
  <c r="Q66" i="67"/>
  <c r="C52" i="11" l="1"/>
  <c r="B2" i="11" s="1"/>
  <c r="B3" i="11" s="1"/>
  <c r="C61" i="15"/>
  <c r="C59" i="15" s="1"/>
  <c r="C64" i="15"/>
  <c r="C37" i="15"/>
  <c r="C30" i="15" s="1"/>
  <c r="C39" i="15" s="1"/>
  <c r="C75" i="15"/>
  <c r="Q70" i="15"/>
  <c r="C56" i="15"/>
  <c r="C65" i="15" s="1"/>
  <c r="J22" i="15"/>
  <c r="J13" i="15"/>
  <c r="J23" i="15" s="1"/>
  <c r="C52" i="69"/>
  <c r="B2" i="69" s="1"/>
  <c r="B3" i="69" s="1"/>
  <c r="Q62" i="67"/>
  <c r="Q75" i="67"/>
  <c r="C22" i="68"/>
  <c r="C28" i="68"/>
  <c r="C27" i="68" s="1"/>
  <c r="L51" i="15"/>
  <c r="C31" i="68" l="1"/>
  <c r="C52" i="68" s="1"/>
  <c r="B2" i="68" s="1"/>
  <c r="C57" i="69"/>
  <c r="C56" i="69" s="1"/>
  <c r="C58" i="15"/>
  <c r="C67" i="15" s="1"/>
  <c r="C68" i="15" s="1"/>
  <c r="Q67" i="15"/>
  <c r="J16" i="15"/>
  <c r="J25" i="15" s="1"/>
  <c r="C80" i="15"/>
  <c r="C79" i="15" s="1"/>
  <c r="C56" i="11"/>
  <c r="C57" i="11" s="1"/>
  <c r="C40" i="15"/>
  <c r="Q69" i="15"/>
  <c r="Q68" i="15" s="1"/>
  <c r="C19" i="9"/>
  <c r="C46" i="15" l="1"/>
  <c r="C57" i="68"/>
  <c r="C56" i="68" s="1"/>
  <c r="C71" i="15"/>
  <c r="Q56" i="15"/>
  <c r="Q62" i="15" s="1"/>
  <c r="B2" i="15"/>
  <c r="C83" i="15"/>
  <c r="C82" i="15" s="1"/>
  <c r="Q47" i="15"/>
  <c r="Q53" i="15" s="1"/>
  <c r="Q65" i="15"/>
  <c r="Q75" i="15" s="1"/>
  <c r="C43" i="15"/>
  <c r="C102" i="9"/>
  <c r="C21" i="9"/>
  <c r="D19" i="9"/>
  <c r="AO6" i="1"/>
  <c r="B3" i="68"/>
  <c r="B6" i="70" l="1"/>
  <c r="B2" i="70" s="1"/>
  <c r="B3" i="70" s="1"/>
  <c r="D21" i="9"/>
  <c r="D102" i="9"/>
  <c r="G19" i="9"/>
  <c r="G6" i="77" s="1"/>
  <c r="D22" i="9"/>
  <c r="B3" i="15"/>
  <c r="D20" i="9"/>
  <c r="D34" i="9"/>
  <c r="C20" i="9"/>
  <c r="D35" i="9"/>
  <c r="G7" i="77" l="1"/>
  <c r="G21" i="9"/>
  <c r="D103" i="9"/>
  <c r="C32" i="9"/>
  <c r="C35" i="9" s="1"/>
  <c r="F118" i="9" s="1"/>
  <c r="C103" i="9"/>
  <c r="G20" i="9"/>
  <c r="H118" i="9" l="1"/>
  <c r="H4" i="52" s="1"/>
  <c r="F4" i="52"/>
  <c r="B51" i="72" s="1"/>
  <c r="G118" i="9"/>
  <c r="G4" i="52" s="1"/>
  <c r="B52" i="72" s="1"/>
  <c r="F119" i="9"/>
  <c r="F5" i="52" s="1"/>
  <c r="B53" i="72" s="1"/>
  <c r="I118" i="9"/>
  <c r="C34" i="9"/>
  <c r="D118" i="9" s="1"/>
  <c r="H119" i="9" l="1"/>
  <c r="H5" i="52" s="1"/>
  <c r="D14" i="74"/>
  <c r="E14" i="74" s="1"/>
  <c r="C104" i="9"/>
  <c r="H101" i="9"/>
  <c r="H109" i="9" s="1"/>
  <c r="D4" i="52"/>
  <c r="B47" i="72" s="1"/>
  <c r="D119" i="9"/>
  <c r="D5" i="52" s="1"/>
  <c r="B49" i="72" s="1"/>
  <c r="I4" i="52"/>
  <c r="C105" i="9"/>
  <c r="H102" i="9"/>
  <c r="D7" i="53" s="1"/>
  <c r="B21" i="72" s="1"/>
  <c r="E118" i="9"/>
  <c r="E4" i="52" s="1"/>
  <c r="B48" i="72" s="1"/>
  <c r="M48" i="9" l="1"/>
  <c r="D45" i="9"/>
  <c r="C72" i="9" s="1"/>
  <c r="B5" i="74"/>
  <c r="D5" i="74" s="1"/>
  <c r="D5" i="53"/>
  <c r="D6" i="53" s="1"/>
  <c r="B22" i="72" s="1"/>
  <c r="F14" i="74"/>
  <c r="D53" i="9"/>
  <c r="M49" i="9"/>
  <c r="D16" i="53"/>
  <c r="D124" i="9"/>
  <c r="H110" i="9"/>
  <c r="D18" i="53" s="1"/>
  <c r="B35" i="72" s="1"/>
  <c r="B20" i="72" l="1"/>
  <c r="C93" i="9"/>
  <c r="C86" i="9" s="1"/>
  <c r="C85" i="9"/>
  <c r="D55" i="9"/>
  <c r="M53" i="9" s="1"/>
  <c r="C64" i="9"/>
  <c r="C63" i="9" s="1"/>
  <c r="C67" i="9" s="1"/>
  <c r="C68" i="9" s="1"/>
  <c r="D54" i="9" s="1"/>
  <c r="C78" i="9"/>
  <c r="C73" i="9" s="1"/>
  <c r="C79" i="9" s="1"/>
  <c r="D52" i="9"/>
  <c r="C5" i="74"/>
  <c r="D17" i="53"/>
  <c r="B36" i="72" s="1"/>
  <c r="B34" i="72"/>
  <c r="D125" i="9"/>
  <c r="D11" i="52" s="1"/>
  <c r="H14" i="74"/>
  <c r="B7" i="74" s="1"/>
  <c r="D10" i="52"/>
  <c r="L68" i="9"/>
  <c r="M68" i="9" s="1"/>
  <c r="L66" i="9"/>
  <c r="M66" i="9" s="1"/>
  <c r="L64" i="9"/>
  <c r="M64" i="9" s="1"/>
  <c r="L67" i="9"/>
  <c r="M67" i="9" s="1"/>
  <c r="L63" i="9"/>
  <c r="M63" i="9" s="1"/>
  <c r="L65" i="9"/>
  <c r="M65" i="9" s="1"/>
  <c r="C95" i="9" l="1"/>
  <c r="C96" i="9" s="1"/>
  <c r="E96" i="9" s="1"/>
  <c r="E97" i="9" s="1"/>
  <c r="M69" i="9"/>
  <c r="N69" i="9" s="1"/>
  <c r="D7" i="74"/>
  <c r="C7" i="74"/>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<sst xmlns="http://schemas.openxmlformats.org/spreadsheetml/2006/main" count="7327" uniqueCount="3105">
  <si>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</si>
  <si>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</si>
  <si>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</si>
  <si>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</si>
  <si>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</si>
  <si>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</si>
  <si>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</si>
  <si>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</si>
  <si>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</si>
  <si>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</si>
  <si>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</si>
  <si>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</si>
  <si>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</si>
  <si>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</si>
  <si>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</si>
  <si>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</si>
  <si>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</si>
  <si>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</si>
  <si>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</si>
  <si>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</si>
  <si>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</si>
  <si>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</si>
  <si>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</si>
  <si>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</si>
  <si>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</si>
  <si>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</si>
  <si>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</si>
  <si>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</si>
  <si>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</si>
  <si>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</si>
  <si>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</si>
  <si>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</si>
  <si>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</si>
  <si>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</si>
  <si>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</si>
  <si>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</si>
  <si>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</si>
  <si>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</si>
  <si>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</si>
  <si>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</si>
  <si>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</si>
  <si>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</si>
  <si>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</si>
  <si>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</si>
  <si>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</si>
  <si>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</si>
  <si>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</si>
  <si>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</si>
  <si>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</si>
  <si>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</si>
  <si>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</si>
  <si>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</si>
  <si>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</si>
  <si>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</si>
  <si>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</si>
  <si>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</si>
  <si>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</si>
  <si>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</si>
  <si>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</si>
  <si>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</si>
  <si>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</si>
  <si>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</si>
  <si>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</si>
  <si>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</si>
  <si>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</si>
  <si>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</si>
  <si>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</si>
  <si>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</si>
  <si>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</si>
  <si>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</si>
  <si>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</si>
  <si>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</si>
  <si>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</si>
  <si>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</si>
  <si>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</si>
  <si>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</si>
  <si>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</si>
  <si>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</si>
  <si>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</si>
  <si>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</si>
  <si>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</si>
  <si>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</si>
  <si>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</si>
  <si>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</si>
  <si>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</si>
  <si>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</si>
  <si>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</si>
  <si>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</si>
  <si>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</si>
  <si>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</si>
  <si>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</si>
  <si>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</si>
  <si>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</si>
  <si>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</si>
  <si>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</si>
  <si>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</si>
  <si>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</si>
  <si>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</si>
  <si>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</si>
  <si>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</si>
  <si>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</si>
  <si>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</si>
  <si>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</si>
  <si>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</si>
  <si>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</si>
  <si>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</si>
  <si>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</si>
  <si>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</si>
  <si>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</si>
  <si>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</si>
  <si>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</si>
  <si>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</si>
  <si>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</si>
  <si>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</si>
  <si>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</si>
  <si>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</si>
  <si>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</si>
  <si>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</si>
  <si>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</si>
  <si>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</si>
  <si>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</si>
  <si>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</si>
  <si>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</si>
  <si>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</si>
  <si>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</si>
  <si>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</si>
  <si>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</si>
  <si>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</si>
  <si>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</si>
  <si>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</si>
  <si>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</si>
  <si>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</si>
  <si>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</si>
  <si>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</si>
  <si>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</si>
  <si>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</si>
  <si>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</si>
  <si>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</si>
  <si>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</si>
  <si>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</si>
  <si>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</si>
  <si>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</si>
  <si>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</si>
  <si>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</si>
  <si>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</si>
  <si>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</si>
  <si>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</si>
  <si>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</si>
  <si>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</si>
  <si>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</si>
  <si>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</si>
  <si>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</si>
  <si>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</si>
  <si>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</si>
  <si>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</si>
  <si>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</si>
  <si>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</si>
  <si>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</si>
  <si>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</si>
  <si>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</si>
  <si>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</si>
  <si>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</si>
  <si>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</si>
  <si>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</si>
  <si>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</si>
  <si>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</si>
  <si>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</si>
  <si>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</si>
  <si>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</si>
  <si>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</si>
  <si>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</si>
  <si>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</si>
  <si>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</si>
  <si>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</si>
  <si>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</si>
  <si>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</si>
  <si>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</si>
  <si>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</si>
  <si>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</si>
  <si>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</si>
  <si>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</si>
  <si>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</si>
  <si>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</si>
  <si>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</si>
  <si>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</si>
  <si>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</si>
  <si>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</si>
  <si>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</si>
  <si>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</si>
  <si>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</si>
  <si>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</si>
  <si>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</si>
  <si>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</si>
  <si>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</si>
  <si>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</si>
  <si>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</si>
  <si>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</si>
  <si>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</si>
  <si>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</si>
  <si>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</si>
  <si>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</si>
  <si>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</si>
  <si>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</si>
  <si>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</si>
  <si>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</si>
  <si>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</si>
  <si>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</si>
  <si>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</si>
  <si>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</si>
  <si>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</si>
  <si>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</si>
  <si>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</si>
  <si>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</si>
  <si>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</si>
  <si>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</si>
  <si>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</si>
  <si>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</si>
  <si>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</si>
  <si>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</si>
  <si>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</si>
  <si>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</si>
  <si>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</si>
  <si>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</si>
  <si>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</si>
  <si>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</si>
  <si>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</si>
  <si>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</si>
  <si>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</si>
  <si>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</si>
  <si>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</si>
  <si>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</si>
  <si>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</si>
  <si>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</si>
  <si>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</si>
  <si>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</si>
  <si>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</si>
  <si>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</si>
  <si>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</si>
  <si>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</si>
  <si>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</si>
  <si>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</si>
  <si>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</si>
  <si>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</si>
  <si>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</si>
  <si>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</si>
  <si>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</si>
  <si>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</si>
  <si>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</si>
  <si>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</si>
  <si>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</si>
  <si>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</si>
  <si>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</si>
  <si>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</si>
  <si>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</si>
  <si>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</si>
  <si>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</si>
  <si>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</si>
  <si>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</si>
  <si>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</si>
  <si>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</si>
  <si>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</si>
  <si>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</si>
  <si>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</si>
  <si>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</si>
  <si>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</si>
  <si>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</si>
  <si>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</si>
  <si>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</si>
  <si>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</si>
  <si>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</si>
  <si>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</si>
  <si>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</si>
  <si>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</si>
  <si>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</si>
  <si>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</si>
  <si>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</si>
  <si>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</si>
  <si>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</si>
  <si>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</si>
  <si>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</si>
  <si>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</si>
  <si>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</si>
  <si>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</si>
  <si>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</si>
  <si>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</si>
  <si>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</si>
  <si>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</si>
  <si>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</si>
  <si>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</si>
  <si>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</si>
  <si>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</si>
  <si>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</si>
  <si>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</si>
  <si>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</si>
  <si>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</si>
  <si>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</si>
  <si>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</si>
  <si>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</si>
  <si>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</si>
  <si>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</si>
  <si>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</si>
  <si>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</si>
  <si>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</si>
  <si>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</si>
  <si>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</si>
  <si>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</si>
  <si>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</si>
  <si>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</si>
  <si>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</si>
  <si>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</si>
  <si>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</si>
  <si>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</si>
  <si>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</si>
  <si>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</si>
  <si>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</si>
  <si>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</si>
  <si>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</si>
  <si>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</si>
  <si>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</si>
  <si>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</si>
  <si>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</si>
  <si>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</si>
  <si>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</si>
  <si>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</si>
  <si>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</si>
  <si>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</si>
  <si>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</si>
  <si>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</si>
  <si>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</si>
  <si>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</si>
  <si>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</si>
  <si>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</si>
  <si>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</si>
  <si>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</si>
  <si>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</si>
  <si>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</si>
  <si>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</si>
  <si>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</si>
  <si>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</si>
  <si>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</si>
  <si>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</si>
  <si>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</si>
  <si>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</si>
  <si>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</si>
  <si>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</si>
  <si>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</si>
  <si>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</si>
  <si>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</si>
  <si>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</si>
  <si>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</si>
  <si>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</si>
  <si>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</si>
  <si>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</si>
  <si>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</si>
  <si>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</si>
  <si>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</si>
  <si>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</si>
  <si>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</si>
  <si>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</si>
  <si>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</si>
  <si>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</si>
  <si>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</si>
  <si>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</si>
  <si>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</si>
  <si>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</si>
  <si>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</si>
  <si>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</si>
  <si>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</si>
  <si>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</si>
  <si>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</si>
  <si>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</si>
  <si>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</si>
  <si>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</si>
  <si>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</si>
  <si>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</si>
  <si>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</si>
  <si>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</si>
  <si>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</si>
  <si>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</si>
  <si>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</si>
  <si>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</si>
  <si>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</si>
  <si>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</si>
  <si>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</si>
  <si>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</si>
  <si>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</si>
  <si>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</si>
  <si>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</si>
  <si>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</si>
  <si>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</si>
  <si>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</si>
  <si>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</si>
  <si>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</si>
  <si>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</si>
  <si>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</si>
  <si>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</si>
  <si>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</si>
  <si>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</si>
  <si>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</si>
  <si>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</si>
  <si>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</si>
  <si>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</si>
  <si>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</si>
  <si>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</si>
  <si>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</si>
  <si>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</si>
  <si>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</si>
  <si>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</si>
  <si>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</si>
  <si>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</si>
  <si>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</si>
  <si>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</si>
  <si>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</si>
  <si>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</si>
  <si>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</si>
  <si>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</si>
  <si>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</si>
  <si>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</si>
  <si>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</si>
  <si>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</si>
  <si>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</si>
  <si>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</si>
  <si>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</si>
  <si>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</si>
  <si>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</si>
  <si>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</si>
  <si>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</si>
  <si>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</si>
  <si>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</si>
  <si>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</si>
  <si>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</si>
  <si>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</si>
  <si>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</si>
  <si>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</si>
  <si>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</si>
  <si>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</si>
  <si>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</si>
  <si>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</si>
  <si>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</si>
  <si>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</si>
  <si>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</si>
  <si>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</si>
  <si>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</si>
  <si>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</si>
  <si>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</si>
  <si>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</si>
  <si>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</si>
  <si>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</si>
  <si>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</si>
  <si>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</si>
  <si>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</si>
  <si>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</si>
  <si>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</si>
  <si>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</si>
  <si>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</si>
  <si>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</si>
  <si>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</si>
  <si>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</si>
  <si>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</si>
  <si>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</si>
  <si>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</si>
  <si>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</si>
  <si>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</si>
  <si>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</si>
  <si>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</si>
  <si>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</si>
  <si>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</si>
  <si>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</si>
  <si>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</si>
  <si>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</si>
  <si>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</si>
  <si>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</si>
  <si>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</si>
  <si>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</si>
  <si>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</si>
  <si>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</si>
  <si>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</si>
  <si>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</si>
  <si>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</si>
  <si>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</si>
  <si>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</si>
  <si>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</si>
  <si>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</si>
  <si>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</si>
  <si>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</si>
  <si>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</si>
  <si>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</si>
  <si>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</si>
  <si>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</si>
  <si>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</si>
  <si>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</si>
  <si>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</si>
  <si>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</si>
  <si>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</si>
  <si>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</si>
  <si>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</si>
  <si>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</si>
  <si>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</si>
  <si>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</si>
  <si>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</si>
  <si>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</si>
  <si>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</si>
  <si>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</si>
  <si>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</si>
  <si>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</si>
  <si>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</si>
  <si>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</si>
  <si>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</si>
  <si>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</si>
  <si>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</si>
  <si>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</si>
  <si>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</si>
  <si>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</si>
  <si>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</si>
  <si>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</si>
  <si>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</si>
  <si>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</si>
  <si>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</si>
  <si>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</si>
  <si>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</si>
  <si>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</si>
  <si>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</si>
  <si>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</si>
  <si>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</si>
  <si>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</si>
  <si>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</si>
  <si>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</si>
  <si>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</si>
  <si>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</si>
  <si>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</si>
  <si>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</si>
  <si>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</si>
  <si>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</si>
  <si>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</si>
  <si>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</si>
  <si>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</si>
  <si>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</si>
  <si>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</si>
  <si>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</si>
  <si>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</si>
  <si>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</si>
  <si>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</si>
  <si>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</si>
  <si>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</si>
  <si>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</si>
  <si>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</si>
  <si>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</si>
  <si>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</si>
  <si>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</si>
  <si>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</si>
  <si>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</si>
  <si>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</si>
  <si>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</si>
  <si>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</si>
  <si>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</si>
  <si>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</si>
  <si>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</si>
  <si>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</si>
  <si>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</si>
  <si>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</si>
  <si>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</si>
  <si>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</si>
  <si>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</si>
  <si>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</si>
  <si>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</si>
  <si>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</si>
  <si>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</si>
  <si>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</si>
  <si>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</si>
  <si>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</si>
  <si>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</si>
  <si>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</si>
  <si>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</si>
  <si>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</si>
  <si>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</si>
  <si>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</si>
  <si>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</si>
  <si>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</si>
  <si>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</si>
  <si>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</si>
  <si>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</si>
  <si>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</si>
  <si>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</si>
  <si>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</si>
  <si>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</si>
  <si>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</si>
  <si>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</si>
  <si>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</si>
  <si>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</si>
  <si>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</si>
  <si>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</si>
  <si>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</si>
  <si>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</si>
  <si>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</si>
  <si>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</si>
  <si>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</si>
  <si>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</si>
  <si>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</si>
  <si>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</si>
  <si>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</si>
  <si>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</si>
  <si>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</si>
  <si>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</si>
  <si>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</si>
  <si>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</si>
  <si>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</si>
  <si>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</si>
  <si>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</si>
  <si>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</si>
  <si>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</si>
  <si>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</si>
  <si>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</si>
  <si>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</si>
  <si>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</si>
  <si>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</si>
  <si>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</si>
  <si>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</si>
  <si>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</si>
  <si>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</si>
  <si>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</si>
  <si>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</si>
  <si>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</si>
  <si>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</si>
  <si>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</si>
  <si>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</si>
  <si>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</si>
  <si>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</si>
  <si>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</si>
  <si>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</si>
  <si>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</si>
  <si>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</si>
  <si>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</si>
  <si>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</si>
  <si>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</si>
  <si>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</si>
  <si>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</si>
  <si>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</si>
  <si>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</si>
  <si>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</si>
  <si>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</si>
  <si>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</si>
  <si>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</si>
  <si>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</si>
  <si>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</si>
  <si>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</si>
  <si>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</si>
  <si>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</si>
  <si>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</si>
  <si>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</si>
  <si>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</si>
  <si>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</si>
  <si>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</si>
  <si>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</si>
  <si>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</si>
  <si>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</si>
  <si>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</si>
  <si>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</si>
  <si>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</si>
  <si>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</si>
  <si>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</si>
  <si>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</si>
  <si>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</si>
  <si>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</si>
  <si>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</si>
  <si>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</si>
  <si>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</si>
  <si>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</si>
  <si>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</si>
  <si>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</si>
  <si>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</si>
  <si>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</si>
  <si>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</si>
  <si>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</si>
  <si>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</si>
  <si>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</si>
  <si>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</si>
  <si>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</si>
  <si>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</si>
  <si>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</si>
  <si>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</si>
  <si>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</si>
  <si>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</si>
  <si>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</si>
  <si>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</si>
  <si>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</si>
  <si>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</si>
  <si>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</si>
  <si>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</si>
  <si>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</si>
  <si>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</si>
  <si>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</si>
  <si>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</si>
  <si>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</si>
  <si>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</si>
  <si>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</si>
  <si>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</si>
  <si>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</si>
  <si>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</si>
  <si>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</si>
  <si>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</si>
  <si>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</si>
  <si>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</si>
  <si>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</si>
  <si>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</si>
  <si>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</si>
  <si>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</si>
  <si>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</si>
  <si>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</si>
  <si>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</si>
  <si>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</si>
  <si>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</si>
  <si>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</si>
  <si>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</si>
  <si>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</si>
  <si>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</si>
  <si>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</si>
  <si>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</si>
  <si>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</si>
  <si>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</si>
  <si>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</si>
  <si>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</si>
  <si>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</si>
  <si>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</si>
  <si>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</si>
  <si>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</si>
  <si>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</si>
  <si>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</si>
  <si>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</si>
  <si>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</si>
  <si>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</si>
  <si>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</si>
  <si>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</si>
  <si>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</si>
  <si>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</si>
  <si>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</si>
  <si>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</si>
  <si>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</si>
  <si>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</si>
  <si>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</si>
  <si>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</si>
  <si>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</si>
  <si>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</si>
  <si>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</si>
  <si>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</si>
  <si>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</si>
  <si>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</si>
  <si>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</si>
  <si>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</si>
  <si>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</si>
  <si>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</si>
  <si>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</si>
  <si>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</si>
  <si>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</si>
  <si>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</si>
  <si>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</si>
  <si>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</si>
  <si>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</si>
  <si>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</si>
  <si>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</si>
  <si>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</si>
  <si>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</si>
  <si>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</si>
  <si>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</si>
  <si>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</si>
  <si>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</si>
  <si>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</si>
  <si>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</si>
  <si>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</si>
  <si>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</si>
  <si>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</si>
  <si>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</si>
  <si>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</si>
  <si>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</si>
  <si>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</si>
  <si>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</si>
  <si>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</si>
  <si>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</si>
  <si>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</si>
  <si>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</si>
  <si>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</si>
  <si>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</si>
  <si>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</si>
  <si>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</si>
  <si>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</si>
  <si>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</si>
  <si>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</si>
  <si>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</si>
  <si>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</si>
  <si>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</si>
  <si>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</si>
  <si>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</si>
  <si>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</si>
  <si>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</si>
  <si>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</si>
  <si>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</si>
  <si>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</si>
  <si>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</si>
  <si>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</si>
  <si>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</si>
  <si>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</si>
  <si>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</si>
  <si>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</si>
  <si>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</si>
  <si>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</si>
  <si>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</si>
  <si>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</si>
  <si>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</si>
  <si>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</si>
  <si>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</si>
  <si>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</si>
  <si>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</si>
  <si>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</si>
  <si>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</si>
  <si>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</si>
  <si>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</si>
  <si>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</si>
  <si>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</si>
  <si>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</si>
  <si>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</si>
  <si>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</si>
  <si>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</si>
  <si>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</si>
  <si>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</si>
  <si>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</si>
  <si>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</si>
  <si>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</si>
  <si>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</si>
  <si>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</si>
  <si>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</si>
  <si>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</si>
  <si>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</si>
  <si>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</si>
  <si>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</si>
  <si>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</si>
  <si>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</si>
  <si>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</si>
  <si>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</si>
  <si>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</si>
  <si>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</si>
  <si>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</si>
  <si>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</si>
  <si>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</si>
  <si>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</si>
  <si>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</si>
  <si>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</si>
  <si>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</si>
  <si>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</si>
  <si>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</si>
  <si>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</si>
  <si>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</si>
  <si>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</si>
  <si>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</si>
  <si>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</si>
  <si>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</si>
  <si>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</si>
  <si>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</si>
  <si>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</si>
  <si>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</si>
  <si>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</si>
  <si>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</si>
  <si>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</si>
  <si>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</si>
  <si>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</si>
  <si>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</si>
  <si>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</si>
  <si>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</si>
  <si>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</si>
  <si>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</si>
  <si>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</si>
  <si>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</si>
  <si>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</si>
  <si>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</si>
  <si>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</si>
  <si>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</si>
  <si>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</si>
  <si>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</si>
  <si>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</si>
  <si>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</si>
  <si>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</si>
  <si>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</si>
  <si>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</si>
  <si>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</si>
  <si>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</si>
  <si>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</si>
  <si>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</si>
  <si>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</si>
  <si>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</si>
  <si>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</si>
  <si>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</si>
  <si>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</si>
  <si>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</si>
  <si>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</si>
  <si>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</si>
  <si>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</si>
  <si>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</si>
  <si>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</si>
  <si>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</si>
  <si>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</si>
  <si>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</si>
  <si>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</si>
  <si>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</si>
  <si>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</si>
  <si>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</si>
  <si>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</si>
  <si>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</si>
  <si>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</si>
  <si>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</si>
  <si>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</si>
  <si>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</si>
  <si>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</si>
  <si>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</si>
  <si>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</si>
  <si>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</si>
  <si>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</si>
  <si>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</si>
  <si>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</si>
  <si>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</si>
  <si>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</si>
  <si>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</si>
  <si>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</si>
  <si>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</si>
  <si>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</si>
  <si>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</si>
  <si>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</si>
  <si>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</si>
  <si>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</si>
  <si>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</si>
  <si>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</si>
  <si>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</si>
  <si>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</si>
  <si>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</si>
  <si>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</si>
  <si>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</si>
  <si>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</si>
  <si>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</si>
  <si>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</si>
  <si>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</si>
  <si>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</si>
  <si>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</si>
  <si>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</si>
  <si>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</si>
  <si>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</si>
  <si>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</si>
  <si>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</si>
  <si>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</si>
  <si>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</si>
  <si>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</si>
  <si>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</si>
  <si>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</si>
  <si>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</si>
  <si>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</si>
  <si>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</si>
  <si>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</si>
  <si>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</si>
  <si>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</si>
  <si>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</si>
  <si>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</si>
  <si>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</si>
  <si>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</si>
  <si>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</si>
  <si>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</si>
  <si>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</si>
  <si>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</si>
  <si>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</si>
  <si>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</si>
  <si>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</si>
  <si>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</si>
  <si>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</si>
  <si>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</si>
  <si>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</si>
  <si>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</si>
  <si>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</si>
  <si>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</si>
  <si>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</si>
  <si>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</si>
  <si>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</si>
  <si>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</si>
  <si>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</si>
  <si>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</si>
  <si>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</si>
  <si>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</si>
  <si>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</si>
  <si>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</si>
  <si>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</si>
  <si>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</si>
  <si>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</si>
  <si>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</si>
  <si>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</si>
  <si>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</si>
  <si>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</si>
  <si>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</si>
  <si>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</si>
  <si>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</si>
  <si>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</si>
  <si>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</si>
  <si>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</si>
  <si>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</si>
  <si>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</si>
  <si>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</si>
  <si>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</si>
  <si>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</si>
  <si>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</si>
  <si>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</si>
  <si>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</si>
  <si>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</si>
  <si>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</si>
  <si>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</si>
  <si>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</si>
  <si>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</si>
  <si>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</si>
  <si>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</si>
  <si>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</si>
  <si>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</si>
  <si>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</si>
  <si>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</si>
  <si>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</si>
  <si>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</si>
  <si>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</si>
  <si>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</si>
  <si>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</si>
  <si>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</si>
  <si>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</si>
  <si>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</si>
  <si>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</si>
  <si>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</si>
  <si>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</si>
  <si>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</si>
  <si>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</si>
  <si>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</si>
  <si>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</si>
  <si>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</si>
  <si>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</si>
  <si>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</si>
  <si>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</si>
  <si>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</si>
  <si>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</si>
  <si>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</si>
  <si>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</si>
  <si>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</si>
  <si>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</si>
  <si>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</si>
  <si>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</si>
  <si>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</si>
  <si>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</si>
  <si>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</si>
  <si>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</si>
  <si>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</si>
  <si>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</si>
  <si>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</si>
  <si>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</si>
  <si>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</si>
  <si>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</si>
  <si>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</si>
  <si>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</si>
  <si>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</si>
  <si>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</si>
  <si>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</si>
  <si>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</si>
  <si>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</si>
  <si>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</si>
  <si>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</si>
  <si>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</si>
  <si>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</si>
  <si>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</si>
  <si>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</si>
  <si>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</si>
  <si>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</si>
  <si>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</si>
  <si>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</si>
  <si>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</si>
  <si>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</si>
  <si>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</si>
  <si>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</si>
  <si>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</si>
  <si>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</si>
  <si>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</si>
  <si>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</si>
  <si>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</si>
  <si>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</si>
  <si>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</si>
  <si>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</si>
  <si>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</si>
  <si>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</si>
  <si>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</si>
  <si>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</si>
  <si>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</si>
  <si>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</si>
  <si>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</si>
  <si>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</si>
  <si>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</si>
  <si>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</si>
  <si>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</si>
  <si>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</si>
  <si>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</si>
  <si>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</si>
  <si>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</si>
  <si>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</si>
  <si>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</si>
  <si>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</si>
  <si>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</si>
  <si>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</si>
  <si>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</si>
  <si>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</si>
  <si>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</si>
  <si>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</si>
  <si>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</si>
  <si>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</si>
  <si>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</si>
  <si>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</si>
  <si>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</si>
  <si>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</si>
  <si>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</si>
  <si>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</si>
  <si>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</si>
  <si>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</si>
  <si>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</si>
  <si>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</si>
  <si>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</si>
  <si>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</si>
  <si>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</si>
  <si>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</si>
  <si>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</si>
  <si>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</si>
  <si>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</si>
  <si>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</si>
  <si>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</si>
  <si>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</si>
  <si>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</si>
  <si>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</si>
  <si>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</si>
  <si>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</si>
  <si>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</si>
  <si>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</si>
  <si>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</si>
  <si>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</si>
  <si>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</si>
  <si>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</si>
  <si>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</si>
  <si>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</si>
  <si>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</si>
  <si>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</si>
  <si>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</si>
  <si>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</si>
  <si>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</si>
  <si>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</si>
  <si>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</si>
  <si>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</si>
  <si>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</si>
  <si>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</si>
  <si>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</si>
  <si>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</si>
  <si>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</si>
  <si>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</si>
  <si>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</si>
  <si>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</si>
  <si>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</si>
  <si>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</si>
  <si>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</si>
  <si>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</si>
  <si>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</si>
  <si>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</si>
  <si>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</si>
  <si>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</si>
  <si>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</si>
  <si>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</si>
  <si>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</si>
  <si>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</si>
  <si>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</si>
  <si>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</si>
  <si>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</si>
  <si>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</si>
  <si>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</si>
  <si>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</si>
  <si>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</si>
  <si>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</si>
  <si>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</si>
  <si>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</si>
  <si>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</si>
  <si>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</si>
  <si>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</si>
  <si>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</si>
  <si>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</si>
  <si>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</si>
  <si>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</si>
  <si>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</si>
  <si>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</si>
  <si>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</si>
  <si>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</si>
  <si>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</si>
  <si>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</si>
  <si>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</si>
  <si>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</si>
  <si>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</si>
  <si>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</si>
  <si>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</si>
  <si>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</si>
  <si>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</si>
  <si>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</si>
  <si>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</si>
  <si>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</si>
  <si>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</si>
  <si>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</si>
  <si>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</si>
  <si>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</si>
  <si>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</si>
  <si>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</si>
  <si>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</si>
  <si>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</si>
  <si>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</si>
  <si>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</si>
  <si>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</si>
  <si>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</si>
  <si>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</si>
  <si>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</si>
  <si>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</si>
  <si>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</si>
  <si>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</si>
  <si>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</si>
  <si>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</si>
  <si>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</si>
  <si>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</si>
  <si>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</si>
  <si>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</si>
  <si>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</si>
  <si>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</si>
  <si>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</si>
  <si>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</si>
  <si>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</si>
  <si>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</si>
  <si>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</si>
  <si>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</si>
  <si>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</si>
  <si>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</si>
  <si>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</si>
  <si>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</si>
  <si>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</si>
  <si>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</si>
  <si>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</si>
  <si>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</si>
  <si>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</si>
  <si>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</si>
  <si>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</si>
  <si>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</si>
  <si>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</si>
  <si>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</si>
  <si>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</si>
  <si>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</si>
  <si>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</si>
  <si>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</si>
  <si>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</si>
  <si>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</si>
  <si>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</si>
  <si>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</si>
  <si>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</si>
  <si>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</si>
  <si>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</si>
  <si>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</si>
  <si>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</si>
  <si>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</si>
  <si>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</si>
  <si>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</si>
  <si>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</si>
  <si>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</si>
  <si>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</si>
  <si>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</si>
  <si>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</si>
  <si>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</si>
  <si>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</si>
  <si>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</si>
  <si>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</si>
  <si>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</si>
  <si>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</si>
  <si>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</si>
  <si>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</si>
  <si>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</si>
  <si>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</si>
  <si>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</si>
  <si>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</si>
  <si>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</si>
  <si>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</si>
  <si>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</si>
  <si>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</si>
  <si>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</si>
  <si>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</si>
  <si>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</si>
  <si>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</si>
  <si>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</si>
  <si>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</si>
  <si>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</si>
  <si>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</si>
  <si>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</si>
  <si>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</si>
  <si>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</si>
  <si>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</si>
  <si>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</si>
  <si>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</si>
  <si>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</si>
  <si>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</si>
  <si>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</si>
  <si>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</si>
  <si>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</si>
  <si>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</si>
  <si>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</si>
  <si>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</si>
  <si>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</si>
  <si>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</si>
  <si>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</si>
  <si>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</si>
  <si>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</si>
  <si>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</si>
  <si>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</si>
  <si>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</si>
  <si>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</si>
  <si>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</si>
  <si>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</si>
  <si>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</si>
  <si>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</si>
  <si>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</si>
  <si>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</si>
  <si>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</si>
  <si>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</si>
  <si>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</si>
  <si>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</si>
  <si>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</si>
  <si>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</si>
  <si>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</si>
  <si>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</si>
  <si>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</si>
  <si>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</si>
  <si>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</si>
  <si>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</si>
  <si>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</si>
  <si>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</si>
  <si>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</si>
  <si>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</si>
  <si>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</si>
  <si>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</si>
  <si>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</si>
  <si>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</si>
  <si>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</si>
  <si>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</si>
  <si>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</si>
  <si>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</si>
  <si>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</si>
  <si>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</si>
  <si>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</si>
  <si>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</si>
  <si>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</si>
  <si>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</si>
  <si>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</si>
  <si>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</si>
  <si>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</si>
  <si>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</si>
  <si>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</si>
  <si>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</si>
  <si>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</si>
  <si>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</si>
  <si>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</si>
  <si>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</si>
  <si>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</si>
  <si>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</si>
  <si>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</si>
  <si>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</si>
  <si>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</si>
  <si>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</si>
  <si>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</si>
  <si>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</si>
  <si>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</si>
  <si>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</si>
  <si>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</si>
  <si>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</si>
  <si>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</si>
  <si>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</si>
  <si>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</si>
  <si>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</si>
  <si>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</si>
  <si>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</si>
  <si>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</si>
  <si>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</si>
  <si>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</si>
  <si>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</si>
  <si>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</si>
  <si>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</si>
  <si>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</si>
  <si>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</si>
  <si>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</si>
  <si>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</si>
  <si>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</si>
  <si>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</si>
  <si>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</si>
  <si>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</si>
  <si>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</si>
  <si>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</si>
  <si>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</si>
  <si>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</si>
  <si>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</si>
  <si>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</si>
  <si>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</si>
  <si>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</si>
  <si>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</si>
  <si>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</si>
  <si>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</si>
  <si>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</si>
  <si>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</si>
  <si>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</si>
  <si>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</si>
  <si>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</si>
  <si>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</si>
  <si>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</si>
  <si>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</si>
  <si>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</si>
  <si>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</si>
  <si>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</si>
  <si>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</si>
  <si>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</si>
  <si>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</si>
  <si>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</si>
  <si>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</si>
  <si>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</si>
  <si>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</si>
  <si>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</si>
  <si>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</si>
  <si>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</si>
  <si>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</si>
  <si>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</si>
  <si>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</si>
  <si>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</si>
  <si>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</si>
  <si>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</si>
  <si>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</si>
  <si>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</si>
  <si>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</si>
  <si>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</si>
  <si>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</si>
  <si>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</si>
  <si>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</si>
  <si>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</si>
  <si>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</si>
  <si>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</si>
  <si>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</si>
  <si>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</si>
  <si>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</si>
  <si>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</si>
  <si>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</si>
  <si>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</si>
  <si>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</si>
  <si>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</si>
  <si>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</si>
  <si>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</si>
  <si>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</si>
  <si>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</si>
  <si>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</si>
  <si>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</si>
  <si>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</si>
  <si>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</si>
  <si>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</si>
  <si>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</si>
  <si>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</si>
  <si>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</si>
  <si>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</si>
  <si>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</si>
  <si>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</si>
  <si>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</si>
  <si>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</si>
  <si>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</si>
  <si>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</si>
  <si>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</si>
  <si>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</si>
  <si>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</si>
  <si>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</si>
  <si>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</si>
  <si>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</si>
  <si>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</si>
  <si>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</si>
  <si>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</si>
  <si>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</si>
  <si>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</si>
  <si>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</si>
  <si>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</si>
  <si>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</si>
  <si>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</si>
  <si>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</si>
  <si>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</si>
  <si>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</si>
  <si>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</si>
  <si>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</si>
  <si>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</si>
  <si>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</si>
  <si>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</si>
  <si>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</si>
  <si>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</si>
  <si>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</si>
  <si>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</si>
  <si>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</si>
  <si>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</si>
  <si>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</si>
  <si>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</si>
  <si>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</si>
  <si>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</si>
  <si>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</si>
  <si>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</si>
  <si>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</si>
  <si>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</si>
  <si>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</si>
  <si>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</si>
  <si>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</si>
  <si>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</si>
  <si>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</si>
  <si>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</si>
  <si>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</si>
  <si>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</si>
  <si>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</si>
  <si>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</si>
  <si>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</si>
  <si>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</si>
  <si>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</si>
  <si>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</si>
  <si>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</si>
  <si>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</si>
  <si>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</si>
  <si>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</si>
  <si>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</si>
  <si>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</si>
  <si>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</si>
  <si>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</si>
  <si>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</si>
  <si>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</si>
  <si>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</si>
  <si>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</si>
  <si>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</si>
  <si>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</si>
  <si>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</si>
  <si>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</si>
  <si>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</si>
  <si>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</si>
  <si>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</si>
  <si>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</si>
  <si>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</si>
  <si>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</si>
  <si>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</si>
  <si>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</si>
  <si>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</si>
  <si>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</si>
  <si>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</si>
  <si>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</si>
  <si>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</si>
  <si>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</si>
  <si>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</si>
  <si>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</si>
  <si>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</si>
  <si>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</si>
  <si>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</si>
  <si>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</si>
  <si>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</si>
  <si>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</si>
  <si>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</si>
  <si>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</si>
  <si>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</si>
  <si>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</si>
  <si>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</si>
  <si>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</si>
  <si>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</si>
  <si>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</si>
  <si>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</si>
  <si>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</si>
  <si>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</si>
  <si>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</si>
  <si>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</si>
  <si>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</si>
  <si>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</si>
  <si>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</si>
  <si>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</si>
  <si>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</si>
  <si>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</si>
  <si>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</si>
  <si>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</si>
  <si>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</si>
  <si>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</si>
  <si>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</si>
  <si>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</si>
  <si>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</si>
  <si>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</si>
  <si>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</si>
  <si>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</si>
  <si>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</si>
  <si>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</si>
  <si>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</si>
  <si>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</si>
  <si>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</si>
  <si>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</si>
  <si>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</si>
  <si>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</si>
  <si>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</si>
  <si>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</si>
  <si>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</si>
  <si>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</si>
  <si>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</si>
  <si>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</si>
  <si>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</si>
  <si>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</si>
  <si>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</si>
  <si>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</si>
  <si>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</si>
  <si>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</si>
  <si>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</si>
  <si>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</si>
  <si>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</si>
  <si>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</si>
  <si>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</si>
  <si>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</si>
  <si>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</si>
  <si>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</si>
  <si>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</si>
  <si>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</si>
  <si>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</si>
  <si>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</si>
  <si>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</si>
  <si>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</si>
  <si>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</si>
  <si>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</si>
  <si>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</si>
  <si>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</si>
  <si>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</si>
  <si>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</si>
  <si>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</si>
  <si>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</si>
  <si>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</si>
  <si>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</si>
  <si>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</si>
  <si>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</si>
  <si>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</si>
  <si>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</si>
  <si>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</si>
  <si>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</si>
  <si>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</si>
  <si>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</si>
  <si>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</si>
  <si>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</si>
  <si>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</si>
  <si>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</si>
  <si>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</si>
  <si>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</si>
  <si>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</si>
  <si>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</si>
  <si>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</si>
  <si>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</si>
  <si>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</si>
  <si>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</si>
  <si>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</si>
  <si>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</si>
  <si>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</si>
  <si>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</si>
  <si>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</si>
  <si>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</si>
  <si>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</si>
  <si>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</si>
  <si>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</si>
  <si>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</si>
  <si>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</si>
  <si>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</si>
  <si>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</si>
  <si>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</si>
  <si>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</si>
  <si>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</si>
  <si>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</si>
  <si>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</si>
  <si>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</si>
  <si>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</si>
  <si>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</si>
  <si>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</si>
  <si>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</si>
  <si>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</si>
  <si>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</si>
  <si>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</si>
  <si>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</si>
  <si>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</si>
  <si>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</si>
  <si>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</si>
  <si>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</si>
  <si>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</si>
  <si>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</si>
  <si>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</si>
  <si>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</si>
  <si>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</si>
  <si>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</si>
  <si>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</si>
  <si>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</si>
  <si>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</si>
  <si>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</si>
  <si>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</si>
  <si>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</si>
  <si>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</si>
  <si>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</si>
  <si>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</si>
  <si>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</si>
  <si>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</si>
  <si>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</si>
  <si>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</si>
  <si>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</si>
  <si>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</si>
  <si>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</si>
  <si>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</si>
  <si>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</si>
  <si>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</si>
  <si>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</si>
  <si>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</si>
  <si>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</si>
  <si>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</si>
  <si>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</si>
  <si>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</si>
  <si>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</si>
  <si>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</si>
  <si>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</si>
  <si>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</si>
  <si>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</si>
  <si>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</si>
  <si>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</si>
  <si>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</si>
  <si>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</si>
  <si>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</si>
  <si>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</si>
  <si>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</si>
  <si>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</si>
  <si>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</si>
  <si>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</si>
  <si>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</si>
  <si>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</si>
  <si>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</si>
  <si>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</si>
  <si>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</si>
  <si>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</si>
  <si>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</si>
  <si>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</si>
  <si>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</si>
  <si>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</si>
  <si>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</si>
  <si>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</si>
  <si>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</si>
  <si>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</si>
  <si>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</si>
  <si>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</si>
  <si>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</si>
  <si>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</si>
  <si>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</si>
  <si>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</si>
  <si>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</si>
  <si>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</si>
  <si>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</si>
  <si>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</si>
  <si>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</si>
  <si>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</si>
  <si>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</si>
  <si>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</si>
  <si>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</si>
  <si>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</si>
  <si>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</si>
  <si>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</si>
  <si>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</si>
  <si>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</si>
  <si>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</si>
  <si>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</si>
  <si>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</si>
  <si>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</si>
  <si>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</si>
  <si>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</si>
  <si>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</si>
  <si>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</si>
  <si>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</si>
  <si>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</si>
  <si>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</si>
  <si>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</si>
  <si>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</si>
  <si>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</si>
  <si>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</si>
  <si>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</si>
  <si>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</si>
  <si>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</si>
  <si>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</si>
  <si>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</si>
  <si>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</si>
  <si>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</si>
  <si>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</si>
  <si>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</si>
  <si>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</si>
  <si>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</si>
  <si>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</si>
  <si>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</si>
  <si>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</si>
  <si>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</si>
  <si>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</si>
  <si>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</si>
  <si>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</si>
  <si>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</si>
  <si>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</si>
  <si>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</si>
  <si>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</si>
  <si>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</si>
  <si>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</si>
  <si>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</si>
  <si>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</si>
  <si>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</si>
  <si>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</si>
  <si>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</si>
  <si>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</si>
  <si>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</si>
  <si>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</si>
  <si>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</si>
  <si>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</si>
  <si>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</si>
  <si>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</si>
  <si>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</si>
  <si>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</si>
  <si>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</si>
  <si>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</si>
  <si>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</si>
  <si>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</si>
  <si>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</si>
  <si>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</si>
  <si>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</si>
  <si>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</si>
  <si>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</si>
  <si>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</si>
  <si>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</si>
  <si>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</si>
  <si>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</si>
  <si>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</si>
  <si>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</si>
  <si>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</si>
  <si>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</si>
  <si>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</si>
  <si>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</si>
  <si>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</si>
  <si>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</si>
  <si>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</si>
  <si>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</si>
  <si>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</si>
  <si>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</si>
  <si>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</si>
  <si>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</si>
  <si>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</si>
  <si>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</si>
  <si>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</si>
  <si>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</si>
  <si>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</si>
  <si>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</si>
  <si>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</si>
  <si>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</si>
  <si>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</si>
  <si>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</si>
  <si>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</si>
  <si>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</si>
  <si>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</si>
  <si>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</si>
  <si>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</si>
  <si>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</si>
  <si>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</si>
  <si>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</si>
  <si>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</si>
  <si>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</si>
  <si>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</si>
  <si>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</si>
  <si>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</si>
  <si>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</si>
  <si>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</si>
  <si>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</si>
  <si>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</si>
  <si>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</si>
  <si>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</si>
  <si>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</si>
  <si>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</si>
  <si>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</si>
  <si>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</si>
  <si>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</si>
  <si>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</si>
  <si>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</si>
  <si>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</si>
  <si>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</si>
  <si>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</si>
  <si>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</si>
  <si>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</si>
  <si>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</si>
  <si>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</si>
  <si>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</si>
  <si>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</si>
  <si>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</si>
  <si>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</si>
  <si>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</si>
  <si>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</si>
  <si>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</si>
  <si>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</si>
  <si>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</si>
  <si>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</si>
  <si>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</si>
  <si>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</si>
  <si>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</si>
  <si>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</si>
  <si>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</si>
  <si>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</si>
  <si>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</si>
  <si>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</si>
  <si>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</si>
  <si>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</si>
  <si>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</si>
  <si>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</si>
  <si>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</si>
  <si>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</si>
  <si>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</si>
  <si>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</si>
  <si>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</si>
  <si>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</si>
  <si>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</si>
  <si>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</si>
  <si>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</si>
  <si>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</si>
  <si>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</si>
  <si>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</si>
  <si>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</si>
  <si>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</si>
  <si>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</si>
  <si>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</si>
  <si>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</si>
  <si>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</si>
  <si>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</si>
  <si>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</si>
  <si>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</si>
  <si>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</si>
  <si>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</si>
  <si>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</si>
  <si>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</si>
  <si>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</si>
  <si>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</si>
  <si>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</si>
  <si>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</si>
  <si>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</si>
  <si>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</si>
  <si>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</si>
  <si>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</si>
  <si>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</si>
  <si>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</si>
  <si>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</si>
  <si>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</si>
  <si>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</si>
  <si>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</si>
  <si>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</si>
  <si>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</si>
  <si>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</si>
  <si>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</si>
  <si>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</si>
  <si>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</si>
  <si>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</si>
  <si>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</si>
  <si>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</si>
  <si>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</si>
  <si>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</si>
  <si>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</si>
  <si>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</si>
  <si>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</si>
  <si>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</si>
  <si>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</si>
  <si>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</si>
  <si>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</si>
  <si>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</si>
  <si>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</si>
  <si>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</si>
  <si>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</si>
  <si>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</si>
  <si>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</si>
  <si>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</si>
  <si>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</si>
  <si>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</si>
  <si>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</si>
  <si>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</si>
  <si>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</si>
  <si>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</si>
  <si>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</si>
  <si>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</si>
  <si>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</si>
  <si>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</si>
  <si>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</si>
  <si>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</si>
  <si>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</si>
  <si>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</si>
  <si>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</si>
  <si>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</si>
  <si>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</si>
  <si>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</si>
  <si>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</si>
  <si>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</si>
  <si>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</si>
  <si>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</si>
  <si>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</si>
  <si>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</si>
  <si>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</si>
  <si>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</si>
  <si>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</si>
  <si>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</si>
  <si>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</si>
  <si>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</si>
  <si>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</si>
  <si>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</si>
  <si>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</si>
  <si>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</si>
  <si>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</si>
  <si>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</si>
  <si>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</si>
  <si>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</si>
  <si>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</si>
  <si>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</si>
  <si>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</si>
  <si>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</si>
  <si>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</si>
  <si>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</si>
  <si>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</si>
  <si>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</si>
  <si>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</si>
  <si>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</si>
  <si>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</si>
  <si>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</si>
  <si>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</si>
  <si>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</si>
  <si>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</si>
  <si>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</si>
  <si>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</si>
  <si>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</si>
  <si>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</si>
  <si>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</si>
  <si>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</si>
  <si>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</si>
  <si>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</si>
  <si>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</si>
  <si>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</si>
  <si>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</si>
  <si>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</si>
  <si>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</si>
  <si>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</si>
  <si>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</si>
  <si>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</si>
  <si>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</si>
  <si>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</si>
  <si>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</si>
  <si>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</si>
  <si>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</si>
  <si>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</si>
  <si>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</si>
  <si>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</si>
  <si>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</si>
  <si>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</si>
  <si>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</si>
  <si>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</si>
  <si>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</si>
  <si>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</si>
  <si>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</si>
  <si>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</si>
  <si>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</si>
  <si>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</si>
  <si>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</si>
  <si>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</si>
  <si>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</si>
  <si>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</si>
  <si>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</si>
  <si>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</si>
  <si>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</si>
  <si>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</si>
  <si>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</si>
  <si>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</si>
  <si>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</si>
  <si>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</si>
  <si>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</si>
  <si>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</si>
  <si>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</si>
  <si>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</si>
  <si>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</si>
  <si>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</si>
  <si>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</si>
  <si>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</si>
  <si>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</si>
  <si>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</si>
  <si>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</si>
  <si>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</si>
  <si>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</si>
  <si>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</si>
  <si>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</si>
  <si>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</si>
  <si>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</si>
  <si>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</si>
  <si>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</si>
  <si>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</si>
  <si>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</si>
  <si>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</si>
  <si>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</si>
  <si>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</si>
  <si>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</si>
  <si>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</si>
  <si>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</si>
  <si>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</si>
  <si>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</si>
  <si>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</si>
  <si>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</si>
  <si>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</si>
  <si>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</si>
  <si>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</si>
  <si>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</si>
  <si>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</si>
  <si>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</si>
  <si>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</si>
  <si>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</si>
  <si>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</si>
  <si>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</si>
  <si>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</si>
  <si>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</si>
  <si>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</si>
  <si>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</si>
  <si>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</si>
  <si>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</si>
  <si>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</si>
  <si>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</si>
  <si>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</si>
  <si>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</si>
  <si>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</si>
  <si>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</si>
  <si>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</si>
  <si>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</si>
  <si>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</si>
  <si>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</si>
  <si>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</si>
  <si>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</si>
  <si>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</si>
  <si>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</si>
  <si>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</si>
  <si>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</si>
  <si>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</si>
  <si>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</si>
  <si>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</si>
  <si>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</si>
  <si>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</si>
  <si>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</si>
  <si>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</si>
  <si>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</si>
  <si>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</si>
  <si>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</si>
  <si>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</si>
  <si>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</si>
  <si>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</si>
  <si>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</si>
  <si>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</si>
  <si>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</si>
  <si>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</si>
  <si>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</si>
  <si>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</si>
  <si>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</si>
  <si>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</si>
  <si>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</si>
  <si>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</si>
  <si>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</si>
  <si>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</si>
  <si>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</si>
  <si>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</si>
  <si>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</si>
  <si>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</si>
  <si>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</si>
  <si>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</si>
  <si>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</si>
  <si>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</si>
  <si>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</si>
  <si>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</si>
  <si>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</si>
  <si>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</si>
  <si>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</si>
  <si>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</si>
  <si>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</si>
  <si>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</si>
  <si>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</si>
  <si>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</si>
  <si>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</si>
  <si>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</si>
  <si>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</si>
  <si>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</si>
  <si>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</si>
  <si>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</si>
  <si>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</si>
  <si>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</si>
  <si>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</si>
  <si>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</si>
  <si>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</si>
  <si>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</si>
  <si>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</si>
  <si>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</si>
  <si>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</si>
  <si>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</si>
  <si>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</si>
  <si>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</si>
  <si>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</si>
  <si>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</si>
  <si>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</si>
  <si>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</si>
  <si>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</si>
  <si>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</si>
  <si>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</si>
  <si>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</si>
  <si>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</si>
  <si>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</si>
  <si>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</si>
  <si>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</si>
  <si>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</si>
  <si>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</si>
  <si>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</si>
  <si>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</si>
  <si>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</si>
  <si>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</si>
  <si>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</si>
  <si>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</si>
  <si>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</si>
  <si>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</si>
  <si>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</si>
  <si>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</si>
  <si>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</si>
  <si>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</si>
  <si>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</si>
  <si>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</si>
  <si>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</si>
  <si>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</si>
  <si>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</si>
  <si>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</si>
  <si>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</si>
  <si>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</si>
  <si>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</si>
  <si>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</si>
  <si>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</si>
  <si>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</si>
  <si>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</si>
  <si>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</si>
  <si>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</si>
  <si>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</si>
  <si>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</si>
  <si>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</si>
  <si>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</si>
  <si>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</si>
  <si>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</si>
  <si>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</si>
  <si>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</si>
  <si>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</si>
  <si>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</si>
  <si>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</si>
  <si>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</si>
  <si>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</si>
  <si>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</si>
  <si>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</si>
  <si>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</si>
  <si>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</si>
  <si>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</si>
  <si>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</si>
  <si>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</si>
  <si>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</si>
  <si>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</si>
  <si>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</si>
  <si>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</si>
  <si>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</si>
  <si>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</si>
  <si>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</si>
  <si>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</si>
  <si>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</si>
  <si>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</si>
  <si>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</si>
  <si>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</si>
  <si>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</si>
  <si>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</si>
  <si>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</si>
  <si>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</si>
  <si>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</si>
  <si>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</si>
  <si>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</si>
  <si>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</si>
  <si>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</si>
  <si>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</si>
  <si>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</si>
  <si>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</si>
  <si>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</si>
  <si>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</si>
  <si>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</si>
  <si>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</si>
  <si>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</si>
  <si>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</si>
  <si>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</si>
  <si>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</si>
  <si>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</si>
  <si>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</si>
  <si>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</si>
  <si>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</si>
  <si>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</si>
  <si>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</si>
  <si>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</si>
  <si>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</si>
  <si>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</si>
  <si>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</si>
  <si>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</si>
  <si>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</si>
  <si>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</si>
  <si>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</si>
  <si>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</si>
  <si>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</si>
  <si>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</si>
  <si>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</si>
  <si>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</si>
  <si>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</si>
  <si>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</si>
  <si>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</si>
  <si>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</si>
  <si>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</si>
  <si>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</si>
  <si>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</si>
  <si>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</si>
  <si>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</si>
  <si>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</si>
  <si>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</si>
  <si>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</si>
  <si>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</si>
  <si>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</si>
  <si>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</si>
  <si>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</si>
  <si>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</si>
  <si>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</si>
  <si>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</si>
  <si>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</si>
  <si>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</si>
  <si>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</si>
  <si>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</si>
  <si>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</si>
  <si>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</si>
  <si>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</si>
  <si>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</si>
  <si>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</si>
  <si>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</si>
  <si>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</si>
  <si>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</si>
  <si>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</si>
  <si>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</si>
  <si>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</si>
  <si>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</si>
  <si>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</si>
  <si>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</si>
  <si>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</si>
  <si>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</si>
  <si>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</si>
  <si>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</si>
  <si>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</si>
  <si>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</si>
  <si>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</si>
  <si>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</si>
  <si>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</si>
  <si>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</si>
  <si>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</si>
  <si>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</si>
  <si>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</si>
  <si>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</si>
  <si>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</si>
  <si>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</si>
  <si>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</si>
  <si>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</si>
  <si>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</si>
  <si>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</si>
  <si>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</si>
  <si>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</si>
  <si>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</si>
  <si>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</si>
  <si>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</si>
  <si>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</si>
  <si>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</si>
  <si>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</si>
  <si>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</si>
  <si>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</si>
  <si>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</si>
  <si>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</si>
  <si>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</si>
  <si>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</si>
  <si>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</si>
  <si>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</si>
  <si>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</si>
  <si>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</si>
  <si>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</si>
  <si>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</si>
  <si>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</si>
  <si>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</si>
  <si>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</si>
  <si>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</si>
  <si>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</si>
  <si>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</si>
  <si>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</si>
  <si>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</si>
  <si>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</si>
  <si>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</si>
  <si>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</si>
  <si>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</si>
  <si>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</si>
  <si>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</si>
  <si>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</si>
  <si>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</si>
  <si>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</si>
  <si>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</si>
  <si>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</si>
  <si>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</si>
  <si>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</si>
  <si>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</si>
  <si>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</si>
  <si>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</si>
  <si>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</si>
  <si>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</si>
  <si>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</si>
  <si>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</si>
  <si>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</si>
  <si>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</si>
  <si>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</si>
  <si>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</si>
  <si>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</si>
  <si>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</si>
  <si>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</si>
  <si>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</si>
  <si>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</si>
  <si>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</si>
  <si>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</si>
  <si>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</si>
  <si>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</si>
  <si>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</si>
  <si>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</si>
  <si>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</si>
  <si>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</si>
  <si>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</si>
  <si>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</si>
  <si>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</si>
  <si>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</si>
  <si>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</si>
  <si>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</si>
  <si>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</si>
  <si>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</si>
  <si>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</si>
  <si>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</si>
  <si>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</si>
  <si>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</si>
  <si>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</si>
  <si>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</si>
  <si>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</si>
  <si>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</si>
  <si>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</si>
  <si>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</si>
  <si>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</si>
  <si>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</si>
  <si>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</si>
  <si>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</si>
  <si>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</si>
  <si>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</si>
  <si>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</si>
  <si>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</si>
  <si>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</si>
  <si>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</si>
  <si>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</si>
  <si>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</si>
  <si>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</si>
  <si>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</si>
  <si>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</si>
  <si>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</si>
  <si>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</si>
  <si>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</si>
  <si>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</si>
  <si>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</si>
  <si>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</si>
  <si>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</si>
  <si>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</si>
  <si>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</si>
  <si>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</si>
  <si>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</si>
  <si>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</si>
  <si>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</si>
  <si>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</si>
  <si>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</si>
  <si>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</si>
  <si>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</si>
  <si>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</si>
  <si>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</si>
  <si>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</si>
  <si>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</si>
  <si>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</si>
  <si>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</si>
  <si>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</si>
  <si>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</si>
  <si>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</si>
  <si>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</si>
  <si>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</si>
  <si>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</si>
  <si>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</si>
  <si>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</si>
  <si>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</si>
  <si>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</si>
  <si>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</si>
  <si>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</si>
  <si>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</si>
  <si>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</si>
  <si>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</si>
  <si>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</si>
  <si>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</si>
  <si>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</si>
  <si>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</si>
  <si>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</si>
  <si>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</si>
  <si>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</si>
  <si>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</si>
  <si>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</si>
  <si>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</si>
  <si>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</si>
  <si>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</si>
  <si>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</si>
  <si>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</si>
  <si>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</si>
  <si>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</si>
  <si>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</si>
  <si>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</si>
  <si>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</si>
  <si>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</si>
  <si>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</si>
  <si>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</si>
  <si>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</si>
  <si>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</si>
  <si>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</si>
  <si>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</si>
  <si>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</si>
  <si>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</si>
  <si>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</si>
  <si>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</si>
  <si>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</si>
  <si>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</si>
  <si>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</si>
  <si>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</si>
  <si>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</si>
  <si>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</si>
  <si>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</si>
  <si>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</si>
  <si>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</si>
  <si>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</si>
  <si>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</si>
  <si>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</si>
  <si>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</si>
  <si>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</si>
  <si>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</si>
  <si>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</si>
  <si>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</si>
  <si>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</si>
  <si>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</si>
  <si>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</si>
  <si>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</si>
  <si>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</si>
  <si>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</si>
  <si>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</si>
  <si>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</si>
  <si>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</si>
  <si>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</si>
  <si>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</si>
  <si>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</si>
  <si>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</si>
  <si>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</si>
  <si>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</si>
  <si>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</si>
  <si>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</si>
  <si>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</si>
  <si>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</si>
  <si>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</si>
  <si>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</si>
  <si>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</si>
  <si>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</si>
  <si>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</si>
  <si>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</si>
  <si>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</si>
  <si>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</si>
  <si>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</si>
  <si>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</si>
  <si>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</si>
  <si>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</si>
  <si>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</si>
  <si>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</si>
  <si>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</si>
  <si>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</si>
  <si>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</si>
  <si>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</si>
  <si>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</si>
  <si>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</si>
  <si>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</si>
  <si>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</si>
  <si>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</si>
  <si>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</si>
  <si>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</si>
  <si>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</si>
  <si>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</si>
  <si>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</si>
  <si>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</si>
  <si>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</si>
  <si>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</si>
  <si>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</si>
  <si>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</si>
  <si>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</si>
  <si>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</si>
  <si>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</si>
  <si>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</si>
  <si>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</si>
  <si>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</si>
  <si>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</si>
  <si>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</si>
  <si>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</si>
  <si>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</si>
  <si>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</si>
  <si>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</si>
  <si>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</si>
  <si>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</si>
  <si>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</si>
  <si>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</si>
  <si>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</si>
  <si>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</si>
  <si>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</si>
  <si>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</si>
  <si>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</si>
  <si>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</si>
  <si>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</si>
  <si>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</si>
  <si>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</si>
  <si>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</si>
  <si>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</si>
  <si>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</si>
  <si>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</si>
  <si>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</si>
  <si>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</si>
  <si>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</si>
  <si>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</si>
  <si>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</si>
  <si>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</si>
  <si>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</si>
  <si>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</si>
  <si>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</si>
  <si>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</si>
  <si>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</si>
  <si>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</si>
  <si>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</si>
  <si>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</si>
  <si>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</si>
  <si>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</si>
  <si>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</si>
  <si>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</si>
  <si>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</si>
  <si>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</si>
  <si>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</si>
  <si>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</si>
  <si>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</si>
  <si>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</si>
  <si>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</si>
  <si>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</si>
  <si>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</si>
  <si>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</si>
  <si>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</si>
  <si>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</si>
  <si>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</si>
  <si>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</si>
  <si>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</si>
  <si>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</si>
  <si>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</si>
  <si>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</si>
  <si>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</si>
  <si>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</si>
  <si>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</si>
  <si>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</si>
  <si>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</si>
  <si>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</si>
  <si>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</si>
  <si>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</si>
  <si>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</si>
  <si>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</si>
  <si>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</si>
  <si>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</si>
  <si>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</si>
  <si>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</si>
  <si>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</si>
  <si>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</si>
  <si>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</si>
  <si>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</si>
  <si>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</si>
  <si>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</si>
  <si>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</si>
  <si>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</si>
  <si>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</si>
  <si>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</si>
  <si>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</si>
  <si>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</si>
  <si>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</si>
  <si>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</si>
  <si>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</si>
  <si>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</si>
  <si>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</si>
  <si>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</si>
  <si>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</si>
  <si>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</si>
  <si>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</si>
  <si>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</si>
  <si>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</si>
  <si>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</si>
  <si>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</si>
  <si>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</si>
  <si>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</si>
  <si>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</si>
  <si>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</si>
  <si>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</si>
  <si>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</si>
  <si>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</si>
  <si>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</si>
  <si>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</si>
  <si>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</si>
  <si>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</si>
  <si>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</si>
  <si>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</si>
  <si>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</si>
  <si>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</si>
  <si>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</si>
  <si>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</si>
  <si>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</si>
  <si>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</si>
  <si>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</si>
  <si>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</si>
  <si>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</si>
  <si>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</si>
  <si>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</si>
  <si>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</si>
  <si>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</si>
  <si>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</si>
  <si>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</si>
  <si>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</si>
  <si>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</si>
  <si>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</si>
  <si>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</si>
  <si>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</si>
  <si>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</si>
  <si>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</si>
  <si>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</si>
  <si>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</si>
  <si>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</si>
  <si>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</si>
  <si>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</si>
  <si>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</si>
  <si>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</si>
  <si>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</si>
  <si>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</si>
  <si>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</si>
  <si>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</si>
  <si>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</si>
  <si>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</si>
  <si>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</si>
  <si>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</si>
  <si>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</si>
  <si>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</si>
  <si>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</si>
  <si>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</si>
  <si>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</si>
  <si>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</si>
  <si>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</si>
  <si>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</si>
  <si>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</si>
  <si>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</si>
  <si>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</si>
  <si>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</si>
  <si>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</si>
  <si>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</si>
  <si>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</si>
  <si>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</si>
  <si>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</si>
  <si>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</si>
  <si>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</si>
  <si>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</si>
  <si>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</si>
  <si>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</si>
  <si>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</si>
  <si>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</si>
  <si>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</si>
  <si>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</si>
  <si>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</si>
  <si>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</si>
  <si>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</si>
  <si>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</si>
  <si>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</si>
  <si>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</si>
  <si>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</si>
  <si>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</si>
  <si>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</si>
  <si>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</si>
  <si>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</si>
  <si>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</si>
  <si>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</si>
  <si>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</si>
  <si>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</si>
  <si>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</si>
  <si>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</si>
  <si>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</si>
  <si>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</si>
  <si>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</si>
  <si>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</si>
  <si>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</si>
  <si>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</si>
  <si>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</si>
  <si>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</si>
  <si>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</si>
  <si>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</si>
  <si>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</si>
  <si>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</si>
  <si>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</si>
  <si>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</si>
  <si>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</si>
  <si>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</si>
  <si>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</si>
  <si>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</si>
  <si>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</si>
  <si>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</si>
  <si>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</si>
  <si>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</si>
  <si>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</si>
  <si>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</si>
  <si>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</si>
  <si>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</si>
  <si>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</si>
  <si>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</si>
  <si>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</si>
  <si>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</si>
  <si>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</si>
  <si>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</si>
  <si>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</si>
  <si>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</si>
  <si>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</si>
  <si>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</si>
  <si>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</si>
  <si>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</si>
  <si>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</si>
  <si>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</si>
  <si>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</si>
  <si>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</si>
  <si>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</si>
  <si>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</si>
  <si>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</si>
  <si>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</si>
  <si>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</si>
  <si>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</si>
  <si>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</si>
  <si>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</si>
  <si>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</si>
  <si>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</si>
  <si>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</si>
  <si>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</si>
  <si>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</si>
  <si>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</si>
  <si>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</si>
  <si>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</si>
  <si>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</si>
  <si>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</si>
  <si>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</si>
  <si>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</si>
  <si>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</si>
  <si>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</si>
  <si>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</si>
  <si>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</si>
  <si>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</si>
  <si>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</si>
  <si>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</si>
  <si>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</si>
  <si>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</si>
  <si>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</si>
  <si>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</si>
  <si>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</si>
  <si>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</si>
  <si>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</si>
  <si>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</si>
  <si>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</si>
  <si>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</si>
  <si>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</si>
  <si>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</si>
  <si>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</si>
  <si>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</si>
  <si>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</si>
  <si>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</si>
  <si>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</si>
  <si>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</si>
  <si>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</si>
  <si>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</si>
  <si>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</si>
  <si>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</si>
  <si>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</si>
  <si>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</si>
  <si>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</si>
  <si>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</si>
  <si>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</si>
  <si>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</si>
  <si>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</si>
  <si>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</si>
  <si>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</si>
  <si>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</si>
  <si>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</si>
  <si>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</si>
  <si>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</si>
  <si>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</si>
  <si>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</si>
  <si>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</si>
  <si>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</si>
  <si>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</si>
  <si>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</si>
  <si>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</si>
  <si>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</si>
  <si>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</si>
  <si>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</si>
  <si>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</si>
  <si>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</si>
  <si>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</si>
  <si>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</si>
  <si>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</si>
  <si>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</si>
  <si>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</si>
  <si>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</si>
  <si>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</si>
  <si>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</si>
  <si>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</si>
  <si>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</si>
  <si>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</si>
  <si>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</si>
  <si>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</si>
  <si>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</si>
  <si>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</si>
  <si>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</si>
  <si>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</si>
  <si>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</si>
  <si>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</si>
  <si>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</si>
  <si>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</si>
  <si>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</si>
  <si>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</si>
  <si>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</si>
  <si>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</si>
  <si>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</si>
  <si>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</si>
  <si>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</si>
  <si>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</si>
  <si>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</si>
  <si>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</si>
  <si>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</si>
  <si>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</si>
  <si>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</si>
  <si>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</si>
  <si>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</si>
  <si>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</si>
  <si>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</si>
  <si>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</si>
  <si>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</si>
  <si>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</si>
  <si>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</si>
  <si>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</si>
  <si>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</si>
  <si>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</si>
  <si>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</si>
  <si>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</si>
  <si>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</si>
  <si>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</si>
  <si>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</si>
  <si>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</si>
  <si>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</si>
  <si>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</si>
  <si>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</si>
  <si>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</si>
  <si>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</si>
  <si>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</si>
  <si>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</si>
  <si>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</si>
  <si>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</si>
  <si>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</si>
  <si>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</si>
  <si>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</si>
  <si>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</si>
  <si>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</si>
  <si>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</si>
  <si>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</si>
  <si>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</si>
  <si>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</si>
  <si>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</si>
  <si>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</si>
  <si>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</si>
  <si>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</si>
  <si>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</si>
  <si>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</si>
  <si>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</si>
  <si>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</si>
  <si>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</si>
  <si>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</si>
  <si>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</si>
  <si>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</si>
  <si>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</si>
  <si>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</si>
  <si>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</si>
  <si>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</si>
  <si>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</si>
  <si>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</si>
  <si>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</si>
  <si>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</si>
  <si>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</si>
  <si>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</si>
  <si>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</si>
  <si>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</si>
  <si>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</si>
  <si>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</si>
  <si>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</si>
  <si>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</si>
  <si>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</si>
  <si>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</si>
  <si>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</si>
  <si>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</si>
  <si>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</si>
  <si>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</si>
  <si>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</si>
  <si>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</si>
  <si>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</si>
  <si>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</si>
  <si>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</si>
  <si>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</si>
  <si>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</si>
  <si>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</si>
  <si>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</si>
  <si>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</si>
  <si>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</si>
  <si>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</si>
  <si>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</si>
  <si>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</si>
  <si>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</si>
  <si>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</si>
  <si>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</si>
  <si>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</si>
  <si>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</si>
  <si>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</si>
  <si>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</si>
  <si>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</si>
  <si>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</si>
  <si>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</si>
  <si>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</si>
  <si>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吴薇</t>
  </si>
  <si>
    <t>国瑞兴业（北京）实业股份有限公司</t>
    <phoneticPr fontId="6" type="noConversion"/>
  </si>
  <si>
    <t>国瑞兴业（北京）实业股份有限公司</t>
    <phoneticPr fontId="6" type="noConversion"/>
  </si>
  <si>
    <t>北京市</t>
  </si>
  <si>
    <t>企业</t>
  </si>
  <si>
    <r>
      <rPr>
        <sz val="12"/>
        <rFont val="宋体"/>
        <family val="3"/>
        <charset val="134"/>
      </rPr>
      <t>东城区广渠门内大街</t>
    </r>
    <r>
      <rPr>
        <sz val="12"/>
        <rFont val="Arial"/>
        <family val="2"/>
      </rPr>
      <t>35</t>
    </r>
    <r>
      <rPr>
        <sz val="12"/>
        <rFont val="宋体"/>
        <family val="3"/>
        <charset val="134"/>
      </rPr>
      <t>号</t>
    </r>
    <phoneticPr fontId="6" type="noConversion"/>
  </si>
  <si>
    <t>出让</t>
  </si>
  <si>
    <t>商业</t>
    <phoneticPr fontId="6" type="noConversion"/>
  </si>
  <si>
    <r>
      <rPr>
        <sz val="12"/>
        <rFont val="宋体"/>
        <family val="3"/>
        <charset val="134"/>
      </rPr>
      <t>剩余土地年限</t>
    </r>
    <phoneticPr fontId="6" type="noConversion"/>
  </si>
  <si>
    <r>
      <rPr>
        <sz val="12"/>
        <rFont val="宋体"/>
        <family val="3"/>
        <charset val="134"/>
      </rPr>
      <t>《房屋所有权证》</t>
    </r>
    <r>
      <rPr>
        <sz val="12"/>
        <rFont val="Arial"/>
        <family val="2"/>
      </rPr>
      <t>[X</t>
    </r>
    <r>
      <rPr>
        <sz val="12"/>
        <rFont val="宋体"/>
        <family val="3"/>
        <charset val="134"/>
      </rPr>
      <t>京房权证东字第</t>
    </r>
    <r>
      <rPr>
        <sz val="12"/>
        <rFont val="Arial"/>
        <family val="2"/>
      </rPr>
      <t>042258</t>
    </r>
    <r>
      <rPr>
        <sz val="12"/>
        <rFont val="宋体"/>
        <family val="3"/>
        <charset val="134"/>
      </rPr>
      <t>号</t>
    </r>
    <r>
      <rPr>
        <sz val="12"/>
        <rFont val="Arial"/>
        <family val="2"/>
      </rPr>
      <t>]</t>
    </r>
    <phoneticPr fontId="6" type="noConversion"/>
  </si>
  <si>
    <r>
      <rPr>
        <sz val="12"/>
        <rFont val="宋体"/>
        <family val="3"/>
        <charset val="134"/>
      </rPr>
      <t>《国有土地使用证》</t>
    </r>
    <r>
      <rPr>
        <sz val="12"/>
        <rFont val="Arial"/>
        <family val="2"/>
      </rPr>
      <t>[</t>
    </r>
    <r>
      <rPr>
        <sz val="12"/>
        <rFont val="宋体"/>
        <family val="3"/>
        <charset val="134"/>
      </rPr>
      <t>京东国用（</t>
    </r>
    <r>
      <rPr>
        <sz val="12"/>
        <rFont val="Arial"/>
        <family val="2"/>
      </rPr>
      <t>2011</t>
    </r>
    <r>
      <rPr>
        <sz val="12"/>
        <rFont val="宋体"/>
        <family val="3"/>
        <charset val="134"/>
      </rPr>
      <t>出）第</t>
    </r>
    <r>
      <rPr>
        <sz val="12"/>
        <rFont val="Arial"/>
        <family val="2"/>
      </rPr>
      <t>00051</t>
    </r>
    <r>
      <rPr>
        <sz val="12"/>
        <rFont val="宋体"/>
        <family val="3"/>
        <charset val="134"/>
      </rPr>
      <t>号</t>
    </r>
    <r>
      <rPr>
        <sz val="12"/>
        <rFont val="Arial"/>
        <family val="2"/>
      </rPr>
      <t>]</t>
    </r>
    <phoneticPr fontId="6" type="noConversion"/>
  </si>
  <si>
    <t>是</t>
  </si>
  <si>
    <t>否</t>
  </si>
  <si>
    <t>复印件</t>
  </si>
  <si>
    <t>商业项目</t>
  </si>
  <si>
    <t>无</t>
  </si>
  <si>
    <t>现房</t>
  </si>
  <si>
    <t>通路</t>
  </si>
  <si>
    <t>通电</t>
  </si>
  <si>
    <t>通讯</t>
  </si>
  <si>
    <t>通上水</t>
  </si>
  <si>
    <t>通下水</t>
  </si>
  <si>
    <t>通热</t>
  </si>
  <si>
    <t>燃气</t>
  </si>
  <si>
    <t>楼层</t>
    <phoneticPr fontId="143" type="noConversion"/>
  </si>
  <si>
    <t>建筑面积</t>
    <phoneticPr fontId="143" type="noConversion"/>
  </si>
  <si>
    <t>负一</t>
    <phoneticPr fontId="143" type="noConversion"/>
  </si>
  <si>
    <t>合计</t>
    <phoneticPr fontId="143" type="noConversion"/>
  </si>
  <si>
    <t>地上</t>
  </si>
  <si>
    <t>底商</t>
  </si>
  <si>
    <t>地下</t>
  </si>
  <si>
    <t>商业</t>
    <phoneticPr fontId="7" type="noConversion"/>
  </si>
  <si>
    <t>批发零售用地</t>
  </si>
  <si>
    <t>广渠门内大街</t>
  </si>
  <si>
    <t>七通一平</t>
  </si>
  <si>
    <t>一致</t>
  </si>
  <si>
    <t>楼层修正</t>
  </si>
  <si>
    <t>成新度</t>
  </si>
  <si>
    <t>较好</t>
  </si>
  <si>
    <t>好</t>
  </si>
  <si>
    <t>好</t>
    <phoneticPr fontId="25" type="noConversion"/>
  </si>
  <si>
    <t>较好</t>
    <phoneticPr fontId="25" type="noConversion"/>
  </si>
  <si>
    <t>好</t>
    <phoneticPr fontId="25" type="noConversion"/>
  </si>
  <si>
    <t>好</t>
    <phoneticPr fontId="25" type="noConversion"/>
  </si>
  <si>
    <t>七通</t>
    <phoneticPr fontId="25" type="noConversion"/>
  </si>
  <si>
    <t>主干道</t>
    <phoneticPr fontId="25" type="noConversion"/>
  </si>
  <si>
    <t>单面临街</t>
  </si>
  <si>
    <t>未包含在土地购买价格中</t>
  </si>
  <si>
    <t>收益法</t>
  </si>
  <si>
    <t>押一</t>
  </si>
  <si>
    <t>按租金收入计税</t>
  </si>
  <si>
    <t>钢混</t>
  </si>
  <si>
    <t>非生产用房</t>
  </si>
  <si>
    <t>全部缴纳</t>
  </si>
  <si>
    <t>已包含在土地取得成本中</t>
  </si>
  <si>
    <t>成本法</t>
  </si>
  <si>
    <t>项目全部</t>
  </si>
  <si>
    <t>成本比率</t>
  </si>
  <si>
    <t>土地面积</t>
  </si>
  <si>
    <t>建筑面积</t>
  </si>
  <si>
    <t>建筑物价值</t>
  </si>
  <si>
    <t>抵押</t>
  </si>
  <si>
    <t>已注销</t>
  </si>
  <si>
    <t>房地产抵押价值</t>
  </si>
  <si>
    <t>国瑞兴业（北京）实业股份有限公司</t>
    <phoneticPr fontId="6" type="noConversion"/>
  </si>
  <si>
    <t xml:space="preserve">                        </t>
    <phoneticPr fontId="3" type="noConversion"/>
  </si>
  <si>
    <t>总租金收入</t>
    <phoneticPr fontId="143" type="noConversion"/>
  </si>
  <si>
    <t>上浮</t>
    <phoneticPr fontId="143"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</si>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</sst>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90" fillId="7" borderId="54" xfId="0" applyFont="1" applyFill="1" applyBorder="1" applyAlignment="1" applyProtection="1">
      <alignment vertical="center" wrapText="1"/>
      <protection locked="0"/>
    </xf>
    <xf numFmtId="10" fontId="0" fillId="0" borderId="0" xfId="0" applyNumberFormat="1">
      <alignment vertical="center"/>
    </xf>
    <xf numFmtId="0" fontId="0" fillId="0" borderId="0" xfId="0" applyAlignment="1">
      <alignment horizontal="center" vertical="center"/>
    </xf>
    <xf numFmtId="0" fontId="0" fillId="9" borderId="0" xfId="0" applyFill="1" applyAlignment="1">
      <alignment horizontal="center" vertical="center"/>
    </xf>
    <xf numFmtId="0" fontId="99" fillId="0" borderId="0" xfId="0" applyFont="1" applyAlignment="1">
      <alignment horizontal="center" vertical="center"/>
    </xf>
    <xf numFmtId="10" fontId="0" fillId="0" borderId="0" xfId="0" applyNumberForma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北京市东城区广渠门内大街35号房地产抵押价值预评估</v>
      </c>
    </row>
    <row r="3" spans="1:2" s="1596" customFormat="1">
      <c r="A3" s="1594" t="s">
        <v>1217</v>
      </c>
      <c r="B3" s="1595" t="str">
        <f>'预评函-封皮'!B40</f>
        <v>国瑞兴业（北京）实业股份有限公司</v>
      </c>
    </row>
    <row r="4" spans="1:2" s="1596" customFormat="1">
      <c r="A4" s="1594" t="s">
        <v>1218</v>
      </c>
      <c r="B4" s="1595" t="str">
        <f ca="1">'预评函-封皮'!B46</f>
        <v>郑燚（注册号：1120070131)、吴薇（注册号：1419970001)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受贵公司委托，我公司对北京市东城区广渠门内大街35号房地产抵押价值进行了预评估。</v>
      </c>
    </row>
    <row r="7" spans="1:2" s="1596" customFormat="1">
      <c r="A7" s="1594" t="s">
        <v>1260</v>
      </c>
      <c r="B7" s="1595" t="str">
        <f>'预评函-1'!A7</f>
        <v>估价对象为北京市东城区广渠门内大街35号房地产，为国瑞兴业（北京）实业股份有限公司所有。根据《国有土地使用证》[京东国用（2011出）第00051号]，估价对象（分摊）出让国有建设用地使用权面积为4360.21平方米。根据《房屋所有权证》[X京房权证东字第042258号]，估价对象建筑面积为26146.04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广渠门内大街35号房地产,为国瑞兴业（北京）实业股份有限公司开发建设的商业项目，该项目尚在开发建设中。根据《国有土地使用证》[京东国用（2011出）第00051号]，估价对象（分摊）出让国有建设用地使用权面积为4360.21平方米。根据《房屋所有权证》[X京房权证东字第042258号]，估价对象规划建筑面积为26146.04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2019年1月20日（评估专业人员实地查勘之日）</v>
      </c>
    </row>
    <row r="13" spans="1:2" s="1596" customFormat="1">
      <c r="A13" s="1594" t="s">
        <v>1223</v>
      </c>
      <c r="B13" s="1595" t="str">
        <f>'预评函-1'!A18</f>
        <v>本次估价的“房地产价值”是指在正常市场情况下，在价值时点2019年1月20日，估价对象规划用途为商业，土地取得方式为出让，出让国有建设用地使用权剩余土地使用年限为25.87，假定未设立法定优先受偿款下的房地产市场价值。</v>
      </c>
    </row>
    <row r="14" spans="1:2" s="1596" customFormat="1">
      <c r="A14" s="1594" t="s">
        <v>1224</v>
      </c>
      <c r="B14" s="1595" t="str">
        <f>'预评函-1'!A19</f>
        <v>其中，“出让国有建设用地使用权价值”是指估价对象用途为商业，实际开发程度为宗地红线外“七通”（即通路、通电、通讯、通上水、通下水、通热、燃气）、红线内场地平整条件下，剩余土地使用年限为25.87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118431</v>
      </c>
    </row>
    <row r="21" spans="1:2" s="1596" customFormat="1">
      <c r="A21" s="1594" t="s">
        <v>1231</v>
      </c>
      <c r="B21" s="1595">
        <f ca="1">'预评函-2'!D7</f>
        <v>45296</v>
      </c>
    </row>
    <row r="22" spans="1:2" s="1596" customFormat="1">
      <c r="A22" s="1594" t="s">
        <v>1232</v>
      </c>
      <c r="B22" s="1595" t="str">
        <f ca="1">'预评函-2'!D6</f>
        <v>壹拾壹亿捌仟肆佰叁拾壹万元整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118431</v>
      </c>
    </row>
    <row r="35" spans="1:2" s="1596" customFormat="1">
      <c r="A35" s="1594" t="s">
        <v>1271</v>
      </c>
      <c r="B35" s="1595">
        <f ca="1">'预评函-2'!D18</f>
        <v>45296</v>
      </c>
    </row>
    <row r="36" spans="1:2" s="1596" customFormat="1">
      <c r="A36" s="1594" t="s">
        <v>1238</v>
      </c>
      <c r="B36" s="1595" t="str">
        <f ca="1">'预评函-2'!D17</f>
        <v>壹拾壹亿捌仟肆佰叁拾壹万元整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北京市东城区广渠门内大街35号房地产</v>
      </c>
    </row>
    <row r="42" spans="1:2" s="1596" customFormat="1">
      <c r="A42" s="1594" t="s">
        <v>1284</v>
      </c>
      <c r="B42" s="1595" t="str">
        <f>'预评函-3'!B2</f>
        <v>建筑面积</v>
      </c>
    </row>
    <row r="43" spans="1:2" s="1596" customFormat="1">
      <c r="A43" s="1594" t="s">
        <v>1285</v>
      </c>
      <c r="B43" s="1595">
        <f>'预评函-3'!B4</f>
        <v>26146.04</v>
      </c>
    </row>
    <row r="44" spans="1:2" s="1596" customFormat="1">
      <c r="A44" s="1594" t="s">
        <v>1269</v>
      </c>
      <c r="B44" s="1595" t="str">
        <f>'预评函-3'!C2</f>
        <v>(分摊)土地面积</v>
      </c>
    </row>
    <row r="45" spans="1:2" s="1596" customFormat="1">
      <c r="A45" s="1594" t="s">
        <v>1241</v>
      </c>
      <c r="B45" s="1595">
        <f>'预评函-3'!C4</f>
        <v>4360.21</v>
      </c>
    </row>
    <row r="46" spans="1:2" s="1596" customFormat="1">
      <c r="A46" s="1594" t="s">
        <v>1267</v>
      </c>
      <c r="B46" s="1595" t="str">
        <f>'预评函-3'!D2</f>
        <v>出让国有建设用地使用权价值</v>
      </c>
    </row>
    <row r="47" spans="1:2" s="1596" customFormat="1">
      <c r="A47" s="1594" t="s">
        <v>1242</v>
      </c>
      <c r="B47" s="1595">
        <f ca="1">'预评函-3'!D4</f>
        <v>105759</v>
      </c>
    </row>
    <row r="48" spans="1:2" s="1596" customFormat="1">
      <c r="A48" s="1594" t="s">
        <v>1243</v>
      </c>
      <c r="B48" s="1595">
        <f ca="1">'预评函-3'!E4</f>
        <v>40449</v>
      </c>
    </row>
    <row r="49" spans="1:2" s="1596" customFormat="1">
      <c r="A49" s="1594" t="s">
        <v>1244</v>
      </c>
      <c r="B49" s="1595" t="str">
        <f ca="1">'预评函-3'!D5</f>
        <v>壹拾亿伍仟柒佰伍拾玖万元整</v>
      </c>
    </row>
    <row r="50" spans="1:2" s="1596" customFormat="1">
      <c r="A50" s="1594" t="s">
        <v>1268</v>
      </c>
      <c r="B50" s="1595" t="str">
        <f>'预评函-3'!F2</f>
        <v>建筑物价值</v>
      </c>
    </row>
    <row r="51" spans="1:2" s="1596" customFormat="1">
      <c r="A51" s="1594" t="s">
        <v>1245</v>
      </c>
      <c r="B51" s="1595">
        <f ca="1">'预评函-3'!F4</f>
        <v>12672</v>
      </c>
    </row>
    <row r="52" spans="1:2" s="1596" customFormat="1">
      <c r="A52" s="1594" t="s">
        <v>1246</v>
      </c>
      <c r="B52" s="1595">
        <f ca="1">'预评函-3'!G4</f>
        <v>4847</v>
      </c>
    </row>
    <row r="53" spans="1:2" s="1596" customFormat="1">
      <c r="A53" s="1594" t="s">
        <v>1274</v>
      </c>
      <c r="B53" s="1595" t="str">
        <f ca="1">'预评函-3'!F5</f>
        <v>壹亿贰仟陆佰柒拾贰万元整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已设定抵押。上述权属证件中未登记该抵押权的具体情况（债权数额、期限等）。根据不动产权利人出具的，估价对象已抵押给，权利范围为，权利价值为。</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吴薇</v>
      </c>
    </row>
    <row r="73" spans="1:2" s="1590" customFormat="1" ht="15" thickBot="1">
      <c r="A73" s="1597" t="s">
        <v>1259</v>
      </c>
      <c r="B73" s="1598">
        <f ca="1">'预评函-4'!B5</f>
        <v>1419970001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3" sqref="H3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实业股份有限公司拟使用北京市东城区广渠门内大街35号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025" t="s">
        <v>861</v>
      </c>
      <c r="C54" s="2022" t="s">
        <v>1277</v>
      </c>
    </row>
    <row r="55" spans="1:4">
      <c r="A55" s="3002"/>
      <c r="B55" s="2025" t="s">
        <v>862</v>
      </c>
      <c r="C55" s="2022" t="s">
        <v>1278</v>
      </c>
    </row>
    <row r="56" spans="1:4">
      <c r="A56" s="3002"/>
      <c r="B56" s="2025" t="s">
        <v>863</v>
      </c>
      <c r="C56" s="2022" t="s">
        <v>1282</v>
      </c>
    </row>
    <row r="57" spans="1:4">
      <c r="A57" s="300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1" t="str">
        <f>IF(B10="北京市","北京市",C10)&amp;F10&amp;IF(结果表!G1="在建","出让国有建设用地使用权及在建建筑物",IF(结果表!G1="土地","出让国有建设用地使用权",))&amp;B9&amp;"预评估"</f>
        <v>北京市东城区广渠门内大街35号房地产抵押价值预评估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北京市东城区广渠门内大街35号房地产抵押价值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北京市东城区广渠门内大街35号房地产</v>
      </c>
    </row>
    <row r="3" spans="1:19" ht="18" customHeight="1">
      <c r="A3" s="2038" t="s">
        <v>1774</v>
      </c>
      <c r="B3" s="2039">
        <v>43485</v>
      </c>
      <c r="C3" s="2040" t="s">
        <v>1775</v>
      </c>
      <c r="D3" s="2039">
        <v>43485</v>
      </c>
      <c r="E3" s="2029"/>
      <c r="F3" s="2029"/>
      <c r="G3" s="2029"/>
      <c r="H3" s="2029"/>
      <c r="I3" s="2029"/>
      <c r="J3" s="2029"/>
      <c r="K3" s="2030"/>
      <c r="L3" s="2031"/>
      <c r="M3" s="2031"/>
      <c r="N3" s="2032"/>
      <c r="O3" s="2033"/>
      <c r="P3" s="2032"/>
      <c r="Q3" s="2032"/>
      <c r="R3" s="2032"/>
      <c r="S3" s="2034"/>
    </row>
    <row r="4" spans="1:19" ht="18" customHeight="1" thickBot="1">
      <c r="A4" s="2041" t="s">
        <v>1776</v>
      </c>
      <c r="B4" s="2042" t="s">
        <v>3035</v>
      </c>
      <c r="C4" s="1040">
        <f ca="1">SUMIF(注册房地产估价师,B4,估价师及机构信息!B3:B24)</f>
        <v>1120070131</v>
      </c>
      <c r="D4" s="2042" t="s">
        <v>3036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1777</v>
      </c>
      <c r="B5" s="2940"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941" t="s">
        <v>3038</v>
      </c>
      <c r="C7" s="2052"/>
      <c r="D7" s="2053"/>
      <c r="E7" s="2037"/>
      <c r="F7" s="2045"/>
      <c r="G7" s="2045"/>
      <c r="H7" s="2045"/>
      <c r="I7" s="2045"/>
      <c r="J7" s="2045"/>
      <c r="K7" s="2055"/>
      <c r="L7" s="2031"/>
      <c r="M7" s="2031"/>
      <c r="N7" s="2032"/>
      <c r="O7" s="2033"/>
      <c r="P7" s="2032"/>
      <c r="Q7" s="2032"/>
      <c r="R7" s="2032"/>
    </row>
    <row r="8" spans="1:19" ht="18" customHeight="1">
      <c r="A8" s="2050" t="s">
        <v>1780</v>
      </c>
      <c r="B8" s="2056" t="s">
        <v>3097</v>
      </c>
      <c r="C8" s="2057"/>
      <c r="D8" s="3014" t="s">
        <v>1781</v>
      </c>
      <c r="E8" s="2058" t="s">
        <v>3098</v>
      </c>
      <c r="F8" s="2059"/>
      <c r="G8" s="2029"/>
      <c r="H8" s="2029"/>
      <c r="I8" s="2029"/>
      <c r="J8" s="2045"/>
      <c r="K8" s="2046"/>
      <c r="L8" s="2031"/>
      <c r="M8" s="2031"/>
      <c r="N8" s="2032"/>
      <c r="O8" s="2033"/>
      <c r="P8" s="2032"/>
      <c r="Q8" s="2032"/>
      <c r="R8" s="2032"/>
    </row>
    <row r="9" spans="1:19" ht="18" customHeight="1" thickBot="1">
      <c r="A9" s="2043" t="s">
        <v>1782</v>
      </c>
      <c r="B9" s="2060" t="s">
        <v>3099</v>
      </c>
      <c r="C9" s="2061"/>
      <c r="D9" s="3015"/>
      <c r="E9" s="2060" t="s">
        <v>70</v>
      </c>
      <c r="F9" s="2062"/>
      <c r="G9" s="2063"/>
      <c r="H9" s="2063"/>
      <c r="I9" s="2063"/>
      <c r="J9" s="2045"/>
      <c r="K9" s="2055"/>
      <c r="L9" s="2031"/>
      <c r="M9" s="2031"/>
      <c r="N9" s="2032"/>
      <c r="O9" s="2033"/>
      <c r="P9" s="2032"/>
      <c r="Q9" s="2032"/>
      <c r="R9" s="2032"/>
    </row>
    <row r="10" spans="1:19" ht="18" customHeight="1" thickTop="1">
      <c r="A10" s="2064" t="s">
        <v>1783</v>
      </c>
      <c r="B10" s="2065" t="s">
        <v>3039</v>
      </c>
      <c r="C10" s="2066"/>
      <c r="D10" s="2049"/>
      <c r="E10" s="2067" t="s">
        <v>1784</v>
      </c>
      <c r="F10" s="2942" t="s">
        <v>3041</v>
      </c>
      <c r="G10" s="2068"/>
      <c r="H10" s="2069"/>
      <c r="I10" s="2049"/>
      <c r="J10" s="2045"/>
      <c r="K10" s="2055"/>
      <c r="L10" s="2031"/>
      <c r="M10" s="2031"/>
      <c r="N10" s="2032"/>
      <c r="O10" s="2033"/>
      <c r="P10" s="2032"/>
      <c r="Q10" s="2032"/>
      <c r="R10" s="2032"/>
    </row>
    <row r="11" spans="1:19" ht="18" customHeight="1">
      <c r="A11" s="2070" t="s">
        <v>1785</v>
      </c>
      <c r="B11" s="2071" t="s">
        <v>3040</v>
      </c>
      <c r="C11" s="2953" t="s">
        <v>3100</v>
      </c>
      <c r="D11" s="2072"/>
      <c r="E11" s="2045"/>
      <c r="F11" s="2045"/>
      <c r="G11" s="2045"/>
      <c r="H11" s="2045"/>
      <c r="I11" s="2045"/>
      <c r="J11" s="2045"/>
      <c r="K11" s="2055"/>
      <c r="L11" s="2031"/>
      <c r="M11" s="2031"/>
      <c r="N11" s="2032"/>
      <c r="O11" s="2033"/>
      <c r="P11" s="2032"/>
      <c r="Q11" s="2032"/>
      <c r="R11" s="2032"/>
    </row>
    <row r="12" spans="1:19" ht="18" customHeight="1">
      <c r="A12" s="2073" t="s">
        <v>1786</v>
      </c>
      <c r="B12" s="2071" t="s">
        <v>3042</v>
      </c>
      <c r="C12" s="2074" t="s">
        <v>1787</v>
      </c>
      <c r="D12" s="2075" t="s">
        <v>1788</v>
      </c>
      <c r="E12" s="2075" t="s">
        <v>1789</v>
      </c>
      <c r="F12" s="2075" t="s">
        <v>1790</v>
      </c>
      <c r="G12" s="2075" t="s">
        <v>1791</v>
      </c>
      <c r="H12" s="2075" t="s">
        <v>1792</v>
      </c>
      <c r="I12" s="2075" t="s">
        <v>1793</v>
      </c>
      <c r="J12" s="2045"/>
      <c r="K12" s="2055"/>
      <c r="L12" s="2031"/>
      <c r="M12" s="2031"/>
      <c r="N12" s="2032"/>
      <c r="O12" s="2033"/>
      <c r="P12" s="2032"/>
      <c r="Q12" s="2032"/>
      <c r="R12" s="2032"/>
    </row>
    <row r="13" spans="1:19" ht="18" customHeight="1">
      <c r="A13" s="2076"/>
      <c r="B13" s="2077"/>
      <c r="C13" s="2078" t="s">
        <v>1794</v>
      </c>
      <c r="D13" s="2079"/>
      <c r="E13" s="2079">
        <v>52930</v>
      </c>
      <c r="F13" s="2079"/>
      <c r="G13" s="2079"/>
      <c r="H13" s="2079"/>
      <c r="I13" s="1050"/>
      <c r="J13" s="2045"/>
      <c r="K13" s="2055"/>
      <c r="L13" s="2031"/>
      <c r="M13" s="2031"/>
      <c r="N13" s="2032"/>
      <c r="O13" s="2033"/>
      <c r="P13" s="2032"/>
      <c r="Q13" s="2032"/>
      <c r="R13" s="2032"/>
    </row>
    <row r="14" spans="1:19" ht="18" customHeight="1">
      <c r="A14" s="2076"/>
      <c r="B14" s="2077"/>
      <c r="C14" s="2078" t="s">
        <v>1795</v>
      </c>
      <c r="D14" s="1053"/>
      <c r="E14" s="1053">
        <v>40</v>
      </c>
      <c r="F14" s="1053"/>
      <c r="G14" s="1053"/>
      <c r="H14" s="1053"/>
      <c r="I14" s="1053"/>
      <c r="J14" s="2045"/>
      <c r="K14" s="2080"/>
      <c r="L14" s="2031"/>
      <c r="M14" s="2031"/>
      <c r="N14" s="2032"/>
      <c r="O14" s="2033"/>
      <c r="P14" s="2032"/>
      <c r="Q14" s="2032"/>
      <c r="R14" s="2032"/>
    </row>
    <row r="15" spans="1:19" ht="18" customHeight="1">
      <c r="A15" s="2064"/>
      <c r="B15" s="2081"/>
      <c r="C15" s="2078" t="s">
        <v>1796</v>
      </c>
      <c r="D15" s="1052" t="str">
        <f>IF(B12="出让",IF(D13="","",ROUNDDOWN(MIN((D13-$D$3)/365,D14),2)),D14)</f>
        <v/>
      </c>
      <c r="E15" s="1052">
        <f>IF(B12="出让",IF(E13="","",ROUNDDOWN(MIN((E13-$D$3)/365,E14),2)),E14)</f>
        <v>25.87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7" t="s">
        <v>1797</v>
      </c>
      <c r="B16" s="3021" t="s">
        <v>3043</v>
      </c>
      <c r="C16" s="3022"/>
      <c r="D16" s="3023"/>
      <c r="E16" s="2943" t="s">
        <v>3044</v>
      </c>
      <c r="F16" s="3024">
        <v>25.87</v>
      </c>
      <c r="G16" s="3025"/>
      <c r="H16" s="3025"/>
      <c r="I16" s="3026"/>
      <c r="J16" s="2032"/>
      <c r="K16" s="2082"/>
      <c r="L16" s="2083"/>
      <c r="M16" s="2083"/>
      <c r="N16" s="2084"/>
      <c r="O16" s="2083"/>
      <c r="P16" s="2084"/>
      <c r="Q16" s="2032"/>
      <c r="R16" s="2032"/>
    </row>
    <row r="17" spans="1:22" ht="18" customHeight="1">
      <c r="A17" s="2085" t="s">
        <v>1798</v>
      </c>
      <c r="B17" s="2038" t="s">
        <v>1799</v>
      </c>
      <c r="C17" s="1057">
        <f>'数据-汇总表'!E3</f>
        <v>26146.04</v>
      </c>
      <c r="D17" s="2086" t="s">
        <v>1800</v>
      </c>
      <c r="E17" s="3027" t="s">
        <v>3045</v>
      </c>
      <c r="F17" s="3028"/>
      <c r="G17" s="3028"/>
      <c r="H17" s="3028"/>
      <c r="I17" s="3029"/>
      <c r="J17" s="2032"/>
      <c r="K17" s="2087"/>
      <c r="L17" s="2083"/>
      <c r="M17" s="2083"/>
      <c r="N17" s="2084"/>
      <c r="O17" s="2083"/>
      <c r="P17" s="2084"/>
      <c r="Q17" s="2032"/>
      <c r="R17" s="2032"/>
      <c r="S17" s="2032"/>
      <c r="T17" s="2032"/>
      <c r="U17" s="2032"/>
      <c r="V17" s="2032"/>
    </row>
    <row r="18" spans="1:22" ht="36" customHeight="1" thickBot="1">
      <c r="A18" s="2088" t="s">
        <v>70</v>
      </c>
      <c r="B18" s="2041" t="s">
        <v>1801</v>
      </c>
      <c r="C18" s="1447">
        <f>'数据-汇总表'!D3</f>
        <v>4360.21</v>
      </c>
      <c r="D18" s="2089" t="s">
        <v>1800</v>
      </c>
      <c r="E18" s="3030" t="s">
        <v>3046</v>
      </c>
      <c r="F18" s="3031"/>
      <c r="G18" s="3031"/>
      <c r="H18" s="3031"/>
      <c r="I18" s="3032"/>
      <c r="J18" s="2032"/>
      <c r="K18" s="2087"/>
      <c r="L18" s="2083"/>
      <c r="M18" s="2083"/>
      <c r="N18" s="2084"/>
      <c r="O18" s="2083"/>
      <c r="P18" s="2084"/>
      <c r="Q18" s="2032"/>
      <c r="R18" s="2032"/>
      <c r="S18" s="2032"/>
      <c r="T18" s="2032"/>
      <c r="U18" s="2032"/>
      <c r="V18" s="2032"/>
    </row>
    <row r="19" spans="1:22" ht="37.5" customHeight="1" thickTop="1" thickBot="1">
      <c r="A19" s="373" t="s">
        <v>1802</v>
      </c>
      <c r="B19" s="352" t="s">
        <v>1803</v>
      </c>
      <c r="C19" s="2090" t="s">
        <v>3047</v>
      </c>
      <c r="D19" s="2091" t="s">
        <v>1804</v>
      </c>
      <c r="E19" s="2092" t="s">
        <v>3048</v>
      </c>
      <c r="F19" s="2093" t="str">
        <f>IF(AND(C19="是",E19="否"),"是否提供他项权证或相关说明","")</f>
        <v>是否提供他项权证或相关说明</v>
      </c>
      <c r="G19" s="2094" t="s">
        <v>3047</v>
      </c>
      <c r="H19" s="2045"/>
      <c r="I19" s="2045"/>
      <c r="J19" s="2045"/>
      <c r="K19" s="2055"/>
      <c r="L19" s="2031"/>
      <c r="M19" s="2031"/>
      <c r="N19" s="2084"/>
      <c r="O19" s="2083"/>
      <c r="P19" s="2084"/>
      <c r="Q19" s="2032"/>
      <c r="R19" s="2032"/>
      <c r="S19" s="2032"/>
      <c r="T19" s="2032"/>
      <c r="U19" s="2032"/>
      <c r="V19" s="2032"/>
    </row>
    <row r="20" spans="1:22" ht="18" customHeight="1">
      <c r="A20" s="2095" t="s">
        <v>1805</v>
      </c>
      <c r="B20" s="3017" t="s">
        <v>1806</v>
      </c>
      <c r="C20" s="3018"/>
      <c r="D20" s="3019" t="s">
        <v>1807</v>
      </c>
      <c r="E20" s="3020"/>
      <c r="F20" s="2096" t="s">
        <v>1808</v>
      </c>
      <c r="G20" s="2045"/>
      <c r="H20" s="2045"/>
      <c r="I20" s="2045"/>
      <c r="J20" s="2045"/>
      <c r="K20" s="3016"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5"/>
      <c r="B21" s="2097" t="s">
        <v>1810</v>
      </c>
      <c r="C21" s="2098" t="s">
        <v>3049</v>
      </c>
      <c r="D21" s="2099"/>
      <c r="E21" s="2100" t="s">
        <v>70</v>
      </c>
      <c r="F21" s="2101"/>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上述权属证件中未登记该抵押权的具体情况（债权数额、期限等）。根据不动产权利人出具的，估价对象已抵押给，权利范围为，权利价值为。</v>
      </c>
      <c r="M21" s="2031"/>
      <c r="N21" s="2084"/>
      <c r="O21" s="2083"/>
      <c r="P21" s="2084"/>
      <c r="Q21" s="2032"/>
      <c r="R21" s="2032"/>
      <c r="S21" s="2032"/>
      <c r="T21" s="2032"/>
      <c r="U21" s="2032"/>
      <c r="V21" s="2032"/>
    </row>
    <row r="22" spans="1:22" ht="24.75" customHeight="1" thickBot="1">
      <c r="A22" s="2095"/>
      <c r="B22" s="2102" t="s">
        <v>1811</v>
      </c>
      <c r="C22" s="2098" t="s">
        <v>1812</v>
      </c>
      <c r="D22" s="2029"/>
      <c r="E22" s="2029"/>
      <c r="F22" s="2103"/>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4"/>
      <c r="O23" s="2083"/>
      <c r="P23" s="2084"/>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4"/>
      <c r="O24" s="2083"/>
      <c r="P24" s="2084"/>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5"/>
      <c r="L25" s="2031"/>
      <c r="M25" s="2031"/>
      <c r="N25" s="2084"/>
      <c r="O25" s="2083"/>
      <c r="P25" s="2084"/>
      <c r="Q25" s="2032"/>
      <c r="R25" s="2032"/>
      <c r="S25" s="2032"/>
      <c r="T25" s="2032"/>
      <c r="U25" s="2032"/>
      <c r="V25" s="2032"/>
    </row>
    <row r="26" spans="1:22" ht="18" customHeight="1" thickBot="1">
      <c r="A26" s="2112"/>
      <c r="B26" s="2113" t="s">
        <v>1817</v>
      </c>
      <c r="C26" s="2114"/>
      <c r="D26" s="2115" t="s">
        <v>1818</v>
      </c>
      <c r="E26" s="2116"/>
      <c r="F26" s="2117"/>
      <c r="G26" s="2063"/>
      <c r="H26" s="2063"/>
      <c r="I26" s="2063"/>
      <c r="J26" s="2045"/>
      <c r="K26" s="2055"/>
      <c r="L26" s="2031"/>
      <c r="M26" s="2031"/>
      <c r="N26" s="2084"/>
      <c r="O26" s="2083"/>
      <c r="P26" s="2084"/>
      <c r="Q26" s="2032"/>
      <c r="R26" s="2032"/>
      <c r="S26" s="2032"/>
      <c r="T26" s="2032"/>
      <c r="U26" s="2032"/>
      <c r="V26" s="2032"/>
    </row>
    <row r="27" spans="1:22" ht="18" customHeight="1" thickTop="1">
      <c r="A27" s="3004" t="s">
        <v>1819</v>
      </c>
      <c r="B27" s="2064" t="s">
        <v>1820</v>
      </c>
      <c r="C27" s="2118" t="s">
        <v>3050</v>
      </c>
      <c r="D27" s="2119"/>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4"/>
      <c r="B28" s="2038" t="s">
        <v>1821</v>
      </c>
      <c r="C28" s="2120" t="s">
        <v>3051</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04"/>
      <c r="B29" s="2038" t="s">
        <v>1822</v>
      </c>
      <c r="C29" s="2123" t="s">
        <v>3048</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5"/>
      <c r="B30" s="2038" t="s">
        <v>1823</v>
      </c>
      <c r="C30" s="3006"/>
      <c r="D30" s="3007"/>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08" t="s">
        <v>1824</v>
      </c>
      <c r="B31" s="2125" t="s">
        <v>3052</v>
      </c>
      <c r="C31" s="2126" t="str">
        <f>IF(B31="现房","成新及维护状况正常否",IF(B31="在建","工程状态是否正常",IF(B31="土地","是否闲置","-")))</f>
        <v>成新及维护状况正常否</v>
      </c>
      <c r="D31" s="2127"/>
      <c r="E31" s="2128"/>
      <c r="F31" s="2045"/>
      <c r="G31" s="2045"/>
      <c r="H31" s="2045"/>
      <c r="I31" s="2045"/>
      <c r="J31" s="2045"/>
      <c r="K31" s="2054"/>
      <c r="L31" s="2031"/>
      <c r="M31" s="2031"/>
      <c r="N31" s="2032"/>
      <c r="O31" s="2033"/>
      <c r="P31" s="2032"/>
      <c r="Q31" s="2032"/>
      <c r="R31" s="2032"/>
      <c r="S31" s="2032"/>
      <c r="T31" s="2032"/>
      <c r="U31" s="2032"/>
      <c r="V31" s="2032"/>
    </row>
    <row r="32" spans="1:22" ht="18" customHeight="1">
      <c r="A32" s="3009"/>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09"/>
      <c r="B33" s="2129"/>
      <c r="C33" s="2070"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1825</v>
      </c>
      <c r="B34" s="2132" t="s">
        <v>3053</v>
      </c>
      <c r="C34" s="2132" t="s">
        <v>3054</v>
      </c>
      <c r="D34" s="2132" t="s">
        <v>3055</v>
      </c>
      <c r="E34" s="2132" t="s">
        <v>3056</v>
      </c>
      <c r="F34" s="2132" t="s">
        <v>3057</v>
      </c>
      <c r="G34" s="2132" t="s">
        <v>3058</v>
      </c>
      <c r="H34" s="2132" t="s">
        <v>3059</v>
      </c>
      <c r="I34" s="2045"/>
      <c r="J34" s="2045"/>
      <c r="K34" s="1798">
        <f>COUNTIF(B34:H34,"——")</f>
        <v>0</v>
      </c>
      <c r="L34" s="2074" t="s">
        <v>1826</v>
      </c>
      <c r="M34" s="2074" t="s">
        <v>1827</v>
      </c>
      <c r="N34" s="2074" t="s">
        <v>1828</v>
      </c>
      <c r="O34" s="2074" t="s">
        <v>1829</v>
      </c>
      <c r="P34" s="2074" t="s">
        <v>1830</v>
      </c>
      <c r="Q34" s="2074" t="s">
        <v>1831</v>
      </c>
      <c r="R34" s="2074" t="s">
        <v>1832</v>
      </c>
      <c r="S34" s="3003" t="s">
        <v>1833</v>
      </c>
      <c r="T34" s="2133" t="str">
        <f>NUMBERSTRING(7-K34,1)&amp;"通"</f>
        <v>七通</v>
      </c>
      <c r="U34" s="2032"/>
      <c r="V34" s="2032"/>
    </row>
    <row r="35" spans="1:22" ht="18" customHeight="1">
      <c r="A35" s="2134"/>
      <c r="B35" s="3010" t="s">
        <v>1834</v>
      </c>
      <c r="C35" s="3010"/>
      <c r="D35" s="3010"/>
      <c r="E35" s="3010"/>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32"/>
      <c r="V35" s="2032"/>
    </row>
    <row r="36" spans="1:22" ht="18" customHeight="1">
      <c r="A36" s="2136"/>
      <c r="B36" s="2135" t="s">
        <v>1835</v>
      </c>
      <c r="C36" s="2135" t="s">
        <v>1836</v>
      </c>
      <c r="D36" s="2135" t="s">
        <v>1837</v>
      </c>
      <c r="E36" s="2135" t="s">
        <v>1838</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1839</v>
      </c>
      <c r="B37" s="2139" t="s">
        <v>269</v>
      </c>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1840</v>
      </c>
      <c r="B38" s="2141" t="s">
        <v>259</v>
      </c>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4" t="s">
        <v>1843</v>
      </c>
      <c r="B42" s="1798" t="s">
        <v>1844</v>
      </c>
      <c r="C42" s="1798" t="s">
        <v>1845</v>
      </c>
      <c r="D42" s="1798" t="s">
        <v>1846</v>
      </c>
      <c r="E42" s="1798" t="s">
        <v>1847</v>
      </c>
      <c r="F42" s="1798" t="s">
        <v>1848</v>
      </c>
      <c r="G42" s="1798" t="s">
        <v>1849</v>
      </c>
      <c r="H42" s="1798" t="s">
        <v>1850</v>
      </c>
      <c r="I42" s="1798" t="s">
        <v>1851</v>
      </c>
      <c r="J42" s="2151" t="s">
        <v>1852</v>
      </c>
      <c r="K42" s="2075" t="s">
        <v>1853</v>
      </c>
      <c r="L42" s="2075" t="s">
        <v>1854</v>
      </c>
      <c r="M42" s="2075" t="s">
        <v>1855</v>
      </c>
      <c r="N42" s="1798" t="s">
        <v>1856</v>
      </c>
      <c r="O42" s="1798" t="s">
        <v>1857</v>
      </c>
      <c r="P42" s="1798" t="s">
        <v>1858</v>
      </c>
      <c r="Q42" s="2074" t="s">
        <v>1859</v>
      </c>
      <c r="R42" s="2074" t="s">
        <v>1860</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1863</v>
      </c>
      <c r="B2" s="11" t="s">
        <v>1864</v>
      </c>
      <c r="C2" s="11" t="s">
        <v>1865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1866</v>
      </c>
      <c r="AZ2" s="1273" t="s">
        <v>1867</v>
      </c>
      <c r="BA2" s="11" t="s">
        <v>1868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4360.21</v>
      </c>
      <c r="B3" s="14">
        <f>IF(C3="否",G5-AT5,G5)</f>
        <v>26146.04</v>
      </c>
      <c r="C3" s="2167" t="s">
        <v>1869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1870</v>
      </c>
      <c r="B5" s="1806"/>
      <c r="C5" s="1806"/>
      <c r="D5" s="1809"/>
      <c r="E5" s="16" t="s">
        <v>1</v>
      </c>
      <c r="F5" s="16">
        <f>SUM(F13:F587)</f>
        <v>0</v>
      </c>
      <c r="G5" s="16">
        <f>SUM(G13:G587)</f>
        <v>26146.04</v>
      </c>
      <c r="H5" s="16">
        <f t="shared" ref="H5:AT5" si="0">SUM(H13:H656)</f>
        <v>26146.04</v>
      </c>
      <c r="I5" s="16">
        <f t="shared" si="0"/>
        <v>21001.03</v>
      </c>
      <c r="J5" s="16">
        <f t="shared" si="0"/>
        <v>0</v>
      </c>
      <c r="K5" s="16">
        <f t="shared" si="0"/>
        <v>5145.01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26146.04</v>
      </c>
      <c r="BA5" s="18">
        <f t="shared" si="1"/>
        <v>26146.04</v>
      </c>
      <c r="BB5" s="18">
        <f t="shared" si="1"/>
        <v>21001.03</v>
      </c>
      <c r="BC5" s="18">
        <f t="shared" si="1"/>
        <v>5145.01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1871</v>
      </c>
      <c r="B6" s="2173"/>
      <c r="C6" s="2173"/>
      <c r="D6" s="2174"/>
      <c r="E6" s="16">
        <f>H6+AC6+AT6</f>
        <v>4360.21</v>
      </c>
      <c r="F6" s="16" t="s">
        <v>1</v>
      </c>
      <c r="G6" s="16" t="s">
        <v>2</v>
      </c>
      <c r="H6" s="20">
        <f>SUMIF(I$12:AB$12,"总值",I6:AB6)</f>
        <v>4360.21</v>
      </c>
      <c r="I6" s="16">
        <f t="shared" ref="I6:AB6" si="2">ROUND($A$3*I5/$B$3,2)</f>
        <v>3502.21</v>
      </c>
      <c r="J6" s="16">
        <f t="shared" si="2"/>
        <v>0</v>
      </c>
      <c r="K6" s="16">
        <f t="shared" si="2"/>
        <v>858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1871</v>
      </c>
      <c r="AW6" s="2173"/>
      <c r="AX6" s="2173"/>
      <c r="AY6" s="21">
        <f>IF(AY3&gt;0,AY3,ROUND($A$3*AZ5/$B$3,2))</f>
        <v>4360.21</v>
      </c>
      <c r="AZ6" s="16" t="s">
        <v>3</v>
      </c>
      <c r="BA6" s="16">
        <f>ROUND($AY$6*BA5/$AZ$5,2)</f>
        <v>4360.21</v>
      </c>
      <c r="BB6" s="16">
        <f>ROUND($AY$6*BB5/$AZ$5,2)</f>
        <v>3502.21</v>
      </c>
      <c r="BC6" s="16">
        <f t="shared" ref="BC6:BH6" si="4">ROUND($AY$6*BC5/$AZ$5,2)</f>
        <v>858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1872</v>
      </c>
      <c r="B7" s="2108" t="s">
        <v>1873</v>
      </c>
      <c r="C7" s="2108" t="s">
        <v>1874</v>
      </c>
      <c r="D7" s="2108" t="s">
        <v>1875</v>
      </c>
      <c r="E7" s="2108" t="s">
        <v>1876</v>
      </c>
      <c r="F7" s="2108"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1879</v>
      </c>
      <c r="AV7" s="23" t="s">
        <v>1880</v>
      </c>
      <c r="AW7" s="2165" t="s">
        <v>1881</v>
      </c>
      <c r="AX7" s="23" t="s">
        <v>1874</v>
      </c>
      <c r="AY7" s="1806"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1883</v>
      </c>
      <c r="H8" s="2183" t="s">
        <v>1884</v>
      </c>
      <c r="I8" s="2184"/>
      <c r="J8" s="1821"/>
      <c r="K8" s="1821"/>
      <c r="L8" s="1821"/>
      <c r="M8" s="1821"/>
      <c r="N8" s="1821"/>
      <c r="O8" s="1821"/>
      <c r="P8" s="1821"/>
      <c r="Q8" s="1821"/>
      <c r="R8" s="1821"/>
      <c r="S8" s="1821"/>
      <c r="T8" s="1821"/>
      <c r="U8" s="1821"/>
      <c r="V8" s="2185"/>
      <c r="W8" s="1821"/>
      <c r="X8" s="1821"/>
      <c r="Y8" s="1821"/>
      <c r="Z8" s="1821"/>
      <c r="AA8" s="2185"/>
      <c r="AB8" s="2186"/>
      <c r="AC8" s="984" t="s">
        <v>1885</v>
      </c>
      <c r="AD8" s="2187"/>
      <c r="AE8" s="2179"/>
      <c r="AF8" s="1821"/>
      <c r="AG8" s="1821"/>
      <c r="AH8" s="1821"/>
      <c r="AI8" s="1821"/>
      <c r="AJ8" s="1821"/>
      <c r="AK8" s="1821"/>
      <c r="AL8" s="1821"/>
      <c r="AM8" s="1821"/>
      <c r="AN8" s="1821"/>
      <c r="AO8" s="1821"/>
      <c r="AP8" s="1821"/>
      <c r="AQ8" s="1821"/>
      <c r="AR8" s="1821"/>
      <c r="AS8" s="1821"/>
      <c r="AT8" s="1295" t="s">
        <v>1886</v>
      </c>
      <c r="AU8" s="2181" t="s">
        <v>1887</v>
      </c>
      <c r="AV8" s="1295"/>
      <c r="AW8" s="2164"/>
      <c r="AX8" s="1295"/>
      <c r="AY8" s="2165"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1890</v>
      </c>
      <c r="I9" s="2190" t="s">
        <v>3064</v>
      </c>
      <c r="J9" s="984"/>
      <c r="K9" s="2190" t="s">
        <v>3066</v>
      </c>
      <c r="L9" s="984"/>
      <c r="M9" s="2190"/>
      <c r="N9" s="984"/>
      <c r="O9" s="2190"/>
      <c r="P9" s="984"/>
      <c r="Q9" s="2190"/>
      <c r="R9" s="984"/>
      <c r="S9" s="2190"/>
      <c r="T9" s="984"/>
      <c r="U9" s="2190"/>
      <c r="V9" s="984"/>
      <c r="W9" s="2190"/>
      <c r="X9" s="2191"/>
      <c r="Y9" s="2190"/>
      <c r="Z9" s="984"/>
      <c r="AA9" s="2190"/>
      <c r="AB9" s="984"/>
      <c r="AC9" s="2182"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2"/>
      <c r="AT9" s="2181"/>
      <c r="AU9" s="2181" t="s">
        <v>1893</v>
      </c>
      <c r="AV9" s="1295"/>
      <c r="AW9" s="2164"/>
      <c r="AX9" s="1295"/>
      <c r="AY9" s="28"/>
      <c r="AZ9" s="28" t="s">
        <v>1883</v>
      </c>
      <c r="BA9" s="2193" t="s">
        <v>1894</v>
      </c>
      <c r="BB9" s="2194"/>
      <c r="BC9" s="1341"/>
      <c r="BD9" s="1341"/>
      <c r="BE9" s="1341"/>
      <c r="BF9" s="1341"/>
      <c r="BG9" s="1341"/>
      <c r="BH9" s="1341"/>
      <c r="BI9" s="1341"/>
      <c r="BJ9" s="1341"/>
      <c r="BK9" s="2195"/>
      <c r="BL9" s="15" t="s">
        <v>1895</v>
      </c>
      <c r="BM9" s="1821"/>
      <c r="BN9" s="2184"/>
      <c r="BO9" s="1821"/>
      <c r="BP9" s="1821"/>
      <c r="BQ9" s="1821"/>
      <c r="BR9" s="1821"/>
      <c r="BS9" s="1821"/>
      <c r="BT9" s="26"/>
    </row>
    <row r="10" spans="1:72" s="2188" customFormat="1" ht="12.75">
      <c r="A10" s="2181"/>
      <c r="B10" s="2181"/>
      <c r="C10" s="2181"/>
      <c r="D10" s="2181"/>
      <c r="E10" s="2181"/>
      <c r="F10" s="2181"/>
      <c r="G10" s="1295"/>
      <c r="H10" s="28"/>
      <c r="I10" s="2190" t="s">
        <v>1373</v>
      </c>
      <c r="J10" s="984"/>
      <c r="K10" s="2196" t="s">
        <v>1373</v>
      </c>
      <c r="L10" s="984"/>
      <c r="M10" s="2196"/>
      <c r="N10" s="984"/>
      <c r="O10" s="2196"/>
      <c r="P10" s="984"/>
      <c r="Q10" s="2196"/>
      <c r="R10" s="984"/>
      <c r="S10" s="2196"/>
      <c r="T10" s="984"/>
      <c r="U10" s="2196"/>
      <c r="V10" s="984"/>
      <c r="W10" s="2196"/>
      <c r="X10" s="984"/>
      <c r="Y10" s="2196"/>
      <c r="Z10" s="984"/>
      <c r="AA10" s="2196"/>
      <c r="AB10" s="984"/>
      <c r="AC10" s="1295"/>
      <c r="AD10" s="15" t="s">
        <v>1896</v>
      </c>
      <c r="AE10" s="2197"/>
      <c r="AF10" s="15" t="s">
        <v>1896</v>
      </c>
      <c r="AG10" s="2197"/>
      <c r="AH10" s="15" t="s">
        <v>1897</v>
      </c>
      <c r="AI10" s="2197"/>
      <c r="AJ10" s="15" t="s">
        <v>1897</v>
      </c>
      <c r="AK10" s="2197"/>
      <c r="AL10" s="15" t="s">
        <v>1898</v>
      </c>
      <c r="AM10" s="1301"/>
      <c r="AN10" s="15" t="s">
        <v>1898</v>
      </c>
      <c r="AO10" s="1301"/>
      <c r="AP10" s="15" t="s">
        <v>1899</v>
      </c>
      <c r="AQ10" s="1301"/>
      <c r="AR10" s="15" t="s">
        <v>1899</v>
      </c>
      <c r="AS10" s="1301"/>
      <c r="AT10" s="2181"/>
      <c r="AU10" s="2181"/>
      <c r="AV10" s="1295"/>
      <c r="AW10" s="2164"/>
      <c r="AX10" s="1295"/>
      <c r="AY10" s="28"/>
      <c r="AZ10" s="28"/>
      <c r="BA10" s="2198" t="s">
        <v>1890</v>
      </c>
      <c r="BB10" s="2199" t="str">
        <f>I9</f>
        <v>地上</v>
      </c>
      <c r="BC10" s="29" t="str">
        <f>K9</f>
        <v>地下</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3065</v>
      </c>
      <c r="J11" s="2202"/>
      <c r="K11" s="2201" t="s">
        <v>3065</v>
      </c>
      <c r="L11" s="2202"/>
      <c r="M11" s="2201"/>
      <c r="N11" s="2202"/>
      <c r="O11" s="2201"/>
      <c r="P11" s="2202"/>
      <c r="Q11" s="2201"/>
      <c r="R11" s="2202"/>
      <c r="S11" s="2201"/>
      <c r="T11" s="2202"/>
      <c r="U11" s="2201"/>
      <c r="V11" s="2202"/>
      <c r="W11" s="2201"/>
      <c r="X11" s="2202"/>
      <c r="Y11" s="2201"/>
      <c r="Z11" s="2202"/>
      <c r="AA11" s="2201"/>
      <c r="AB11" s="2202"/>
      <c r="AC11" s="1295"/>
      <c r="AD11" s="2203" t="s">
        <v>1900</v>
      </c>
      <c r="AE11" s="1822"/>
      <c r="AF11" s="2203" t="s">
        <v>1900</v>
      </c>
      <c r="AG11" s="1822"/>
      <c r="AH11" s="2203" t="s">
        <v>1901</v>
      </c>
      <c r="AI11" s="2204"/>
      <c r="AJ11" s="2203" t="s">
        <v>1901</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8"/>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底商</v>
      </c>
      <c r="BC12" s="2211" t="str">
        <f>K11</f>
        <v>底商</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3047</v>
      </c>
      <c r="E13" s="16">
        <f>IF($C$3="是",ROUND($A$3*G13/$B$3,2),ROUND($A$3*(G13-AT13)/$B$3,2))</f>
        <v>4360.21</v>
      </c>
      <c r="F13" s="32"/>
      <c r="G13" s="33">
        <f>H13+AC13+AT13</f>
        <v>26146.04</v>
      </c>
      <c r="H13" s="20">
        <f>SUMIF(I$12:AB$12,"总值",I13:AB13)</f>
        <v>26146.04</v>
      </c>
      <c r="I13" s="2213">
        <f>信息!B2+信息!B3+信息!B4</f>
        <v>21001.03</v>
      </c>
      <c r="J13" s="2213"/>
      <c r="K13" s="2213">
        <f>信息!B5</f>
        <v>5145.01</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4360.21</v>
      </c>
      <c r="AZ13" s="16">
        <f>BA13+BL13</f>
        <v>26146.04</v>
      </c>
      <c r="BA13" s="16">
        <f>SUM(BB13:BK13)</f>
        <v>26146.04</v>
      </c>
      <c r="BB13" s="16">
        <f>IF($D13="是",I13-J13,0)</f>
        <v>21001.03</v>
      </c>
      <c r="BC13" s="16">
        <f>IF($D13="是",K13-L13,0)</f>
        <v>5145.01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sqref="A1:I3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1929</v>
      </c>
      <c r="B1" s="1395"/>
      <c r="C1" s="1395"/>
      <c r="D1" s="1395"/>
      <c r="E1" s="1395"/>
      <c r="F1" s="1395"/>
      <c r="G1" s="1395"/>
      <c r="H1" s="1395"/>
      <c r="I1" s="1395"/>
      <c r="J1" s="1395"/>
      <c r="K1" s="1395"/>
      <c r="L1" s="1395"/>
      <c r="M1" s="1395"/>
      <c r="N1" s="1395"/>
      <c r="O1" s="1395"/>
      <c r="P1" s="1395"/>
    </row>
    <row r="2" spans="1:16" ht="15">
      <c r="A2" s="3044" t="s">
        <v>1930</v>
      </c>
      <c r="B2" s="3044"/>
      <c r="C2" s="3044"/>
      <c r="D2" s="970" t="s">
        <v>1906</v>
      </c>
      <c r="E2" s="2226" t="s">
        <v>1907</v>
      </c>
      <c r="F2" s="1395"/>
      <c r="G2" s="2227"/>
      <c r="H2" s="2228"/>
      <c r="I2" s="2229" t="s">
        <v>1931</v>
      </c>
      <c r="J2" s="1395"/>
      <c r="K2" s="1395"/>
      <c r="L2" s="1395"/>
      <c r="M2" s="1395"/>
      <c r="N2" s="1430"/>
      <c r="O2" s="1395"/>
      <c r="P2" s="1395"/>
    </row>
    <row r="3" spans="1:16" ht="15.75" thickBot="1">
      <c r="A3" s="3045" t="s">
        <v>1904</v>
      </c>
      <c r="B3" s="3045"/>
      <c r="C3" s="3045"/>
      <c r="D3" s="46">
        <f>'数据-基础表'!AY6</f>
        <v>4360.21</v>
      </c>
      <c r="E3" s="46">
        <f>'数据-基础表'!AZ5</f>
        <v>26146.04</v>
      </c>
      <c r="F3" s="1395"/>
      <c r="G3" s="1402"/>
      <c r="H3" s="1250" t="s">
        <v>1905</v>
      </c>
      <c r="I3" s="55">
        <f>ROUND('数据-基础表'!B3/'数据-基础表'!A3,2)</f>
        <v>6</v>
      </c>
      <c r="J3" s="1395"/>
      <c r="K3" s="1395"/>
      <c r="L3" s="1395"/>
      <c r="M3" s="1395"/>
      <c r="N3" s="1430"/>
      <c r="O3" s="1395"/>
      <c r="P3" s="1395"/>
    </row>
    <row r="4" spans="1:16" ht="15">
      <c r="A4" s="3046"/>
      <c r="B4" s="3047"/>
      <c r="C4" s="3048"/>
      <c r="D4" s="2230" t="s">
        <v>1906</v>
      </c>
      <c r="E4" s="2231" t="s">
        <v>1907</v>
      </c>
      <c r="F4" s="1395"/>
      <c r="G4" s="2232" t="s">
        <v>1932</v>
      </c>
      <c r="H4" s="1250" t="s">
        <v>1912</v>
      </c>
      <c r="I4" s="55">
        <f>ROUND(SUMIF('数据-基础表'!I9:AS9,"地上",'数据-基础表'!I5:AS5)/'数据-基础表'!A3,2)</f>
        <v>4.82</v>
      </c>
      <c r="J4" s="1395"/>
      <c r="K4" s="1395"/>
      <c r="L4" s="1395"/>
      <c r="M4" s="1395"/>
      <c r="N4" s="1430"/>
      <c r="O4" s="1395"/>
      <c r="P4" s="1395"/>
    </row>
    <row r="5" spans="1:16">
      <c r="A5" s="47" t="s">
        <v>1908</v>
      </c>
      <c r="B5" s="3049" t="s">
        <v>1909</v>
      </c>
      <c r="C5" s="3049"/>
      <c r="D5" s="48">
        <f>ROUND($D$3*E5/$E$3,2)</f>
        <v>0</v>
      </c>
      <c r="E5" s="49">
        <f>SUMIF('数据-基础表'!$11:$11,"住宅",'数据-基础表'!$5:$5)</f>
        <v>0</v>
      </c>
      <c r="F5" s="1395"/>
      <c r="G5" s="1402"/>
      <c r="H5" s="1250" t="s">
        <v>1905</v>
      </c>
      <c r="I5" s="55">
        <f>ROUND(E31/D31,2)</f>
        <v>6</v>
      </c>
      <c r="J5" s="1395"/>
      <c r="K5" s="1395"/>
      <c r="L5" s="1395"/>
      <c r="M5" s="1395"/>
      <c r="N5" s="1395"/>
      <c r="O5" s="1395"/>
      <c r="P5" s="1395"/>
    </row>
    <row r="6" spans="1:16" ht="15" thickBot="1">
      <c r="A6" s="2233"/>
      <c r="B6" s="3049" t="s">
        <v>1910</v>
      </c>
      <c r="C6" s="3049"/>
      <c r="D6" s="48">
        <f>ROUND($D$3*E6/$E$3,2)</f>
        <v>4360.21</v>
      </c>
      <c r="E6" s="49">
        <f>E3-E5</f>
        <v>26146.04</v>
      </c>
      <c r="F6" s="1395"/>
      <c r="G6" s="2234" t="s">
        <v>1911</v>
      </c>
      <c r="H6" s="1402" t="s">
        <v>1912</v>
      </c>
      <c r="I6" s="942">
        <f>ROUND(F31/D31,2)</f>
        <v>4.82</v>
      </c>
      <c r="J6" s="1395"/>
      <c r="K6" s="1395"/>
      <c r="L6" s="1395"/>
      <c r="M6" s="1395"/>
      <c r="N6" s="1395"/>
      <c r="O6" s="1395"/>
      <c r="P6" s="1395"/>
    </row>
    <row r="7" spans="1:16" ht="15">
      <c r="A7" s="3041"/>
      <c r="B7" s="3042"/>
      <c r="C7" s="3043"/>
      <c r="D7" s="2230" t="s">
        <v>1906</v>
      </c>
      <c r="E7" s="2235" t="s">
        <v>1913</v>
      </c>
      <c r="F7" s="1395"/>
      <c r="G7" s="2227" t="s">
        <v>1914</v>
      </c>
      <c r="H7" s="64"/>
      <c r="I7" s="420"/>
      <c r="J7" s="1395"/>
      <c r="K7" s="1395"/>
      <c r="L7" s="1395"/>
      <c r="M7" s="1395"/>
      <c r="N7" s="1395"/>
      <c r="O7" s="1395"/>
      <c r="P7" s="1395"/>
    </row>
    <row r="8" spans="1:16">
      <c r="A8" s="47" t="s">
        <v>1915</v>
      </c>
      <c r="B8" s="50" t="s">
        <v>1916</v>
      </c>
      <c r="C8" s="48" t="s">
        <v>1917</v>
      </c>
      <c r="D8" s="48">
        <f t="shared" ref="D8:D15" si="0">ROUND($D$3*E8/$E$3,2)</f>
        <v>3502.21</v>
      </c>
      <c r="E8" s="51">
        <f>SUMIF('数据-基础表'!BB10:BK10,"地上",'数据-基础表'!BB5:BK5)</f>
        <v>21001.03</v>
      </c>
      <c r="F8" s="1395"/>
      <c r="G8" s="2236"/>
      <c r="H8" s="2236"/>
      <c r="I8" s="1395"/>
      <c r="J8" s="1395"/>
      <c r="K8" s="1395"/>
      <c r="L8" s="1395"/>
      <c r="M8" s="1395"/>
      <c r="N8" s="1395"/>
      <c r="O8" s="1395"/>
      <c r="P8" s="1395"/>
    </row>
    <row r="9" spans="1:16">
      <c r="A9" s="2237"/>
      <c r="B9" s="2238"/>
      <c r="C9" s="48" t="s">
        <v>1918</v>
      </c>
      <c r="D9" s="48">
        <f t="shared" si="0"/>
        <v>0</v>
      </c>
      <c r="E9" s="52">
        <v>0</v>
      </c>
      <c r="F9" s="1395"/>
      <c r="G9" s="2236"/>
      <c r="H9" s="2236"/>
      <c r="I9" s="1395"/>
      <c r="J9" s="1395"/>
      <c r="K9" s="1395"/>
      <c r="L9" s="1395"/>
      <c r="M9" s="1395"/>
      <c r="N9" s="1395"/>
      <c r="O9" s="1395"/>
      <c r="P9" s="1395"/>
    </row>
    <row r="10" spans="1:16">
      <c r="A10" s="2237"/>
      <c r="B10" s="2238"/>
      <c r="C10" s="48" t="s">
        <v>1927</v>
      </c>
      <c r="D10" s="48">
        <f t="shared" si="0"/>
        <v>858</v>
      </c>
      <c r="E10" s="51">
        <f>SUMPRODUCT(('数据-基础表'!BB10:BK10="地下")*('数据-基础表'!BB11:BK11="商业")*('数据-基础表'!BB5:BK5))</f>
        <v>5145.01</v>
      </c>
      <c r="F10" s="1395"/>
      <c r="G10" s="2236"/>
      <c r="H10" s="2236"/>
      <c r="I10" s="1395"/>
      <c r="J10" s="1395"/>
      <c r="K10" s="1395"/>
      <c r="L10" s="1395"/>
      <c r="M10" s="1395"/>
      <c r="N10" s="1395"/>
      <c r="O10" s="1395"/>
      <c r="P10" s="1395"/>
    </row>
    <row r="11" spans="1:16">
      <c r="A11" s="2237"/>
      <c r="B11" s="2238"/>
      <c r="C11" s="48" t="s">
        <v>1919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1928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1922</v>
      </c>
      <c r="D16" s="50">
        <f>SUM(D8:D15)</f>
        <v>4360.21</v>
      </c>
      <c r="E16" s="53">
        <f>SUM(E8:E15)</f>
        <v>26146.04</v>
      </c>
      <c r="F16" s="1395"/>
      <c r="G16" s="2236"/>
      <c r="H16" s="2239" t="s">
        <v>1934</v>
      </c>
      <c r="I16" s="2240"/>
      <c r="J16" s="1395"/>
      <c r="K16" s="3038" t="s">
        <v>1934</v>
      </c>
      <c r="L16" s="3039"/>
      <c r="M16" s="3039"/>
      <c r="N16" s="3039"/>
      <c r="O16" s="3039"/>
      <c r="P16" s="3040"/>
    </row>
    <row r="17" spans="1:19" ht="15">
      <c r="A17" s="2241" t="s">
        <v>1935</v>
      </c>
      <c r="B17" s="2242" t="s">
        <v>1936</v>
      </c>
      <c r="C17" s="2243" t="s">
        <v>1937</v>
      </c>
      <c r="D17" s="2244" t="s">
        <v>1925</v>
      </c>
      <c r="E17" s="2245" t="s">
        <v>1926</v>
      </c>
      <c r="F17" s="2246"/>
      <c r="G17" s="2247"/>
      <c r="H17" s="2248" t="s">
        <v>1938</v>
      </c>
      <c r="I17" s="2249" t="s">
        <v>1923</v>
      </c>
      <c r="J17" s="1395"/>
      <c r="K17" s="3035" t="s">
        <v>1939</v>
      </c>
      <c r="L17" s="3036"/>
      <c r="M17" s="3037"/>
      <c r="N17" s="3035" t="s">
        <v>1940</v>
      </c>
      <c r="O17" s="3036"/>
      <c r="P17" s="3037"/>
      <c r="R17" s="2227" t="s">
        <v>1941</v>
      </c>
      <c r="S17" s="64"/>
    </row>
    <row r="18" spans="1:19" ht="15">
      <c r="A18" s="2237"/>
      <c r="B18" s="2250"/>
      <c r="C18" s="2251"/>
      <c r="D18" s="2252"/>
      <c r="E18" s="2253" t="s">
        <v>1942</v>
      </c>
      <c r="F18" s="2254" t="s">
        <v>1943</v>
      </c>
      <c r="G18" s="2255" t="s">
        <v>1944</v>
      </c>
      <c r="H18" s="1265" t="s">
        <v>1945</v>
      </c>
      <c r="I18" s="2256" t="s">
        <v>1946</v>
      </c>
      <c r="J18" s="1395"/>
      <c r="K18" s="1265" t="s">
        <v>1947</v>
      </c>
      <c r="L18" s="2257" t="s">
        <v>1948</v>
      </c>
      <c r="M18" s="1049" t="s">
        <v>1949</v>
      </c>
      <c r="N18" s="1265" t="s">
        <v>1947</v>
      </c>
      <c r="O18" s="2257" t="s">
        <v>1948</v>
      </c>
      <c r="P18" s="1049" t="s">
        <v>1949</v>
      </c>
      <c r="R18" s="1250" t="s">
        <v>1950</v>
      </c>
      <c r="S18" s="1250" t="s">
        <v>1951</v>
      </c>
    </row>
    <row r="19" spans="1:19">
      <c r="A19" s="2258"/>
      <c r="B19" s="50" t="s">
        <v>1924</v>
      </c>
      <c r="C19" s="2945" t="s">
        <v>3067</v>
      </c>
      <c r="D19" s="48">
        <f>ROUND($D$3*E19/$E$3,2)</f>
        <v>4360.21</v>
      </c>
      <c r="E19" s="56">
        <f t="shared" ref="E19:E26" si="1">SUM(F19:G19)</f>
        <v>26146.04</v>
      </c>
      <c r="F19" s="57">
        <f>'数据-基础表'!I13</f>
        <v>21001.03</v>
      </c>
      <c r="G19" s="58">
        <f>'数据-基础表'!K13</f>
        <v>5145.01</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4360.21</v>
      </c>
      <c r="S19" s="1251">
        <f t="shared" si="5"/>
        <v>26146.04</v>
      </c>
    </row>
    <row r="20" spans="1:19">
      <c r="A20" s="2262"/>
      <c r="B20" s="50" t="s">
        <v>1952</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1953</v>
      </c>
      <c r="D27" s="1396">
        <f>SUM(D19:D26)</f>
        <v>4360.21</v>
      </c>
      <c r="E27" s="1397">
        <f>IF(SUM(E19:E26)='数据-基础表'!BA5,SUM(E19:E26),IF(F27="地上面积有误","面积有误","地下面积有误"))</f>
        <v>26146.04</v>
      </c>
      <c r="F27" s="1396">
        <f>IF(SUM(F19:F26)=E8,SUM(F19:F26),"地上面积有误")</f>
        <v>21001.03</v>
      </c>
      <c r="G27" s="1398">
        <f>SUM(G19:G26)</f>
        <v>5145.01</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4360.21</v>
      </c>
      <c r="S27" s="1250">
        <f>IF(SUM(S19:S26)=$E$3,SUM(S19:S26),SUM(S19:S26)&amp;"误差"&amp;ROUND(SUM(S19:S26)-E3,2))</f>
        <v>26146.04</v>
      </c>
    </row>
    <row r="28" spans="1:19">
      <c r="A28" s="2262"/>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1954</v>
      </c>
      <c r="C29" s="2266"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1957</v>
      </c>
      <c r="D31" s="729">
        <f>D27+D30</f>
        <v>4360.21</v>
      </c>
      <c r="E31" s="729">
        <f>E27+E30</f>
        <v>26146.04</v>
      </c>
      <c r="F31" s="730">
        <f>F27+F30</f>
        <v>21001.03</v>
      </c>
      <c r="G31" s="731">
        <f>G27+G30</f>
        <v>5145.01</v>
      </c>
      <c r="H31" s="1395"/>
      <c r="I31" s="1395"/>
      <c r="J31" s="1395"/>
      <c r="K31" s="1395"/>
      <c r="L31" s="1395"/>
      <c r="M31" s="1395"/>
      <c r="N31" s="1395"/>
      <c r="O31" s="1395"/>
      <c r="P31" s="1395"/>
    </row>
    <row r="32" spans="1:19">
      <c r="A32" s="2232"/>
      <c r="B32" s="2232" t="s">
        <v>1958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33"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1960</v>
      </c>
      <c r="B2" s="1269">
        <f>项目基本情况!D3</f>
        <v>43485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1967</v>
      </c>
      <c r="B5" s="2289" t="s">
        <v>1968</v>
      </c>
      <c r="C5" s="2290" t="s">
        <v>1969</v>
      </c>
      <c r="D5" s="2291" t="s">
        <v>1970</v>
      </c>
      <c r="E5" s="1271" t="s">
        <v>1971</v>
      </c>
      <c r="F5" s="2292" t="s">
        <v>1972</v>
      </c>
      <c r="G5" s="1271" t="s">
        <v>1973</v>
      </c>
      <c r="H5" s="1271" t="s">
        <v>1974</v>
      </c>
      <c r="I5" s="1271" t="s">
        <v>1975</v>
      </c>
      <c r="J5" s="2293" t="s">
        <v>1976</v>
      </c>
      <c r="K5" s="2294" t="s">
        <v>1977</v>
      </c>
      <c r="L5" s="2295" t="s">
        <v>1978</v>
      </c>
      <c r="M5" s="2296" t="s">
        <v>1979</v>
      </c>
      <c r="N5" s="2297" t="s">
        <v>3073</v>
      </c>
      <c r="O5" s="2295" t="s">
        <v>1980</v>
      </c>
      <c r="P5" s="2298" t="s">
        <v>1981</v>
      </c>
      <c r="Q5" s="69" t="s">
        <v>1982</v>
      </c>
      <c r="R5" s="2299" t="s">
        <v>1983</v>
      </c>
      <c r="S5" s="2300" t="s">
        <v>1984</v>
      </c>
      <c r="T5" s="2301" t="s">
        <v>1985</v>
      </c>
      <c r="U5" s="1270" t="s">
        <v>1986</v>
      </c>
      <c r="V5" s="1271" t="s">
        <v>1987</v>
      </c>
      <c r="W5" s="1271" t="s">
        <v>1988</v>
      </c>
      <c r="X5" s="71"/>
      <c r="Y5" s="70" t="s">
        <v>1989</v>
      </c>
      <c r="Z5" s="2302" t="s">
        <v>1986</v>
      </c>
      <c r="AA5" s="1271" t="s">
        <v>1987</v>
      </c>
      <c r="AB5" s="1271" t="s">
        <v>1988</v>
      </c>
      <c r="AC5" s="71"/>
      <c r="AD5" s="71" t="s">
        <v>1989</v>
      </c>
      <c r="AE5" s="1270" t="s">
        <v>1990</v>
      </c>
      <c r="AF5" s="1271" t="s">
        <v>1991</v>
      </c>
      <c r="AG5" s="70" t="s">
        <v>1992</v>
      </c>
      <c r="AH5" s="1270" t="s">
        <v>1993</v>
      </c>
      <c r="AI5" s="2302" t="s">
        <v>1994</v>
      </c>
      <c r="AJ5" s="2302" t="s">
        <v>1995</v>
      </c>
      <c r="AK5" s="1271" t="s">
        <v>1996</v>
      </c>
      <c r="AL5" s="1271" t="s">
        <v>1997</v>
      </c>
      <c r="AM5" s="70" t="s">
        <v>1998</v>
      </c>
      <c r="AN5" s="2303" t="s">
        <v>1999</v>
      </c>
      <c r="AO5" s="2074" t="s">
        <v>2000</v>
      </c>
      <c r="AP5" s="1252" t="s">
        <v>2001</v>
      </c>
      <c r="AQ5" s="2304" t="s">
        <v>2002</v>
      </c>
      <c r="AR5" s="2304" t="s">
        <v>2003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商业</v>
      </c>
      <c r="B6" s="2306" t="str">
        <f>IF(A6=0,"","经营性")</f>
        <v>经营性</v>
      </c>
      <c r="C6" s="2307" t="s">
        <v>1373</v>
      </c>
      <c r="D6" s="1054">
        <f>SUMIF(项目基本情况!D$12:I$12,C6,项目基本情况!D$14:I$14)</f>
        <v>40</v>
      </c>
      <c r="E6" s="1051">
        <f>IF(B6="","",SUMIF(项目基本情况!D$12:I$12,C6,项目基本情况!D$13:I$13))</f>
        <v>52930</v>
      </c>
      <c r="F6" s="72">
        <f>SUMIF(项目基本情况!D$12:I$12,C6,项目基本情况!D$15:I$15)</f>
        <v>25.87</v>
      </c>
      <c r="G6" s="73">
        <f t="shared" ref="G6:G13" ca="1" si="0">IF(ISERROR(ROUND(POWER(1+H6,D6-F6)*(POWER(1+H6,F6)-1)/(POWER(1+H6,D6)-1),3)),0,ROUND(POWER(1+H6,D6-F6)*(POWER(1+H6,F6)-1)/(POWER(1+H6,D6)-1),3))</f>
        <v>0.84699999999999998</v>
      </c>
      <c r="H6" s="802">
        <f ca="1">基准地价修正!G20</f>
        <v>5.3999999999999999E-2</v>
      </c>
      <c r="I6" s="802">
        <v>5.5E-2</v>
      </c>
      <c r="J6" s="74">
        <v>8.5000000000000006E-2</v>
      </c>
      <c r="K6" s="1254">
        <f>SUMIF('数据-汇总表'!C$19:C$33,A6,'数据-汇总表'!E$19:E$33)</f>
        <v>26146.04</v>
      </c>
      <c r="L6" s="803">
        <v>2500</v>
      </c>
      <c r="M6" s="75">
        <f t="shared" ref="M6:M14" si="1">ROUND(K6*L6/10000,0)</f>
        <v>6537</v>
      </c>
      <c r="N6" s="801">
        <f>ROUND((60-(2019-2002))/60,2)</f>
        <v>0.72</v>
      </c>
      <c r="O6" s="75" t="str">
        <f>IF($N$5="成新度","——",ROUND(M6*N6,0))</f>
        <v>——</v>
      </c>
      <c r="P6" s="76" t="str">
        <f>IF($N$5="成新度","——",M6-O6)</f>
        <v>——</v>
      </c>
      <c r="Q6" s="804">
        <v>0.15</v>
      </c>
      <c r="R6" s="77">
        <f ca="1">SUMIF('数据-汇总表'!C$19:C$33,A6,'数据-汇总表'!R$19:R$27)</f>
        <v>4360.21</v>
      </c>
      <c r="S6" s="54">
        <f>IF('数据-汇总表'!$I$17="按面积比例",SUMIF('数据-汇总表'!C$19:C$33,A6,'数据-汇总表'!K$19:K$33),SUMIF('数据-汇总表'!C$19:C$33,A6,'数据-汇总表'!N$19:N$33))</f>
        <v>0</v>
      </c>
      <c r="T6" s="1446">
        <f>ROUND($L$14*S6/10000,0)</f>
        <v>0</v>
      </c>
      <c r="U6" s="78">
        <f>信息!C8</f>
        <v>5.35</v>
      </c>
      <c r="V6" s="79">
        <v>0.03</v>
      </c>
      <c r="W6" s="79">
        <v>0.1</v>
      </c>
      <c r="X6" s="1264"/>
      <c r="Y6" s="80">
        <f>N6</f>
        <v>0.72</v>
      </c>
      <c r="Z6" s="81"/>
      <c r="AA6" s="74"/>
      <c r="AB6" s="74"/>
      <c r="AC6" s="1264"/>
      <c r="AD6" s="82"/>
      <c r="AE6" s="1265">
        <f ca="1">IF(AN6="",0,SUMIF(INDIRECT("'"&amp;AN6&amp;"'"&amp;"!E:E"),$AE$5,INDIRECT("'"&amp;AN6&amp;"'"&amp;"!F:F")))</f>
        <v>25.87</v>
      </c>
      <c r="AF6" s="1807"/>
      <c r="AG6" s="147">
        <f>IF(AF6="",0,AE6-AF6)</f>
        <v>0</v>
      </c>
      <c r="AH6" s="83"/>
      <c r="AI6" s="85">
        <v>365</v>
      </c>
      <c r="AJ6" s="86"/>
      <c r="AK6" s="87">
        <v>1.4999999999999999E-2</v>
      </c>
      <c r="AL6" s="88">
        <v>1.5E-3</v>
      </c>
      <c r="AM6" s="89">
        <v>0.02</v>
      </c>
      <c r="AN6" s="2308" t="s">
        <v>3084</v>
      </c>
      <c r="AO6" s="55">
        <f ca="1">SUMIF(INDIRECT("'"&amp;AN6&amp;"'"&amp;"!A:A"),"总价",INDIRECT("'"&amp;AN6&amp;"'"&amp;"!B:B"))</f>
        <v>65533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2">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si="0"/>
        <v>0</v>
      </c>
      <c r="H7" s="802"/>
      <c r="I7" s="802"/>
      <c r="J7" s="74"/>
      <c r="K7" s="1254">
        <f>SUMIF('数据-汇总表'!C$19:C$33,A7,'数据-汇总表'!E$19:E$33)</f>
        <v>0</v>
      </c>
      <c r="L7" s="803"/>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2004</v>
      </c>
      <c r="B14" s="2306" t="s">
        <v>2005</v>
      </c>
      <c r="C14" s="2311" t="s">
        <v>2004</v>
      </c>
      <c r="D14" s="1054"/>
      <c r="E14" s="1051"/>
      <c r="F14" s="72"/>
      <c r="G14" s="73"/>
      <c r="H14" s="1253"/>
      <c r="I14" s="1253"/>
      <c r="J14" s="1253"/>
      <c r="K14" s="1254">
        <f>SUMIF('数据-汇总表'!C$19:C$33,A14,'数据-汇总表'!E$19:E$33)</f>
        <v>0</v>
      </c>
      <c r="L14" s="91"/>
      <c r="M14" s="75">
        <f t="shared" si="1"/>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2006</v>
      </c>
      <c r="B15" s="2306" t="s">
        <v>2005</v>
      </c>
      <c r="C15" s="2311"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2008</v>
      </c>
      <c r="B16" s="97"/>
      <c r="C16" s="1008"/>
      <c r="D16" s="2313"/>
      <c r="E16" s="97"/>
      <c r="F16" s="97"/>
      <c r="G16" s="98">
        <f ca="1">ROUND(SUMPRODUCT(G6:G13,K6:K13)/SUMPRODUCT((G6:G13&gt;0)*(K6:K13)),3)</f>
        <v>0.84699999999999998</v>
      </c>
      <c r="H16" s="99">
        <f ca="1">ROUND(SUMPRODUCT(H6:H13,K6:K13)/SUMPRODUCT((H6:H13&gt;0)*(K6:K13)),3)</f>
        <v>5.3999999999999999E-2</v>
      </c>
      <c r="I16" s="100"/>
      <c r="J16" s="100"/>
      <c r="K16" s="101">
        <f>SUM(K6:K15)</f>
        <v>26146.04</v>
      </c>
      <c r="L16" s="102">
        <f>ROUND(M16*10000/SUM(K6:K14),0)</f>
        <v>2500</v>
      </c>
      <c r="M16" s="102">
        <f>SUM(M6:M14)</f>
        <v>6537</v>
      </c>
      <c r="N16" s="103">
        <f>ROUND(SUMPRODUCT(M6:M14,N6:N14)/M16,3)</f>
        <v>0.72</v>
      </c>
      <c r="O16" s="102">
        <f>SUM(O6:O14)</f>
        <v>0</v>
      </c>
      <c r="P16" s="102">
        <f>SUM(P6:P14)</f>
        <v>0</v>
      </c>
      <c r="Q16" s="104">
        <f>ROUND(SUMPRODUCT(Q6:Q13,K6:K13)/SUMPRODUCT((Q6:Q13&gt;0)*(K6:K13)),2)</f>
        <v>0.15</v>
      </c>
      <c r="R16" s="1258">
        <f ca="1">SUM(R6:R13)</f>
        <v>4360.21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2010</v>
      </c>
      <c r="B19" s="112">
        <v>0</v>
      </c>
      <c r="C19" s="2276" t="s">
        <v>2011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2012</v>
      </c>
      <c r="B20" s="113">
        <v>2</v>
      </c>
      <c r="C20" s="2276" t="s">
        <v>2013</v>
      </c>
      <c r="D20" s="2277"/>
      <c r="E20" s="2276"/>
      <c r="F20" s="2276"/>
      <c r="G20" s="2276"/>
      <c r="H20" s="2276"/>
      <c r="I20" s="2276"/>
      <c r="J20" s="2276"/>
      <c r="K20" s="168"/>
      <c r="L20" s="2948"/>
      <c r="M20" s="2946"/>
      <c r="N20" s="2947"/>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2014</v>
      </c>
      <c r="B21" s="113">
        <v>2</v>
      </c>
      <c r="C21" s="2276"/>
      <c r="D21" s="2277"/>
      <c r="E21" s="2276"/>
      <c r="F21" s="2276"/>
      <c r="G21" s="2276"/>
      <c r="H21" s="2276"/>
      <c r="I21" s="2276"/>
      <c r="J21" s="2276"/>
      <c r="K21" s="168"/>
      <c r="L21" s="2948"/>
      <c r="M21" s="2946"/>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2015</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2016</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2018</v>
      </c>
      <c r="B26" s="2319" t="s">
        <v>2019</v>
      </c>
      <c r="C26" s="2320" t="s">
        <v>2020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2021</v>
      </c>
      <c r="B27" s="116">
        <v>160</v>
      </c>
      <c r="C27" s="1767" t="s">
        <v>2022</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2023</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2024</v>
      </c>
      <c r="B29" s="121">
        <f ca="1">成本法!C10</f>
        <v>523</v>
      </c>
      <c r="C29" s="1767" t="s">
        <v>2025</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2026</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2027</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2028</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2029</v>
      </c>
      <c r="B33" s="726">
        <v>0.03</v>
      </c>
      <c r="C33" s="1766" t="s">
        <v>2030</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2031</v>
      </c>
      <c r="B34" s="122">
        <v>0</v>
      </c>
      <c r="C34" s="1766" t="s">
        <v>2032</v>
      </c>
      <c r="D34" s="2277" t="s">
        <v>2033</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2034</v>
      </c>
      <c r="B35" s="119">
        <v>200</v>
      </c>
      <c r="C35" s="1766" t="s">
        <v>2035</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2036</v>
      </c>
      <c r="B36" s="123">
        <v>1.4999999999999999E-2</v>
      </c>
      <c r="C36" s="1766" t="s">
        <v>2037</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2038</v>
      </c>
      <c r="B37" s="124">
        <v>0.02</v>
      </c>
      <c r="C37" s="1766" t="s">
        <v>2039</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2040</v>
      </c>
      <c r="B38" s="122">
        <v>0.02</v>
      </c>
      <c r="C38" s="1766" t="s">
        <v>2039</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2041</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2042</v>
      </c>
      <c r="B40" s="1303">
        <f ca="1">存贷款利率!G1</f>
        <v>4.7500000000000001E-2</v>
      </c>
      <c r="C40" s="1766" t="s">
        <v>2043</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2044</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2045</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2046</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2047</v>
      </c>
      <c r="B44" s="128">
        <v>7.0000000000000007E-2</v>
      </c>
      <c r="C44" s="1766" t="s">
        <v>2048</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2049</v>
      </c>
      <c r="B45" s="126">
        <v>0.03</v>
      </c>
      <c r="C45" s="1767" t="s">
        <v>2050</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2051</v>
      </c>
      <c r="B46" s="126">
        <v>0.02</v>
      </c>
      <c r="C46" s="1767" t="s">
        <v>2052</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2053</v>
      </c>
      <c r="B47" s="129"/>
      <c r="C47" s="1767"/>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2054</v>
      </c>
      <c r="B48" s="130">
        <v>0.03</v>
      </c>
      <c r="C48" s="1774" t="s">
        <v>2055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2056</v>
      </c>
      <c r="B49" s="126">
        <v>5.0000000000000001E-4</v>
      </c>
      <c r="C49" s="1774" t="s">
        <v>2057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2058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2059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2060</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2061</v>
      </c>
      <c r="B53" s="2335" t="s">
        <v>269</v>
      </c>
      <c r="C53" s="1430" t="s">
        <v>2062</v>
      </c>
      <c r="D53" s="2336" t="s">
        <v>2063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2065</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2067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2068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2069</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0" t="s">
        <v>2074</v>
      </c>
      <c r="B1" s="3051"/>
      <c r="C1" s="3051"/>
      <c r="D1" s="3051"/>
      <c r="E1" s="3051"/>
      <c r="F1" s="3051"/>
      <c r="G1" s="305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27">
      <c r="A3" s="415" t="s">
        <v>2077</v>
      </c>
      <c r="B3" s="1271" t="s">
        <v>2078</v>
      </c>
      <c r="C3" s="2949" t="s">
        <v>3076</v>
      </c>
      <c r="D3" s="2369"/>
      <c r="E3" s="431" t="s">
        <v>2077</v>
      </c>
      <c r="F3" s="2370" t="s">
        <v>2079</v>
      </c>
      <c r="G3" s="2371"/>
      <c r="H3" s="2367"/>
      <c r="I3" s="2367"/>
      <c r="J3" s="2367"/>
      <c r="K3" s="2367"/>
      <c r="L3" s="2367"/>
      <c r="M3" s="2367"/>
      <c r="N3" s="2367"/>
      <c r="O3" s="2367"/>
      <c r="P3" s="2367"/>
      <c r="Q3" s="2367"/>
      <c r="R3" s="2367"/>
    </row>
    <row r="4" spans="1:29" ht="15">
      <c r="A4" s="431"/>
      <c r="B4" s="1798" t="s">
        <v>2080</v>
      </c>
      <c r="C4" s="2950" t="s">
        <v>3077</v>
      </c>
      <c r="D4" s="2369"/>
      <c r="E4" s="2373"/>
      <c r="F4" s="42" t="s">
        <v>2081</v>
      </c>
      <c r="G4" s="2374"/>
      <c r="H4" s="2367"/>
      <c r="I4" s="2367"/>
      <c r="J4" s="2367"/>
      <c r="K4" s="2367"/>
      <c r="L4" s="2367"/>
      <c r="M4" s="2367"/>
      <c r="N4" s="2367"/>
      <c r="O4" s="2367"/>
      <c r="P4" s="2367"/>
      <c r="Q4" s="2367"/>
      <c r="R4" s="2367"/>
    </row>
    <row r="5" spans="1:29" ht="15">
      <c r="A5" s="431"/>
      <c r="B5" s="1798" t="s">
        <v>2082</v>
      </c>
      <c r="C5" s="2372"/>
      <c r="D5" s="2369"/>
      <c r="E5" s="2373"/>
      <c r="F5" s="1798" t="s">
        <v>2083</v>
      </c>
      <c r="G5" s="2374"/>
      <c r="H5" s="2367"/>
      <c r="I5" s="2367"/>
      <c r="J5" s="2367"/>
      <c r="K5" s="2367"/>
      <c r="L5" s="2367"/>
      <c r="M5" s="2367"/>
      <c r="N5" s="2367"/>
      <c r="O5" s="2367"/>
      <c r="P5" s="2367"/>
      <c r="Q5" s="2367"/>
      <c r="R5" s="2367"/>
    </row>
    <row r="6" spans="1:29" ht="15">
      <c r="A6" s="431"/>
      <c r="B6" s="1798" t="s">
        <v>2084</v>
      </c>
      <c r="C6" s="2951" t="s">
        <v>3078</v>
      </c>
      <c r="D6" s="2369"/>
      <c r="E6" s="2373"/>
      <c r="F6" s="1798" t="s">
        <v>2085</v>
      </c>
      <c r="G6" s="2374"/>
      <c r="H6" s="2367"/>
      <c r="I6" s="2367"/>
      <c r="J6" s="2367"/>
      <c r="K6" s="2367"/>
      <c r="L6" s="2367"/>
      <c r="M6" s="2367"/>
      <c r="N6" s="2367"/>
      <c r="O6" s="2367"/>
      <c r="P6" s="2367"/>
      <c r="Q6" s="2367"/>
      <c r="R6" s="2367"/>
    </row>
    <row r="7" spans="1:29" ht="15.75" thickBot="1">
      <c r="A7" s="431"/>
      <c r="B7" s="1798" t="s">
        <v>2083</v>
      </c>
      <c r="C7" s="2951" t="s">
        <v>3079</v>
      </c>
      <c r="D7" s="2375"/>
      <c r="E7" s="2376"/>
      <c r="F7" s="2377" t="s">
        <v>2086</v>
      </c>
      <c r="G7" s="2378"/>
      <c r="H7" s="2367"/>
      <c r="I7" s="2367"/>
      <c r="J7" s="2367"/>
      <c r="K7" s="2367"/>
      <c r="L7" s="2367"/>
      <c r="M7" s="2367"/>
      <c r="N7" s="2367"/>
      <c r="O7" s="2367"/>
      <c r="P7" s="2367"/>
      <c r="Q7" s="2367"/>
      <c r="R7" s="2367"/>
    </row>
    <row r="8" spans="1:29" ht="15">
      <c r="A8" s="431"/>
      <c r="B8" s="1798" t="s">
        <v>2085</v>
      </c>
      <c r="C8" s="2951" t="s">
        <v>3080</v>
      </c>
      <c r="D8" s="2375"/>
      <c r="E8" s="2375"/>
      <c r="F8" s="1136"/>
      <c r="G8" s="1136"/>
      <c r="H8" s="2367"/>
      <c r="I8" s="2367"/>
      <c r="J8" s="2367"/>
      <c r="K8" s="2367"/>
      <c r="L8" s="2367"/>
      <c r="M8" s="2367"/>
      <c r="N8" s="2367"/>
      <c r="O8" s="2367"/>
      <c r="P8" s="2367"/>
      <c r="Q8" s="2367"/>
      <c r="R8" s="2367"/>
    </row>
    <row r="9" spans="1:29" ht="15">
      <c r="A9" s="431"/>
      <c r="B9" s="1798" t="s">
        <v>2087</v>
      </c>
      <c r="C9" s="2950" t="s">
        <v>3076</v>
      </c>
      <c r="D9" s="2369"/>
      <c r="E9" s="2375"/>
      <c r="F9" s="1136"/>
      <c r="G9" s="1136"/>
      <c r="H9" s="2367"/>
      <c r="I9" s="2367"/>
      <c r="J9" s="2367"/>
      <c r="K9" s="2367"/>
      <c r="L9" s="2367"/>
      <c r="M9" s="2367"/>
      <c r="N9" s="2367"/>
      <c r="O9" s="2367"/>
      <c r="P9" s="2367"/>
      <c r="Q9" s="2367"/>
      <c r="R9" s="2367"/>
    </row>
    <row r="10" spans="1:29" s="117" customFormat="1" ht="15.75" thickBot="1">
      <c r="A10" s="2379"/>
      <c r="B10" s="2380" t="s">
        <v>2088</v>
      </c>
      <c r="C10" s="2952" t="s">
        <v>3081</v>
      </c>
      <c r="D10" s="2369"/>
      <c r="E10" s="2369"/>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69"/>
      <c r="D11" s="2369"/>
      <c r="E11" s="2369"/>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69"/>
      <c r="D12" s="2385"/>
      <c r="E12" s="2369"/>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2089</v>
      </c>
      <c r="B13" s="2385"/>
      <c r="C13" s="2385"/>
      <c r="D13" s="2392"/>
      <c r="E13" s="2385"/>
      <c r="F13" s="2385"/>
      <c r="G13" s="2385"/>
    </row>
    <row r="14" spans="1:29" ht="15.75" thickBot="1">
      <c r="A14" s="2396"/>
      <c r="B14" s="2397"/>
      <c r="C14" s="2398" t="s">
        <v>2090</v>
      </c>
      <c r="D14" s="2369"/>
      <c r="E14" s="2399"/>
      <c r="F14" s="2399"/>
      <c r="G14" s="2364" t="s">
        <v>2091</v>
      </c>
    </row>
    <row r="15" spans="1:29" ht="27">
      <c r="A15" s="68" t="s">
        <v>2092</v>
      </c>
      <c r="B15" s="1270" t="s">
        <v>2078</v>
      </c>
      <c r="C15" s="2400" t="str">
        <f>C3</f>
        <v>好</v>
      </c>
      <c r="D15" s="2369"/>
      <c r="E15" s="2401" t="s">
        <v>2093</v>
      </c>
      <c r="F15" s="1270" t="s">
        <v>2094</v>
      </c>
      <c r="G15" s="135">
        <f>G3</f>
        <v>0</v>
      </c>
    </row>
    <row r="16" spans="1:29" ht="15">
      <c r="A16" s="645"/>
      <c r="B16" s="2402" t="s">
        <v>2080</v>
      </c>
      <c r="C16" s="2403" t="str">
        <f>C4</f>
        <v>较好</v>
      </c>
      <c r="D16" s="2369"/>
      <c r="E16" s="2404"/>
      <c r="F16" s="2405" t="s">
        <v>2081</v>
      </c>
      <c r="G16" s="136">
        <f>G4</f>
        <v>0</v>
      </c>
    </row>
    <row r="17" spans="1:18" ht="15">
      <c r="A17" s="645"/>
      <c r="B17" s="2402" t="s">
        <v>2082</v>
      </c>
      <c r="C17" s="2403">
        <f>C5</f>
        <v>0</v>
      </c>
      <c r="D17" s="2375"/>
      <c r="E17" s="2404"/>
      <c r="F17" s="2405" t="s">
        <v>2095</v>
      </c>
      <c r="G17" s="1572"/>
    </row>
    <row r="18" spans="1:18" ht="15">
      <c r="A18" s="645"/>
      <c r="B18" s="2405" t="s">
        <v>2084</v>
      </c>
      <c r="C18" s="136" t="str">
        <f>C6</f>
        <v>好</v>
      </c>
      <c r="D18" s="2375"/>
      <c r="E18" s="2404"/>
      <c r="F18" s="2405" t="s">
        <v>2086</v>
      </c>
      <c r="G18" s="136">
        <f>G7</f>
        <v>0</v>
      </c>
    </row>
    <row r="19" spans="1:18" ht="15">
      <c r="A19" s="645"/>
      <c r="B19" s="2405" t="s">
        <v>2096</v>
      </c>
      <c r="C19" s="1572"/>
      <c r="D19" s="2369"/>
      <c r="E19" s="2404"/>
      <c r="F19" s="1798" t="s">
        <v>2083</v>
      </c>
      <c r="G19" s="136">
        <f>G5</f>
        <v>0</v>
      </c>
    </row>
    <row r="20" spans="1:18" ht="15">
      <c r="A20" s="645"/>
      <c r="B20" s="2405" t="s">
        <v>2097</v>
      </c>
      <c r="C20" s="2403" t="str">
        <f>C9</f>
        <v>好</v>
      </c>
      <c r="D20" s="2375"/>
      <c r="E20" s="2404"/>
      <c r="F20" s="1798" t="s">
        <v>2098</v>
      </c>
      <c r="G20" s="136">
        <f>G6</f>
        <v>0</v>
      </c>
    </row>
    <row r="21" spans="1:18" ht="15">
      <c r="A21" s="645"/>
      <c r="B21" s="1798" t="s">
        <v>2083</v>
      </c>
      <c r="C21" s="136" t="str">
        <f>C7</f>
        <v>好</v>
      </c>
      <c r="D21" s="2369"/>
      <c r="E21" s="2404"/>
      <c r="F21" s="2405" t="s">
        <v>2099</v>
      </c>
      <c r="G21" s="2406"/>
    </row>
    <row r="22" spans="1:18" ht="13.5" customHeight="1">
      <c r="A22" s="645"/>
      <c r="B22" s="1798" t="s">
        <v>2085</v>
      </c>
      <c r="C22" s="136" t="str">
        <f>C8</f>
        <v>七通</v>
      </c>
      <c r="D22" s="2369"/>
      <c r="E22" s="2404"/>
      <c r="F22" s="2405" t="s">
        <v>2088</v>
      </c>
      <c r="G22" s="1572"/>
    </row>
    <row r="23" spans="1:18" s="2367" customFormat="1" ht="15.75" thickBot="1">
      <c r="A23" s="645"/>
      <c r="B23" s="2405" t="s">
        <v>2099</v>
      </c>
      <c r="C23" s="2406" t="s">
        <v>3082</v>
      </c>
      <c r="D23" s="2393"/>
      <c r="E23" s="2407"/>
      <c r="F23" s="2408" t="s">
        <v>2100</v>
      </c>
      <c r="G23" s="2409"/>
      <c r="H23" s="2393"/>
      <c r="I23" s="2394"/>
      <c r="J23" s="2393"/>
      <c r="K23" s="2393"/>
      <c r="L23" s="2394"/>
      <c r="M23" s="2393"/>
      <c r="N23" s="2393"/>
      <c r="O23" s="2394"/>
      <c r="P23" s="2393"/>
      <c r="Q23" s="2393"/>
      <c r="R23" s="2395"/>
    </row>
    <row r="24" spans="1:18" s="2367" customFormat="1" ht="15.75" thickBot="1">
      <c r="A24" s="2410"/>
      <c r="B24" s="2408" t="s">
        <v>2101</v>
      </c>
      <c r="C24" s="137" t="str">
        <f>C10</f>
        <v>主干道</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E14" sqref="E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26146.04</v>
      </c>
      <c r="C1" s="1745"/>
      <c r="D1" s="1745"/>
      <c r="E1" s="1745"/>
      <c r="F1" s="1745"/>
      <c r="G1" s="1743"/>
    </row>
    <row r="2" spans="1:10" ht="16.5">
      <c r="A2" s="1746" t="s">
        <v>1349</v>
      </c>
      <c r="B2" s="1746">
        <f>SUM(C14:C23)</f>
        <v>4360.21</v>
      </c>
      <c r="C2" s="1745"/>
      <c r="D2" s="1745"/>
      <c r="E2" s="1745"/>
      <c r="F2" s="1745"/>
      <c r="G2" s="1743"/>
    </row>
    <row r="3" spans="1:10" ht="16.5">
      <c r="A3" s="1746" t="s">
        <v>1358</v>
      </c>
      <c r="B3" s="1747">
        <f>项目基本情况!D3</f>
        <v>43485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118431</v>
      </c>
      <c r="C5" s="1746">
        <f ca="1">ROUND(B5*10000/$B$1,0)</f>
        <v>45296</v>
      </c>
      <c r="D5" s="1746">
        <f ca="1">ROUND(B5*10000/$B$2,0)</f>
        <v>271618</v>
      </c>
      <c r="E5" s="1745"/>
      <c r="F5" s="1743"/>
      <c r="G5" s="1743"/>
    </row>
    <row r="6" spans="1:10" ht="16.5">
      <c r="A6" s="1746" t="s">
        <v>1352</v>
      </c>
      <c r="B6" s="1746">
        <f>SUM(G14:G23)</f>
        <v>0</v>
      </c>
      <c r="C6" s="1746">
        <f>ROUND(B6*10000/$B$1,0)</f>
        <v>0</v>
      </c>
      <c r="D6" s="1746">
        <f>ROUND(B6*10000/$B$2,0)</f>
        <v>0</v>
      </c>
      <c r="E6" s="1745"/>
      <c r="F6" s="1743"/>
      <c r="G6" s="1743"/>
    </row>
    <row r="7" spans="1:10" ht="16.5">
      <c r="A7" s="1746" t="s">
        <v>1360</v>
      </c>
      <c r="B7" s="1746">
        <f ca="1">SUM(H14:H23)</f>
        <v>118431</v>
      </c>
      <c r="C7" s="1746">
        <f ca="1">ROUND(B7*10000/$B$1,0)</f>
        <v>45296</v>
      </c>
      <c r="D7" s="1746">
        <f ca="1">ROUND(B7*10000/$B$2,0)</f>
        <v>271618</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26146.04</v>
      </c>
      <c r="C14" s="1744">
        <f>结果表!C118</f>
        <v>4360.21</v>
      </c>
      <c r="D14" s="1744">
        <f ca="1">结果表!H118</f>
        <v>118431</v>
      </c>
      <c r="E14" s="1744">
        <f ca="1">ROUND(D14*10000/B14,0)</f>
        <v>45296</v>
      </c>
      <c r="F14" s="1744">
        <f ca="1">ROUND(D14*10000/C14,0)</f>
        <v>271618</v>
      </c>
      <c r="G14" s="1744" t="str">
        <f>结果表!D122</f>
        <v>——</v>
      </c>
      <c r="H14" s="1744">
        <f ca="1">结果表!D124</f>
        <v>118431</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25" sqref="D125:I1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2102</v>
      </c>
      <c r="B1" s="2416"/>
      <c r="C1" s="2417" t="s">
        <v>1373</v>
      </c>
      <c r="D1" s="2416"/>
      <c r="E1" s="2416"/>
      <c r="F1" s="2418" t="s">
        <v>2103</v>
      </c>
      <c r="G1" s="2071" t="s">
        <v>3052</v>
      </c>
      <c r="H1" s="2419" t="str">
        <f>IF(G1="现房","——","估价对象范围")</f>
        <v>——</v>
      </c>
      <c r="I1" s="2420" t="s">
        <v>3092</v>
      </c>
    </row>
    <row r="2" spans="1:12" ht="21.75" customHeight="1" thickBot="1">
      <c r="A2" s="3085" t="str">
        <f>项目基本情况!S2</f>
        <v>北京市东城区广渠门内大街35号房地产</v>
      </c>
      <c r="B2" s="3086"/>
      <c r="C2" s="3086"/>
      <c r="D2" s="3086"/>
      <c r="E2" s="3086"/>
      <c r="F2" s="3086"/>
      <c r="G2" s="3086"/>
      <c r="H2" s="3086"/>
      <c r="I2" s="3087"/>
    </row>
    <row r="3" spans="1:12" ht="12.75">
      <c r="A3" s="3089" t="s">
        <v>2104</v>
      </c>
      <c r="B3" s="3090"/>
      <c r="C3" s="3090"/>
      <c r="D3" s="3090"/>
      <c r="E3" s="3090"/>
      <c r="F3" s="3090"/>
      <c r="G3" s="3090"/>
      <c r="H3" s="3090"/>
      <c r="I3" s="3090"/>
    </row>
    <row r="4" spans="1:12" ht="14.25">
      <c r="A4" s="2423" t="s">
        <v>2105</v>
      </c>
      <c r="B4" s="2424" t="s">
        <v>2106</v>
      </c>
      <c r="C4" s="2425" t="s">
        <v>3091</v>
      </c>
      <c r="D4" s="2425" t="s">
        <v>3084</v>
      </c>
      <c r="E4" s="3082" t="s">
        <v>2107</v>
      </c>
      <c r="F4" s="3083"/>
      <c r="G4" s="3083"/>
      <c r="H4" s="3083"/>
      <c r="I4" s="309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5" t="s">
        <v>2108</v>
      </c>
      <c r="B5" s="3003">
        <v>25</v>
      </c>
      <c r="C5" s="3068"/>
      <c r="D5" s="3088"/>
      <c r="E5" s="140" t="s">
        <v>2109</v>
      </c>
      <c r="F5" s="2427"/>
      <c r="G5" s="2427"/>
      <c r="H5" s="2427"/>
      <c r="I5" s="1834"/>
    </row>
    <row r="6" spans="1:12" ht="12.75">
      <c r="A6" s="3065"/>
      <c r="B6" s="3003"/>
      <c r="C6" s="3069"/>
      <c r="D6" s="3088"/>
      <c r="E6" s="140" t="s">
        <v>2110</v>
      </c>
      <c r="F6" s="2427"/>
      <c r="G6" s="2427"/>
      <c r="H6" s="2427"/>
      <c r="I6" s="1834"/>
    </row>
    <row r="7" spans="1:12" ht="12.75">
      <c r="A7" s="3065"/>
      <c r="B7" s="3003"/>
      <c r="C7" s="3070"/>
      <c r="D7" s="3088"/>
      <c r="E7" s="140" t="s">
        <v>2111</v>
      </c>
      <c r="F7" s="2427"/>
      <c r="G7" s="2427"/>
      <c r="H7" s="2427"/>
      <c r="I7" s="1834"/>
    </row>
    <row r="8" spans="1:12" ht="12.75">
      <c r="A8" s="3065" t="s">
        <v>2112</v>
      </c>
      <c r="B8" s="3003">
        <v>15</v>
      </c>
      <c r="C8" s="3068"/>
      <c r="D8" s="3088"/>
      <c r="E8" s="140" t="s">
        <v>2113</v>
      </c>
      <c r="F8" s="2427"/>
      <c r="G8" s="2427"/>
      <c r="H8" s="2427"/>
      <c r="I8" s="1834"/>
    </row>
    <row r="9" spans="1:12" ht="12.75">
      <c r="A9" s="3065"/>
      <c r="B9" s="3003"/>
      <c r="C9" s="3070"/>
      <c r="D9" s="3088"/>
      <c r="E9" s="140" t="s">
        <v>2114</v>
      </c>
      <c r="F9" s="2427"/>
      <c r="G9" s="2427"/>
      <c r="H9" s="2427"/>
      <c r="I9" s="1834"/>
    </row>
    <row r="10" spans="1:12" ht="12.75">
      <c r="A10" s="3065" t="s">
        <v>2115</v>
      </c>
      <c r="B10" s="3003">
        <v>15</v>
      </c>
      <c r="C10" s="3068"/>
      <c r="D10" s="3088"/>
      <c r="E10" s="140" t="s">
        <v>2116</v>
      </c>
      <c r="F10" s="2427"/>
      <c r="G10" s="2427"/>
      <c r="H10" s="2427"/>
      <c r="I10" s="1834"/>
    </row>
    <row r="11" spans="1:12" ht="12.75">
      <c r="A11" s="3065"/>
      <c r="B11" s="3003"/>
      <c r="C11" s="3070"/>
      <c r="D11" s="3088"/>
      <c r="E11" s="140" t="s">
        <v>2117</v>
      </c>
      <c r="F11" s="2427"/>
      <c r="G11" s="2427"/>
      <c r="H11" s="2427"/>
      <c r="I11" s="1834"/>
    </row>
    <row r="12" spans="1:12" ht="12.75">
      <c r="A12" s="3065" t="s">
        <v>2118</v>
      </c>
      <c r="B12" s="3003">
        <v>15</v>
      </c>
      <c r="C12" s="3068"/>
      <c r="D12" s="3088"/>
      <c r="E12" s="140" t="s">
        <v>2119</v>
      </c>
      <c r="F12" s="2427"/>
      <c r="G12" s="2427"/>
      <c r="H12" s="2427"/>
      <c r="I12" s="1834"/>
    </row>
    <row r="13" spans="1:12" ht="12.75">
      <c r="A13" s="3065"/>
      <c r="B13" s="3003"/>
      <c r="C13" s="3070"/>
      <c r="D13" s="3088"/>
      <c r="E13" s="140" t="s">
        <v>2120</v>
      </c>
      <c r="F13" s="2427"/>
      <c r="G13" s="2427"/>
      <c r="H13" s="2427"/>
      <c r="I13" s="1834"/>
    </row>
    <row r="14" spans="1:12" ht="12.75">
      <c r="A14" s="3065" t="s">
        <v>2121</v>
      </c>
      <c r="B14" s="3003">
        <v>30</v>
      </c>
      <c r="C14" s="3068">
        <v>45</v>
      </c>
      <c r="D14" s="3088">
        <v>55</v>
      </c>
      <c r="E14" s="140" t="s">
        <v>2122</v>
      </c>
      <c r="F14" s="2427"/>
      <c r="G14" s="2427"/>
      <c r="H14" s="2427"/>
      <c r="I14" s="1834"/>
    </row>
    <row r="15" spans="1:12" ht="12.75">
      <c r="A15" s="3065"/>
      <c r="B15" s="3003"/>
      <c r="C15" s="3069"/>
      <c r="D15" s="3088"/>
      <c r="E15" s="140" t="s">
        <v>2123</v>
      </c>
      <c r="F15" s="2427"/>
      <c r="G15" s="2427"/>
      <c r="H15" s="2427"/>
      <c r="I15" s="1834"/>
    </row>
    <row r="16" spans="1:12" ht="12.75">
      <c r="A16" s="3065"/>
      <c r="B16" s="3003"/>
      <c r="C16" s="3070"/>
      <c r="D16" s="3088"/>
      <c r="E16" s="140" t="s">
        <v>2124</v>
      </c>
      <c r="F16" s="2427"/>
      <c r="G16" s="2427"/>
      <c r="H16" s="2427"/>
      <c r="I16" s="1834"/>
    </row>
    <row r="17" spans="1:35" ht="15">
      <c r="A17" s="2428" t="s">
        <v>2125</v>
      </c>
      <c r="B17" s="64"/>
      <c r="C17" s="141">
        <f>SUM(C5:C16)</f>
        <v>45</v>
      </c>
      <c r="D17" s="141">
        <f>SUM(D5:D16)</f>
        <v>55</v>
      </c>
      <c r="E17" s="138"/>
      <c r="F17" s="138"/>
      <c r="G17" s="138"/>
      <c r="H17" s="138"/>
      <c r="I17" s="138"/>
      <c r="K17" s="2426"/>
      <c r="L17" s="2429" t="s">
        <v>2126</v>
      </c>
      <c r="M17" s="2429" t="s">
        <v>2127</v>
      </c>
    </row>
    <row r="18" spans="1:35" ht="15.75" thickBot="1">
      <c r="A18" s="2430" t="s">
        <v>2128</v>
      </c>
      <c r="B18" s="2431"/>
      <c r="C18" s="142">
        <f>ROUND(C17/SUM(C17:D17),2)</f>
        <v>0.45</v>
      </c>
      <c r="D18" s="142">
        <f>1-C18</f>
        <v>0.55000000000000004</v>
      </c>
      <c r="E18" s="138"/>
      <c r="F18" s="138"/>
      <c r="G18" s="138"/>
      <c r="H18" s="138"/>
      <c r="I18" s="138"/>
      <c r="K18" s="2426" t="s">
        <v>2129</v>
      </c>
      <c r="L18" s="2426">
        <f>IF(C1="",'数据-汇总表'!E3,SUMIF(项目类型,C1,'数据-汇总表'!E17:E26)+SUMIF(项目类型,C1,'数据-汇总表'!I17:I26))</f>
        <v>26146.04</v>
      </c>
      <c r="M18" s="2426">
        <f>IF(C1="",'数据-汇总表'!E3,SUMIF(项目类型,C1,'数据-汇总表'!E17:E26))</f>
        <v>26146.04</v>
      </c>
    </row>
    <row r="19" spans="1:35" ht="15">
      <c r="A19" s="2432" t="s">
        <v>2130</v>
      </c>
      <c r="B19" s="2433" t="s">
        <v>2131</v>
      </c>
      <c r="C19" s="143">
        <f ca="1">SUMIF(INDIRECT("'"&amp;C4&amp;"'"&amp;"!A:A"),结果表!B19,INDIRECT("'"&amp;C4&amp;"'"&amp;"!B:B"))</f>
        <v>183085</v>
      </c>
      <c r="D19" s="144">
        <f ca="1">SUMIF(INDIRECT("'"&amp;D4&amp;"'"&amp;"!A:A"),结果表!B19,INDIRECT("'"&amp;D4&amp;"'"&amp;"!B:B"))</f>
        <v>65533</v>
      </c>
      <c r="E19" s="2432" t="s">
        <v>2132</v>
      </c>
      <c r="F19" s="2433" t="s">
        <v>2131</v>
      </c>
      <c r="G19" s="145">
        <f ca="1">ROUND(C19*$C$18+D19*$D$18,0)</f>
        <v>118431</v>
      </c>
      <c r="H19" s="2434" t="s">
        <v>2133</v>
      </c>
      <c r="I19" s="138"/>
      <c r="K19" s="2426" t="s">
        <v>2134</v>
      </c>
      <c r="L19" s="2426">
        <f>IF(C1="",'数据-汇总表'!D3,SUMIF(项目类型,C1,'数据-汇总表'!D17:D26)+SUMIF(项目类型,C1,'数据-汇总表'!H17:H27))</f>
        <v>4360.21</v>
      </c>
      <c r="M19" s="2426">
        <f>IF(C1="",'数据-汇总表'!D3,SUMIF(项目类型,C1,'数据-汇总表'!D17:D26))</f>
        <v>4360.21</v>
      </c>
    </row>
    <row r="20" spans="1:35" ht="15">
      <c r="A20" s="2435"/>
      <c r="B20" s="1250" t="s">
        <v>2135</v>
      </c>
      <c r="C20" s="146">
        <f ca="1">SUMIF(INDIRECT("'"&amp;C4&amp;"'"&amp;"!A:A"),结果表!B20,INDIRECT("'"&amp;C4&amp;"'"&amp;"!B:B"))</f>
        <v>70024</v>
      </c>
      <c r="D20" s="147">
        <f ca="1">SUMIF(INDIRECT("'"&amp;D4&amp;"'"&amp;"!A:A"),结果表!B20,INDIRECT("'"&amp;D4&amp;"'"&amp;"!B:B"))</f>
        <v>25064</v>
      </c>
      <c r="E20" s="2435"/>
      <c r="F20" s="1250" t="s">
        <v>2135</v>
      </c>
      <c r="G20" s="148">
        <f ca="1">ROUND(C20*$C$18+D20*$D$18,0)</f>
        <v>45296</v>
      </c>
      <c r="H20" s="983" t="s">
        <v>2136</v>
      </c>
      <c r="I20" s="138"/>
    </row>
    <row r="21" spans="1:35" ht="15" customHeight="1" thickBot="1">
      <c r="A21" s="1003"/>
      <c r="B21" s="2436" t="s">
        <v>2137</v>
      </c>
      <c r="C21" s="789">
        <f ca="1">ROUND(C19*10000/L19,0)</f>
        <v>419900</v>
      </c>
      <c r="D21" s="790">
        <f ca="1">ROUND(D19*10000/L19,0)</f>
        <v>150298</v>
      </c>
      <c r="E21" s="1003"/>
      <c r="F21" s="2436" t="s">
        <v>2137</v>
      </c>
      <c r="G21" s="149">
        <f ca="1">ROUND(G19*10000/L19,0)</f>
        <v>271618</v>
      </c>
      <c r="H21" s="2437" t="s">
        <v>2136</v>
      </c>
      <c r="I21" s="138"/>
    </row>
    <row r="22" spans="1:35" ht="15" thickBot="1">
      <c r="A22" s="2280" t="s">
        <v>2138</v>
      </c>
      <c r="B22" s="2438"/>
      <c r="C22" s="2439"/>
      <c r="D22" s="791">
        <f ca="1">IF(C19&lt;D19,D19/C19-1,C19/D19-1)</f>
        <v>1.7937832847572976</v>
      </c>
      <c r="E22" s="138"/>
      <c r="F22" s="138"/>
      <c r="G22" s="138"/>
      <c r="H22" s="138"/>
      <c r="I22" s="138"/>
    </row>
    <row r="23" spans="1:35" ht="13.5" thickBot="1">
      <c r="A23" s="2416"/>
      <c r="B23" s="2416"/>
      <c r="C23" s="2416"/>
      <c r="D23" s="2416"/>
      <c r="E23" s="138"/>
      <c r="F23" s="138"/>
      <c r="G23" s="138"/>
      <c r="H23" s="138"/>
      <c r="I23" s="138"/>
    </row>
    <row r="24" spans="1:35" ht="14.25">
      <c r="A24" s="3059" t="s">
        <v>2139</v>
      </c>
      <c r="B24" s="2433" t="s">
        <v>2131</v>
      </c>
      <c r="C24" s="145">
        <f>IF(B30=0,0,D30)</f>
        <v>0</v>
      </c>
      <c r="D24" s="2440"/>
      <c r="E24" s="138"/>
      <c r="F24" s="138"/>
      <c r="G24" s="138"/>
      <c r="H24" s="138"/>
      <c r="I24" s="138"/>
    </row>
    <row r="25" spans="1:35" ht="14.25">
      <c r="A25" s="3060"/>
      <c r="B25" s="1250" t="s">
        <v>2135</v>
      </c>
      <c r="C25" s="150">
        <f>IF(B30=0,0,C30)</f>
        <v>0</v>
      </c>
      <c r="D25" s="2441"/>
      <c r="E25" s="138"/>
      <c r="F25" s="138"/>
      <c r="G25" s="138"/>
      <c r="H25" s="138"/>
      <c r="I25" s="138"/>
    </row>
    <row r="26" spans="1:35" ht="13.5" customHeight="1">
      <c r="A26" s="2442" t="s">
        <v>2140</v>
      </c>
      <c r="B26" s="151" t="s">
        <v>2141</v>
      </c>
      <c r="C26" s="151" t="s">
        <v>2142</v>
      </c>
      <c r="D26" s="152" t="s">
        <v>2143</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2144</v>
      </c>
      <c r="B30" s="151"/>
      <c r="C30" s="151"/>
      <c r="D30" s="151"/>
      <c r="E30" s="2923" t="s">
        <v>3018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2145</v>
      </c>
      <c r="B32" s="2446"/>
      <c r="C32" s="153">
        <f ca="1">IF(D32="总价",G19-C24,G20-C25)</f>
        <v>118431</v>
      </c>
      <c r="D32" s="2447" t="s">
        <v>2146</v>
      </c>
      <c r="E32" s="138"/>
      <c r="F32" s="138"/>
      <c r="G32" s="138"/>
      <c r="H32" s="138"/>
      <c r="I32" s="138"/>
    </row>
    <row r="33" spans="1:15" ht="15">
      <c r="A33" s="960" t="s">
        <v>2147</v>
      </c>
      <c r="B33" s="2448"/>
      <c r="C33" s="2449" t="s">
        <v>3093</v>
      </c>
      <c r="D33" s="2450" t="s">
        <v>3084</v>
      </c>
      <c r="E33" s="2451" t="s">
        <v>2148</v>
      </c>
      <c r="F33" s="2452" t="str">
        <f>IF(D32="楼面单价","取值（单价）","取值（总价）")</f>
        <v>取值（总价）</v>
      </c>
      <c r="G33" s="138"/>
      <c r="H33" s="138"/>
      <c r="I33" s="138"/>
    </row>
    <row r="34" spans="1:15" ht="15">
      <c r="A34" s="2453"/>
      <c r="B34" s="2454" t="s">
        <v>2149</v>
      </c>
      <c r="C34" s="157">
        <f ca="1">IF(C33="自定义",F34,C32-C35)</f>
        <v>105759</v>
      </c>
      <c r="D34" s="1058">
        <f ca="1">IF(C33="自定义",ROUND(C34/C32,3),IF(C33="收益比率",SUMIF(INDIRECT("'"&amp;D33&amp;"'"&amp;"!b:b"),"土地收益比率",INDIRECT("'"&amp;D33&amp;"'"&amp;"!c:c")),SUMIF(INDIRECT("'"&amp;D33&amp;"'"&amp;"!b:b"),"土地成本比率",INDIRECT("'"&amp;D33&amp;"'"&amp;"!c:c"))))</f>
        <v>0.89300000000000002</v>
      </c>
      <c r="E34" s="2455" t="s">
        <v>2150</v>
      </c>
      <c r="F34" s="1739"/>
      <c r="G34" s="138"/>
      <c r="H34" s="138"/>
      <c r="I34" s="138"/>
    </row>
    <row r="35" spans="1:15" ht="15.75" thickBot="1">
      <c r="A35" s="2456"/>
      <c r="B35" s="2457" t="s">
        <v>2151</v>
      </c>
      <c r="C35" s="1444">
        <f ca="1">IF(C33="自定义",F35,ROUND(C32*D35,0))</f>
        <v>12672</v>
      </c>
      <c r="D35" s="1445">
        <f ca="1">IF(C33="自定义",ROUND(C35/C32,3),IF(C33="收益比率",SUMIF(INDIRECT("'"&amp;D33&amp;"'"&amp;"!b:b"),"建筑物收益比率",INDIRECT("'"&amp;D33&amp;"'"&amp;"!c:c")),SUMIF(INDIRECT("'"&amp;D33&amp;"'"&amp;"!b:b"),"建筑物成本比率",INDIRECT("'"&amp;D33&amp;"'"&amp;"!c:c"))))</f>
        <v>0.107</v>
      </c>
      <c r="E35" s="2458" t="s">
        <v>2152</v>
      </c>
      <c r="F35" s="163"/>
      <c r="G35" s="138"/>
      <c r="H35" s="138"/>
      <c r="I35" s="138"/>
    </row>
    <row r="36" spans="1:15" ht="15.75" thickBot="1">
      <c r="A36" s="3077" t="s">
        <v>2153</v>
      </c>
      <c r="B36" s="2459" t="s">
        <v>2154</v>
      </c>
      <c r="C36" s="154"/>
      <c r="D36" s="2460"/>
      <c r="E36" s="2461"/>
      <c r="F36" s="2462"/>
      <c r="G36" s="138"/>
      <c r="H36" s="138"/>
      <c r="I36" s="138"/>
    </row>
    <row r="37" spans="1:15" ht="15.75" thickBot="1">
      <c r="A37" s="3078"/>
      <c r="B37" s="2266" t="s">
        <v>2155</v>
      </c>
      <c r="C37" s="156"/>
      <c r="D37" s="1395"/>
      <c r="E37" s="1395"/>
      <c r="F37" s="2462"/>
      <c r="G37" s="138"/>
      <c r="H37" s="138"/>
      <c r="I37" s="138"/>
    </row>
    <row r="38" spans="1:15" ht="15.75" thickBot="1">
      <c r="A38" s="3079"/>
      <c r="B38" s="2463" t="s">
        <v>2156</v>
      </c>
      <c r="C38" s="727"/>
      <c r="D38" s="2464" t="s">
        <v>2157</v>
      </c>
      <c r="E38" s="1395"/>
      <c r="F38" s="2462"/>
      <c r="G38" s="138"/>
      <c r="H38" s="138"/>
      <c r="I38" s="138"/>
    </row>
    <row r="39" spans="1:15" ht="15">
      <c r="A39" s="2435" t="s">
        <v>2158</v>
      </c>
      <c r="B39" s="2465" t="s">
        <v>2159</v>
      </c>
      <c r="C39" s="2466" t="s">
        <v>2160</v>
      </c>
      <c r="D39" s="2466" t="s">
        <v>2161</v>
      </c>
      <c r="E39" s="2467" t="s">
        <v>2162</v>
      </c>
      <c r="F39" s="2462"/>
      <c r="G39" s="138"/>
      <c r="H39" s="138"/>
      <c r="I39" s="138"/>
    </row>
    <row r="40" spans="1:15" ht="14.25">
      <c r="A40" s="2468" t="s">
        <v>2163</v>
      </c>
      <c r="B40" s="158"/>
      <c r="C40" s="159"/>
      <c r="D40" s="159"/>
      <c r="E40" s="160"/>
      <c r="F40" s="2462"/>
      <c r="G40" s="138"/>
      <c r="H40" s="138"/>
      <c r="I40" s="138"/>
    </row>
    <row r="41" spans="1:15" ht="14.25">
      <c r="A41" s="2468" t="s">
        <v>2164</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2165</v>
      </c>
      <c r="B44" s="2473"/>
      <c r="C44" s="2473"/>
      <c r="D44" s="2474"/>
      <c r="E44" s="2474"/>
      <c r="F44" s="2475"/>
      <c r="G44" s="2475"/>
      <c r="H44" s="2475"/>
      <c r="I44" s="2475"/>
      <c r="J44" s="2476" t="s">
        <v>2166</v>
      </c>
      <c r="K44" s="2477"/>
      <c r="L44" s="2477"/>
      <c r="M44" s="2477"/>
      <c r="N44" s="2477"/>
      <c r="O44" s="2477"/>
    </row>
    <row r="45" spans="1:15" ht="14.25" customHeight="1" thickBot="1">
      <c r="A45" s="3056" t="s">
        <v>2167</v>
      </c>
      <c r="B45" s="3057"/>
      <c r="C45" s="3058"/>
      <c r="D45" s="164">
        <f ca="1">ROUND(H101*F45,0)</f>
        <v>118431</v>
      </c>
      <c r="E45" s="165" t="s">
        <v>2168</v>
      </c>
      <c r="F45" s="166">
        <v>1</v>
      </c>
      <c r="G45" s="167" t="s">
        <v>2169</v>
      </c>
      <c r="H45" s="138"/>
      <c r="I45" s="138"/>
      <c r="J45" s="3116" t="s">
        <v>2170</v>
      </c>
      <c r="K45" s="3116"/>
      <c r="L45" s="3116"/>
      <c r="M45" s="3116"/>
      <c r="N45" s="3116"/>
      <c r="O45" s="3116"/>
    </row>
    <row r="46" spans="1:15" ht="14.25" customHeight="1">
      <c r="A46" s="3053" t="s">
        <v>2171</v>
      </c>
      <c r="B46" s="3054"/>
      <c r="C46" s="3054"/>
      <c r="D46" s="3054"/>
      <c r="E46" s="3054"/>
      <c r="F46" s="3054"/>
      <c r="G46" s="3055"/>
      <c r="H46" s="2478"/>
      <c r="I46" s="168"/>
      <c r="J46" s="1812">
        <v>1</v>
      </c>
      <c r="K46" s="3116" t="s">
        <v>2172</v>
      </c>
      <c r="L46" s="3116"/>
      <c r="M46" s="3136"/>
      <c r="N46" s="3136"/>
      <c r="O46" s="3136"/>
    </row>
    <row r="47" spans="1:15" ht="12" customHeight="1">
      <c r="A47" s="169" t="s">
        <v>2173</v>
      </c>
      <c r="B47" s="170"/>
      <c r="C47" s="171"/>
      <c r="D47" s="172" t="s">
        <v>2174</v>
      </c>
      <c r="E47" s="24" t="s">
        <v>2175</v>
      </c>
      <c r="F47" s="173" t="s">
        <v>2176</v>
      </c>
      <c r="G47" s="174" t="s">
        <v>2177</v>
      </c>
      <c r="H47" s="2478"/>
      <c r="I47" s="168"/>
      <c r="J47" s="1812">
        <v>2</v>
      </c>
      <c r="K47" s="3116" t="s">
        <v>2178</v>
      </c>
      <c r="L47" s="3116"/>
      <c r="M47" s="3137">
        <f>'数据-取费表'!B2</f>
        <v>43485</v>
      </c>
      <c r="N47" s="3137"/>
      <c r="O47" s="3137"/>
    </row>
    <row r="48" spans="1:15" ht="25.5">
      <c r="A48" s="3084" t="s">
        <v>2179</v>
      </c>
      <c r="B48" s="3067"/>
      <c r="C48" s="3067"/>
      <c r="D48" s="140">
        <f>IF(H48="情况1",0,IF(H48="情况2",D52,IF(H48="情况3",D53,IF(H48="情况4",D54))))</f>
        <v>0</v>
      </c>
      <c r="E48" s="1801" t="str">
        <f>IF(H48="情况4","(销售额-原购置价)×税（费）率","销售额×税（费）率")</f>
        <v>销售额×税（费）率</v>
      </c>
      <c r="F48" s="175" t="str">
        <f>IF(H48="情况1","免征",'数据-取费表'!B41)</f>
        <v>免征</v>
      </c>
      <c r="G48" s="2479" t="s">
        <v>2180</v>
      </c>
      <c r="H48" s="2480" t="s">
        <v>2181</v>
      </c>
      <c r="I48" s="2478"/>
      <c r="J48" s="1812">
        <v>3</v>
      </c>
      <c r="K48" s="3116" t="s">
        <v>2182</v>
      </c>
      <c r="L48" s="3116"/>
      <c r="M48" s="3138">
        <f ca="1">H101</f>
        <v>118431</v>
      </c>
      <c r="N48" s="3138"/>
      <c r="O48" s="3138"/>
    </row>
    <row r="49" spans="1:35" ht="25.5" customHeight="1">
      <c r="A49" s="176" t="s">
        <v>2183</v>
      </c>
      <c r="B49" s="3052" t="s">
        <v>2184</v>
      </c>
      <c r="C49" s="3052"/>
      <c r="D49" s="177">
        <v>0</v>
      </c>
      <c r="E49" s="23" t="s">
        <v>2185</v>
      </c>
      <c r="F49" s="28" t="s">
        <v>34</v>
      </c>
      <c r="G49" s="3122"/>
      <c r="H49" s="138"/>
      <c r="I49" s="2481"/>
      <c r="J49" s="1812">
        <v>4</v>
      </c>
      <c r="K49" s="3116" t="str">
        <f>IF(项目基本情况!E8="房地产抵押价值","房地产抵押价值","抵押担保权已注销时的房地产抵押价值")</f>
        <v>抵押担保权已注销时的房地产抵押价值</v>
      </c>
      <c r="L49" s="3116"/>
      <c r="M49" s="3138">
        <f ca="1">IF(项目基本情况!E8="房地产抵押价值",H107,H109)</f>
        <v>118431</v>
      </c>
      <c r="N49" s="3138"/>
      <c r="O49" s="3138"/>
    </row>
    <row r="50" spans="1:35" ht="25.5" customHeight="1">
      <c r="A50" s="178"/>
      <c r="B50" s="3052" t="s">
        <v>2186</v>
      </c>
      <c r="C50" s="3052"/>
      <c r="D50" s="179"/>
      <c r="E50" s="31"/>
      <c r="F50" s="180"/>
      <c r="G50" s="3123"/>
      <c r="H50" s="138"/>
      <c r="I50" s="2481"/>
      <c r="J50" s="3116" t="s">
        <v>2187</v>
      </c>
      <c r="K50" s="3116"/>
      <c r="L50" s="3116"/>
      <c r="M50" s="3116"/>
      <c r="N50" s="3116"/>
      <c r="O50" s="3116"/>
    </row>
    <row r="51" spans="1:35" ht="12" customHeight="1">
      <c r="A51" s="181"/>
      <c r="B51" s="3052" t="s">
        <v>2188</v>
      </c>
      <c r="C51" s="3052"/>
      <c r="D51" s="182"/>
      <c r="E51" s="30"/>
      <c r="F51" s="180"/>
      <c r="G51" s="3124"/>
      <c r="H51" s="138"/>
      <c r="I51" s="2481"/>
      <c r="J51" s="2482" t="s">
        <v>2189</v>
      </c>
      <c r="K51" s="3116" t="s">
        <v>2190</v>
      </c>
      <c r="L51" s="3116"/>
      <c r="M51" s="2482" t="s">
        <v>2191</v>
      </c>
      <c r="N51" s="2482" t="s">
        <v>2192</v>
      </c>
      <c r="O51" s="2482" t="s">
        <v>2193</v>
      </c>
    </row>
    <row r="52" spans="1:35" ht="24" customHeight="1">
      <c r="A52" s="183" t="s">
        <v>2194</v>
      </c>
      <c r="B52" s="3052" t="s">
        <v>2195</v>
      </c>
      <c r="C52" s="3052"/>
      <c r="D52" s="182">
        <f ca="1">ROUND(D45*'数据-取费表'!B41/(1+'数据-取费表'!C42),0)</f>
        <v>6316</v>
      </c>
      <c r="E52" s="11" t="s">
        <v>2196</v>
      </c>
      <c r="F52" s="184">
        <f>'数据-取费表'!B41</f>
        <v>5.6000000000000001E-2</v>
      </c>
      <c r="G52" s="2483"/>
      <c r="H52" s="138"/>
      <c r="I52" s="2481"/>
      <c r="J52" s="1812">
        <v>1</v>
      </c>
      <c r="K52" s="3117" t="s">
        <v>2197</v>
      </c>
      <c r="L52" s="3117"/>
      <c r="M52" s="1754">
        <f>D48</f>
        <v>0</v>
      </c>
      <c r="N52" s="1812" t="str">
        <f>E48</f>
        <v>销售额×税（费）率</v>
      </c>
      <c r="O52" s="1755" t="str">
        <f>F48</f>
        <v>免征</v>
      </c>
    </row>
    <row r="53" spans="1:35" ht="12" customHeight="1">
      <c r="A53" s="183" t="s">
        <v>2198</v>
      </c>
      <c r="B53" s="3075" t="s">
        <v>2199</v>
      </c>
      <c r="C53" s="3076"/>
      <c r="D53" s="182">
        <f ca="1">ROUND(D45*'数据-取费表'!B41/(1+'数据-取费表'!C42),0)</f>
        <v>6316</v>
      </c>
      <c r="E53" s="11" t="s">
        <v>2196</v>
      </c>
      <c r="F53" s="184">
        <f>'数据-取费表'!B41</f>
        <v>5.6000000000000001E-2</v>
      </c>
      <c r="G53" s="2483"/>
      <c r="H53" s="138"/>
      <c r="I53" s="2481"/>
      <c r="J53" s="1812">
        <v>2</v>
      </c>
      <c r="K53" s="3117" t="s">
        <v>2200</v>
      </c>
      <c r="L53" s="3117"/>
      <c r="M53" s="1754">
        <f t="shared" ref="M53:O54" ca="1" si="0">D55</f>
        <v>59</v>
      </c>
      <c r="N53" s="1812" t="str">
        <f t="shared" si="0"/>
        <v>销售额×税（费）率</v>
      </c>
      <c r="O53" s="1755">
        <f t="shared" si="0"/>
        <v>5.0000000000000001E-4</v>
      </c>
    </row>
    <row r="54" spans="1:35" ht="12" customHeight="1">
      <c r="A54" s="183" t="s">
        <v>2201</v>
      </c>
      <c r="B54" s="3075" t="s">
        <v>2202</v>
      </c>
      <c r="C54" s="3076"/>
      <c r="D54" s="182">
        <f ca="1">C68</f>
        <v>6316</v>
      </c>
      <c r="E54" s="30" t="s">
        <v>2203</v>
      </c>
      <c r="F54" s="184">
        <f>'数据-取费表'!B41</f>
        <v>5.6000000000000001E-2</v>
      </c>
      <c r="G54" s="2483"/>
      <c r="H54" s="2484"/>
      <c r="I54" s="2481"/>
      <c r="J54" s="1812">
        <v>3</v>
      </c>
      <c r="K54" s="3117" t="s">
        <v>2204</v>
      </c>
      <c r="L54" s="3117"/>
      <c r="M54" s="1754">
        <f t="shared" ca="1" si="0"/>
        <v>67031</v>
      </c>
      <c r="N54" s="1812" t="str">
        <f t="shared" si="0"/>
        <v>增值额×税（费）率</v>
      </c>
      <c r="O54" s="1756" t="str">
        <f t="shared" si="0"/>
        <v>——</v>
      </c>
    </row>
    <row r="55" spans="1:35" ht="24" customHeight="1">
      <c r="A55" s="3066" t="s">
        <v>2205</v>
      </c>
      <c r="B55" s="3067"/>
      <c r="C55" s="3067"/>
      <c r="D55" s="185">
        <f ca="1">IF(H55="个人住宅",0,ROUND(D45*I55,0))</f>
        <v>59</v>
      </c>
      <c r="E55" s="11" t="s">
        <v>2206</v>
      </c>
      <c r="F55" s="184">
        <f>IF(H55="正常",I55,"免征")</f>
        <v>5.0000000000000001E-4</v>
      </c>
      <c r="G55" s="2483"/>
      <c r="H55" s="2480" t="s">
        <v>2207</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c r="A56" s="3066" t="s">
        <v>2208</v>
      </c>
      <c r="B56" s="3067"/>
      <c r="C56" s="3067"/>
      <c r="D56" s="185">
        <f ca="1">IF(H56="个人住宅",D57,D58)</f>
        <v>67031</v>
      </c>
      <c r="E56" s="11" t="s">
        <v>2209</v>
      </c>
      <c r="F56" s="184" t="str">
        <f>IF(H56="正常",F58,"免征")</f>
        <v>——</v>
      </c>
      <c r="G56" s="2485" t="s">
        <v>2210</v>
      </c>
      <c r="H56" s="2486" t="s">
        <v>2207</v>
      </c>
      <c r="I56" s="2487"/>
      <c r="J56" s="1812" t="str">
        <f>IF(项目基本情况!K6="上海银行",IF(J55="",4,J55+1),"")</f>
        <v/>
      </c>
      <c r="K56" s="3140" t="str">
        <f>IF(项目基本情况!K6="上海银行","其他处置费用","")</f>
        <v/>
      </c>
      <c r="L56" s="3141"/>
      <c r="M56" s="1754" t="str">
        <f>IF(项目基本情况!K6="上海银行",M69,"")</f>
        <v/>
      </c>
      <c r="N56" s="3143" t="str">
        <f>IF(项目基本情况!K6="上海银行","包含处置中涉及的律师、诉讼、拍卖、评估等费用","")</f>
        <v/>
      </c>
      <c r="O56" s="3144"/>
    </row>
    <row r="57" spans="1:35" ht="12.75">
      <c r="A57" s="183" t="s">
        <v>2183</v>
      </c>
      <c r="B57" s="3082" t="s">
        <v>2211</v>
      </c>
      <c r="C57" s="3091"/>
      <c r="D57" s="187">
        <v>0</v>
      </c>
      <c r="E57" s="23" t="s">
        <v>2185</v>
      </c>
      <c r="F57" s="155"/>
      <c r="G57" s="2483"/>
      <c r="H57" s="2487"/>
      <c r="I57" s="2487"/>
      <c r="J57" s="3117">
        <f>IF(AND(J55="",J56=""),4,IF(项目基本情况!K6="上海银行",结果表!J56+1,结果表!J55+1))</f>
        <v>4</v>
      </c>
      <c r="K57" s="3117" t="s">
        <v>2212</v>
      </c>
      <c r="L57" s="2488" t="s">
        <v>2213</v>
      </c>
      <c r="M57" s="1759"/>
      <c r="N57" s="1760">
        <f ca="1">SUMIF(M52:M56,"&lt;9e307")</f>
        <v>67090</v>
      </c>
      <c r="O57" s="2489"/>
      <c r="P57" s="1753">
        <f ca="1">N57/M49</f>
        <v>0.56649019260159927</v>
      </c>
    </row>
    <row r="58" spans="1:35" ht="24.75">
      <c r="A58" s="183" t="s">
        <v>2194</v>
      </c>
      <c r="B58" s="3082" t="s">
        <v>2214</v>
      </c>
      <c r="C58" s="3083"/>
      <c r="D58" s="185">
        <f ca="1">IF(H58="转让取得",C81,C97)</f>
        <v>67031</v>
      </c>
      <c r="E58" s="11" t="s">
        <v>2209</v>
      </c>
      <c r="F58" s="24" t="s">
        <v>34</v>
      </c>
      <c r="G58" s="2483"/>
      <c r="H58" s="2486" t="s">
        <v>2215</v>
      </c>
      <c r="I58" s="2487"/>
      <c r="J58" s="3117"/>
      <c r="K58" s="3117"/>
      <c r="L58" s="2488" t="s">
        <v>2216</v>
      </c>
      <c r="M58" s="1761"/>
      <c r="N58" s="2490" t="str">
        <f ca="1">NUMBERSTRING(INT(N57*10000),2)&amp;"元整"</f>
        <v>陆亿柒仟零玖拾万元整</v>
      </c>
      <c r="O58" s="2491"/>
    </row>
    <row r="59" spans="1:35" ht="24.75" thickBot="1">
      <c r="A59" s="3120" t="s">
        <v>2217</v>
      </c>
      <c r="B59" s="3121"/>
      <c r="C59" s="3121"/>
      <c r="D59" s="188" t="str">
        <f>IF(H59="非个人房产","——",IF(H59="个人住宅",0,ROUND(D45*I59,0)))</f>
        <v>——</v>
      </c>
      <c r="E59" s="189" t="str">
        <f>IF(H59="非个人房产","——","销售额×税（费）率")</f>
        <v>——</v>
      </c>
      <c r="F59" s="190" t="str">
        <f>IF(H59="非个人房产","——",IF(H59="个人住宅","免征",I59))</f>
        <v>——</v>
      </c>
      <c r="G59" s="2492" t="s">
        <v>2210</v>
      </c>
      <c r="H59" s="2486" t="s">
        <v>2218</v>
      </c>
      <c r="I59" s="191">
        <v>0.01</v>
      </c>
      <c r="J59" s="3118">
        <f>J57+1</f>
        <v>5</v>
      </c>
      <c r="K59" s="3117" t="s">
        <v>2219</v>
      </c>
      <c r="L59" s="1812" t="s">
        <v>2213</v>
      </c>
      <c r="M59" s="1762"/>
      <c r="N59" s="1763">
        <f ca="1">M49-N57</f>
        <v>51341</v>
      </c>
      <c r="O59" s="2493"/>
    </row>
    <row r="60" spans="1:35" ht="12" customHeight="1">
      <c r="A60" s="2494"/>
      <c r="B60" s="2416"/>
      <c r="C60" s="2416"/>
      <c r="D60" s="2416"/>
      <c r="E60" s="2165"/>
      <c r="F60" s="2487"/>
      <c r="G60" s="2487"/>
      <c r="H60" s="2495"/>
      <c r="I60" s="138"/>
      <c r="J60" s="3119"/>
      <c r="K60" s="3117"/>
      <c r="L60" s="2488" t="s">
        <v>2216</v>
      </c>
      <c r="M60" s="1761"/>
      <c r="N60" s="2490" t="str">
        <f ca="1">NUMBERSTRING(INT(N59*10000),2)&amp;"元整"</f>
        <v>伍亿壹仟叁佰肆拾壹万元整</v>
      </c>
      <c r="O60" s="2491"/>
    </row>
    <row r="61" spans="1:35" ht="13.5" thickBot="1">
      <c r="A61" s="3064" t="s">
        <v>2220</v>
      </c>
      <c r="B61" s="3064"/>
      <c r="C61" s="3064"/>
      <c r="D61" s="3064"/>
      <c r="E61" s="3064"/>
      <c r="F61" s="2487"/>
      <c r="G61" s="2487"/>
      <c r="H61" s="2495"/>
      <c r="I61" s="138"/>
      <c r="J61" s="1812">
        <f>J59+1</f>
        <v>6</v>
      </c>
      <c r="K61" s="3117" t="s">
        <v>2221</v>
      </c>
      <c r="L61" s="3117"/>
      <c r="M61" s="1764"/>
      <c r="N61" s="1765">
        <f ca="1">ROUND(N59*10000/'数据-汇总表'!E3,0)</f>
        <v>19636</v>
      </c>
      <c r="O61" s="2496"/>
    </row>
    <row r="62" spans="1:35" ht="12.75">
      <c r="A62" s="3080" t="s">
        <v>2222</v>
      </c>
      <c r="B62" s="3081"/>
      <c r="C62" s="1804"/>
      <c r="D62" s="1804" t="s">
        <v>2223</v>
      </c>
      <c r="E62" s="192" t="s">
        <v>2224</v>
      </c>
      <c r="F62" s="2487"/>
      <c r="G62" s="2487"/>
      <c r="H62" s="2495"/>
      <c r="I62" s="138"/>
    </row>
    <row r="63" spans="1:35" ht="12.75">
      <c r="A63" s="203" t="s">
        <v>775</v>
      </c>
      <c r="B63" s="193" t="s">
        <v>2225</v>
      </c>
      <c r="C63" s="194">
        <f ca="1">ROUND((C64+C65)/(1+'数据-取费表'!C42),0)</f>
        <v>112791</v>
      </c>
      <c r="D63" s="195"/>
      <c r="E63" s="196"/>
      <c r="F63" s="2487"/>
      <c r="G63" s="2487"/>
      <c r="H63" s="2495"/>
      <c r="I63" s="138"/>
      <c r="J63" s="3142" t="s">
        <v>2226</v>
      </c>
      <c r="K63" s="2497" t="s">
        <v>2227</v>
      </c>
      <c r="L63" s="1752">
        <f ca="1">IF(M49&gt;10000,M49*0.5%,IF(AND(M49&gt;1000,M49&lt;=10000),M49*1%,IF(AND(M49&gt;100,M49&lt;=1000),M49*3%,IF(AND(M49&gt;10,M49&lt;=100),M49*5%,M49*8%))))</f>
        <v>592.15499999999997</v>
      </c>
      <c r="M63" s="24">
        <f ca="1">ROUND(L63,1)</f>
        <v>592.20000000000005</v>
      </c>
      <c r="Z63" s="2421"/>
      <c r="AI63" s="2422"/>
    </row>
    <row r="64" spans="1:35" ht="14.25" customHeight="1">
      <c r="A64" s="197" t="s">
        <v>770</v>
      </c>
      <c r="B64" s="198" t="s">
        <v>2228</v>
      </c>
      <c r="C64" s="199">
        <f ca="1">D45</f>
        <v>118431</v>
      </c>
      <c r="D64" s="200" t="s">
        <v>32</v>
      </c>
      <c r="E64" s="201"/>
      <c r="F64" s="2487"/>
      <c r="G64" s="2487"/>
      <c r="H64" s="2495"/>
      <c r="I64" s="138"/>
      <c r="J64" s="3142"/>
      <c r="K64" s="2497" t="s">
        <v>2229</v>
      </c>
      <c r="L64" s="1752">
        <f ca="1">IF(M49&gt;2000,M49*0.5%,IF(AND(M49&gt;1000,M49&lt;=2000),M49*0.6%,IF(AND(M49&gt;500,M49&lt;=1000),M49*0.7%,IF(AND(M49&gt;200,M49&lt;=500),M49*0.8%,IF(AND(M49&gt;100,M49&lt;=200),M49*0.9%,IF(AND(M49&gt;50,M49&lt;=100),M49*1%,IF(AND(M49&gt;20,M49&lt;=50),M49*1.5%,IF(AND(M49&gt;10,M49&lt;=20),M49*2%,IF(AND(M49&gt;1,M49&lt;=10),M49*2.5%)))))))))</f>
        <v>592.15499999999997</v>
      </c>
      <c r="M64" s="24">
        <f ca="1">ROUND(L64,1)</f>
        <v>592.20000000000005</v>
      </c>
      <c r="N64" s="138" t="s">
        <v>2230</v>
      </c>
      <c r="Z64" s="2421"/>
      <c r="AI64" s="2422"/>
    </row>
    <row r="65" spans="1:35" ht="14.25" customHeight="1">
      <c r="A65" s="197" t="s">
        <v>771</v>
      </c>
      <c r="B65" s="198" t="s">
        <v>2231</v>
      </c>
      <c r="C65" s="202"/>
      <c r="D65" s="200"/>
      <c r="E65" s="201"/>
      <c r="F65" s="2487"/>
      <c r="G65" s="2487"/>
      <c r="H65" s="2495"/>
      <c r="I65" s="138"/>
      <c r="J65" s="3142"/>
      <c r="K65" s="2497" t="s">
        <v>2232</v>
      </c>
      <c r="L65" s="1752">
        <f ca="1">IF(M49&gt;1000,M49*0.1%,IF(AND(M49&gt;500,M49&lt;=1000),M49*0.5%,IF(AND(M49&gt;50,M49&lt;=500),M49*1%,IF(AND(M49&gt;1,M49&lt;=50),M49*1.5%))))</f>
        <v>118.431</v>
      </c>
      <c r="M65" s="24">
        <f ca="1">ROUND(L65,1)</f>
        <v>118.4</v>
      </c>
      <c r="N65" s="138" t="s">
        <v>2230</v>
      </c>
      <c r="Z65" s="2421"/>
      <c r="AI65" s="2422"/>
    </row>
    <row r="66" spans="1:35" ht="14.25" customHeight="1">
      <c r="A66" s="203" t="s">
        <v>772</v>
      </c>
      <c r="B66" s="204" t="s">
        <v>2233</v>
      </c>
      <c r="C66" s="205"/>
      <c r="D66" s="206" t="s">
        <v>32</v>
      </c>
      <c r="E66" s="1776" t="s">
        <v>1367</v>
      </c>
      <c r="F66" s="2487"/>
      <c r="G66" s="2487"/>
      <c r="H66" s="2495"/>
      <c r="I66" s="138"/>
      <c r="J66" s="3142"/>
      <c r="K66" s="2497" t="s">
        <v>2234</v>
      </c>
      <c r="L66" s="1752">
        <f ca="1">M49*0.5%</f>
        <v>592.15499999999997</v>
      </c>
      <c r="M66" s="24">
        <f ca="1">IF(L66&gt;0.5,0.5,ROUND(L66,0))</f>
        <v>0.5</v>
      </c>
      <c r="N66" s="138" t="s">
        <v>2235</v>
      </c>
      <c r="Z66" s="2421"/>
      <c r="AI66" s="2422"/>
    </row>
    <row r="67" spans="1:35" ht="14.25" customHeight="1">
      <c r="A67" s="203" t="s">
        <v>773</v>
      </c>
      <c r="B67" s="204" t="s">
        <v>2236</v>
      </c>
      <c r="C67" s="207">
        <f ca="1">C63-C66</f>
        <v>112791</v>
      </c>
      <c r="D67" s="200" t="s">
        <v>32</v>
      </c>
      <c r="E67" s="201"/>
      <c r="F67" s="2487"/>
      <c r="G67" s="2487"/>
      <c r="H67" s="2495"/>
      <c r="I67" s="138"/>
      <c r="J67" s="3142"/>
      <c r="K67" s="2497" t="s">
        <v>2237</v>
      </c>
      <c r="L67" s="1752">
        <f ca="1">IF(M49&gt;=10000,(8.25+(M49-10000)*0.01%),IF(AND(M49&gt;=8000,M49&lt;10000),(7.85+(M49-8000)*0.02%),IF(AND(M49&gt;=5000,M49&lt;8000),(6.65+(M49-5000)*0.04%),IF(AND(M49&gt;=2000,M49&lt;5000),(4.25+(PM49-2000)*0.08%),IF(AND(M49&gt;=1000,M49&lt;2000),(2.75+(M49-1000)*0.15%),IF(AND(M49&gt;=100,M49&lt;1000),(0.5+(M49-100)*0.25%),IF(AND(M49&gt;0,M49&lt;100),M49*0.5%)))))))</f>
        <v>19.0931</v>
      </c>
      <c r="M67" s="24">
        <f ca="1">ROUND(L67*0.9,1)</f>
        <v>17.2</v>
      </c>
      <c r="Z67" s="2421"/>
      <c r="AI67" s="2422"/>
    </row>
    <row r="68" spans="1:35" ht="14.25" customHeight="1" thickBot="1">
      <c r="A68" s="208" t="s">
        <v>774</v>
      </c>
      <c r="B68" s="209" t="s">
        <v>2238</v>
      </c>
      <c r="C68" s="210">
        <f ca="1">IF(C67&lt;=0,0,ROUND(C67*D68,0))</f>
        <v>6316</v>
      </c>
      <c r="D68" s="211">
        <f>'数据-取费表'!B41</f>
        <v>5.6000000000000001E-2</v>
      </c>
      <c r="E68" s="212"/>
      <c r="F68" s="2487"/>
      <c r="G68" s="2487"/>
      <c r="H68" s="2495"/>
      <c r="I68" s="138"/>
      <c r="J68" s="3142"/>
      <c r="K68" s="2497" t="s">
        <v>2239</v>
      </c>
      <c r="L68" s="1752">
        <f ca="1">IF(M49&gt;10000,M49*0.5%,IF(AND(M49&gt;5000,M49&lt;=10000),M49*1%,IF(AND(M49&gt;1000,M49&lt;=5000),M49*2%,IF(AND(M49&gt;200,M49&lt;=1000),M49*3%,M49*5%))))</f>
        <v>592.15499999999997</v>
      </c>
      <c r="M68" s="24">
        <f ca="1">ROUND(L68,1)</f>
        <v>592.20000000000005</v>
      </c>
      <c r="Z68" s="2421"/>
      <c r="AI68" s="2422"/>
    </row>
    <row r="69" spans="1:35" s="2444" customFormat="1" ht="16.5" customHeight="1">
      <c r="A69" s="2498"/>
      <c r="B69" s="2499"/>
      <c r="C69" s="2500"/>
      <c r="D69" s="2501"/>
      <c r="E69" s="2502"/>
      <c r="F69" s="2165"/>
      <c r="G69" s="2165"/>
      <c r="H69" s="2164"/>
      <c r="I69" s="2416"/>
      <c r="J69" s="3142"/>
      <c r="K69" s="2497" t="s">
        <v>2240</v>
      </c>
      <c r="L69" s="2503"/>
      <c r="M69" s="24">
        <f ca="1">ROUND(SUM(M63:M68),0)</f>
        <v>1913</v>
      </c>
      <c r="N69" s="1753">
        <f ca="1">M69/M49</f>
        <v>1.6152865381530174E-2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1" t="s">
        <v>2241</v>
      </c>
      <c r="B70" s="3102"/>
      <c r="C70" s="3102"/>
      <c r="D70" s="3102"/>
      <c r="E70" s="3102"/>
      <c r="F70" s="3102"/>
      <c r="G70" s="3102"/>
      <c r="H70" s="310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0" t="s">
        <v>2222</v>
      </c>
      <c r="B71" s="3081"/>
      <c r="C71" s="1804"/>
      <c r="D71" s="1804" t="s">
        <v>2223</v>
      </c>
      <c r="E71" s="213" t="s">
        <v>2224</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2242</v>
      </c>
      <c r="C72" s="207">
        <f ca="1">ROUND(D45/(1+'数据-取费表'!C42),0)</f>
        <v>112791</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2243</v>
      </c>
      <c r="C73" s="207">
        <f ca="1">C74+C78</f>
        <v>677</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2244</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2245</v>
      </c>
      <c r="C75" s="218"/>
      <c r="D75" s="200" t="s">
        <v>32</v>
      </c>
      <c r="E75" s="219" t="s">
        <v>2246</v>
      </c>
      <c r="F75" s="2509" t="s">
        <v>2247</v>
      </c>
      <c r="G75" s="219" t="s">
        <v>2248</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2249</v>
      </c>
      <c r="C76" s="200">
        <f>IF(F75="购房发票",ROUND(C75*H75*D76,0),0)</f>
        <v>0</v>
      </c>
      <c r="D76" s="222">
        <v>0.05</v>
      </c>
      <c r="E76" s="3075" t="s">
        <v>2250</v>
      </c>
      <c r="F76" s="3052"/>
      <c r="G76" s="3052"/>
      <c r="H76" s="310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1" t="s">
        <v>2253</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2254</v>
      </c>
      <c r="C78" s="225">
        <f ca="1">ROUND(D45*D78/(1+'数据-取费表'!C42),0)</f>
        <v>677</v>
      </c>
      <c r="D78" s="226">
        <f>'数据-取费表'!B43</f>
        <v>6.000000000000001E-3</v>
      </c>
      <c r="E78" s="3061" t="s">
        <v>2255</v>
      </c>
      <c r="F78" s="3062"/>
      <c r="G78" s="3062"/>
      <c r="H78" s="307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2256</v>
      </c>
      <c r="C79" s="207">
        <f ca="1">C72-C73</f>
        <v>112114</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2257</v>
      </c>
      <c r="C80" s="227">
        <f ca="1">IF(C79&lt;=0,0,C79/C73)</f>
        <v>165.60413589364845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2258</v>
      </c>
      <c r="C81" s="228">
        <f ca="1">ROUND(IF(C79&lt;=0,0,IF(C80&gt;=200%,C79*60%-C73*35%,IF(C80&gt;=100%,C79*50%-C73*15%,IF(C80&gt;=50%,C79*40%-C73*5%,IF(C80&lt;50%,C79*30%,0))))),0)</f>
        <v>67031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1" t="s">
        <v>2259</v>
      </c>
      <c r="B83" s="3102"/>
      <c r="C83" s="3102"/>
      <c r="D83" s="3102"/>
      <c r="E83" s="3102"/>
      <c r="F83" s="3102"/>
      <c r="G83" s="3102"/>
      <c r="H83" s="310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0" t="s">
        <v>2222</v>
      </c>
      <c r="B84" s="3081"/>
      <c r="C84" s="1804"/>
      <c r="D84" s="1804" t="s">
        <v>2223</v>
      </c>
      <c r="E84" s="213" t="s">
        <v>2224</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2242</v>
      </c>
      <c r="C85" s="207">
        <f ca="1">ROUND(D45/(1+'数据-取费表'!C42),0)</f>
        <v>112791</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2243</v>
      </c>
      <c r="C86" s="207">
        <f ca="1">IF(H88="仅含出让金",C87+C90+C91+C92+C93+C94,C87+C91+C92+C93+C94)</f>
        <v>677</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2260</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2261</v>
      </c>
      <c r="C88" s="236"/>
      <c r="D88" s="226"/>
      <c r="E88" s="237" t="s">
        <v>2262</v>
      </c>
      <c r="F88" s="1800"/>
      <c r="G88" s="238" t="s">
        <v>2263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2251</v>
      </c>
      <c r="C89" s="225">
        <f>ROUND(C88*D89,0)</f>
        <v>0</v>
      </c>
      <c r="D89" s="226">
        <f>'数据-取费表'!B48+'数据-取费表'!B49</f>
        <v>3.0499999999999999E-2</v>
      </c>
      <c r="E89" s="237" t="s">
        <v>2264</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2265</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2266</v>
      </c>
      <c r="B91" s="198" t="s">
        <v>2267</v>
      </c>
      <c r="C91" s="225">
        <f>IF(H91="——",成本法!C33,I91)</f>
        <v>0</v>
      </c>
      <c r="D91" s="226"/>
      <c r="E91" s="3061" t="s">
        <v>2268</v>
      </c>
      <c r="F91" s="3062"/>
      <c r="G91" s="3062"/>
      <c r="H91" s="2516" t="s">
        <v>2269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2270</v>
      </c>
      <c r="B92" s="198" t="s">
        <v>2271</v>
      </c>
      <c r="C92" s="225">
        <f>ROUND((C87+C90+C91)*D92,0)</f>
        <v>0</v>
      </c>
      <c r="D92" s="226">
        <v>0.1</v>
      </c>
      <c r="E92" s="3061" t="s">
        <v>2272</v>
      </c>
      <c r="F92" s="3062"/>
      <c r="G92" s="3062"/>
      <c r="H92" s="307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2273</v>
      </c>
      <c r="B93" s="198" t="s">
        <v>2254</v>
      </c>
      <c r="C93" s="225">
        <f ca="1">ROUND(D45*D93/(1+'数据-取费表'!C42),0)</f>
        <v>677</v>
      </c>
      <c r="D93" s="226">
        <f>'数据-取费表'!B43</f>
        <v>6.000000000000001E-3</v>
      </c>
      <c r="E93" s="3061" t="s">
        <v>2255</v>
      </c>
      <c r="F93" s="3062"/>
      <c r="G93" s="3062"/>
      <c r="H93" s="307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2274</v>
      </c>
      <c r="B94" s="198" t="s">
        <v>2275</v>
      </c>
      <c r="C94" s="236">
        <f>ROUND((C87+C90+C91)*D94,0)</f>
        <v>0</v>
      </c>
      <c r="D94" s="226">
        <v>0.2</v>
      </c>
      <c r="E94" s="3072" t="s">
        <v>2276</v>
      </c>
      <c r="F94" s="3073"/>
      <c r="G94" s="3073"/>
      <c r="H94" s="30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2256</v>
      </c>
      <c r="C95" s="207">
        <f ca="1">ROUND(C85-C86,0)</f>
        <v>112114</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2257</v>
      </c>
      <c r="C96" s="227">
        <f ca="1">IF(C95&lt;=0,0,C95/C86)</f>
        <v>165.60413589364845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2258</v>
      </c>
      <c r="C97" s="228">
        <f ca="1">ROUND(IF(C95&lt;=0,0,IF(C96&gt;=200%,C95*60%-C86*35%,IF(C96&gt;=100%,C95*50%-C86*15%,IF(C96&gt;=50%,C95*40%-C86*5%,IF(C96&lt;50%,C95*30%,0))))),0)</f>
        <v>67031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2277</v>
      </c>
      <c r="B99" s="2416"/>
      <c r="C99" s="2416"/>
      <c r="D99" s="2416"/>
      <c r="E99" s="2165"/>
      <c r="F99" s="2165"/>
      <c r="G99" s="2165"/>
      <c r="H99" s="2164"/>
      <c r="I99" s="138"/>
    </row>
    <row r="100" spans="1:35" ht="18.75" customHeight="1">
      <c r="A100" s="3046" t="s">
        <v>2278</v>
      </c>
      <c r="B100" s="3047"/>
      <c r="C100" s="3047"/>
      <c r="D100" s="3063"/>
      <c r="E100" s="3047" t="s">
        <v>2279</v>
      </c>
      <c r="F100" s="3047"/>
      <c r="G100" s="3047"/>
      <c r="H100" s="3063"/>
      <c r="I100" s="138"/>
    </row>
    <row r="101" spans="1:35" ht="18.75" customHeight="1">
      <c r="A101" s="3125" t="s">
        <v>2280</v>
      </c>
      <c r="B101" s="3126"/>
      <c r="C101" s="736" t="str">
        <f>C4</f>
        <v>成本法</v>
      </c>
      <c r="D101" s="737" t="str">
        <f>D4</f>
        <v>收益法</v>
      </c>
      <c r="E101" s="3139" t="s">
        <v>2281</v>
      </c>
      <c r="F101" s="3093"/>
      <c r="G101" s="2518" t="s">
        <v>2282</v>
      </c>
      <c r="H101" s="1048">
        <f ca="1">H118</f>
        <v>118431</v>
      </c>
      <c r="I101" s="138"/>
    </row>
    <row r="102" spans="1:35" ht="18.75" customHeight="1">
      <c r="A102" s="3095" t="s">
        <v>2283</v>
      </c>
      <c r="B102" s="2518" t="s">
        <v>2282</v>
      </c>
      <c r="C102" s="736">
        <f ca="1">C19</f>
        <v>183085</v>
      </c>
      <c r="D102" s="737">
        <f ca="1">D19</f>
        <v>65533</v>
      </c>
      <c r="E102" s="3139"/>
      <c r="F102" s="3093"/>
      <c r="G102" s="2518" t="s">
        <v>2284</v>
      </c>
      <c r="H102" s="371">
        <f ca="1">I118</f>
        <v>45296</v>
      </c>
      <c r="I102" s="138"/>
    </row>
    <row r="103" spans="1:35" ht="42.75" customHeight="1">
      <c r="A103" s="3095"/>
      <c r="B103" s="2518" t="s">
        <v>2284</v>
      </c>
      <c r="C103" s="738">
        <f ca="1">C20</f>
        <v>70024</v>
      </c>
      <c r="D103" s="739">
        <f ca="1">D20</f>
        <v>25064</v>
      </c>
      <c r="E103" s="3134" t="s">
        <v>2285</v>
      </c>
      <c r="F103" s="3135"/>
      <c r="G103" s="2519" t="s">
        <v>2286</v>
      </c>
      <c r="H103" s="1048">
        <f>IF(D36="正常操作",H104+H105+H106,H105+H106)</f>
        <v>0</v>
      </c>
      <c r="I103" s="138"/>
    </row>
    <row r="104" spans="1:35" ht="18.75" customHeight="1">
      <c r="A104" s="3095" t="s">
        <v>2287</v>
      </c>
      <c r="B104" s="2520" t="s">
        <v>2282</v>
      </c>
      <c r="C104" s="740">
        <f ca="1">H118</f>
        <v>118431</v>
      </c>
      <c r="D104" s="741"/>
      <c r="E104" s="2266" t="s">
        <v>2288</v>
      </c>
      <c r="F104" s="2257"/>
      <c r="G104" s="2519" t="s">
        <v>2286</v>
      </c>
      <c r="H104" s="1049">
        <f>IF(D36="同一抵押权人同一抵押物续贷",C36&amp;"（未扣减，详见特别提示）",C36)</f>
        <v>0</v>
      </c>
      <c r="I104" s="138"/>
    </row>
    <row r="105" spans="1:35" ht="18.75" customHeight="1" thickBot="1">
      <c r="A105" s="3096"/>
      <c r="B105" s="2521" t="s">
        <v>2284</v>
      </c>
      <c r="C105" s="742">
        <f ca="1">I118</f>
        <v>45296</v>
      </c>
      <c r="D105" s="743"/>
      <c r="E105" s="2266" t="s">
        <v>2289</v>
      </c>
      <c r="F105" s="2257"/>
      <c r="G105" s="2519" t="s">
        <v>2286</v>
      </c>
      <c r="H105" s="1049">
        <f>C37</f>
        <v>0</v>
      </c>
      <c r="I105" s="138"/>
    </row>
    <row r="106" spans="1:35" ht="18.75" customHeight="1">
      <c r="A106" s="2416" t="s">
        <v>2290</v>
      </c>
      <c r="B106" s="2416"/>
      <c r="C106" s="2416"/>
      <c r="D106" s="2416"/>
      <c r="E106" s="2522" t="s">
        <v>2291</v>
      </c>
      <c r="F106" s="2257"/>
      <c r="G106" s="2519" t="s">
        <v>2286</v>
      </c>
      <c r="H106" s="1049">
        <f>C38</f>
        <v>0</v>
      </c>
      <c r="I106" s="138"/>
    </row>
    <row r="107" spans="1:35" ht="18.75" customHeight="1">
      <c r="A107" s="138"/>
      <c r="B107" s="138"/>
      <c r="C107" s="138"/>
      <c r="D107" s="138"/>
      <c r="E107" s="3092" t="str">
        <f>IF(项目基本情况!E8="已注销","——","3.房地产抵押价值")</f>
        <v>——</v>
      </c>
      <c r="F107" s="3093"/>
      <c r="G107" s="2518" t="s">
        <v>2282</v>
      </c>
      <c r="H107" s="1048" t="str">
        <f>IF(E107="——","——",H101-H103)</f>
        <v>——</v>
      </c>
      <c r="I107" s="138"/>
    </row>
    <row r="108" spans="1:35" ht="18.75" customHeight="1">
      <c r="A108" s="138"/>
      <c r="B108" s="138"/>
      <c r="C108" s="138"/>
      <c r="D108" s="138"/>
      <c r="E108" s="3092"/>
      <c r="F108" s="3093"/>
      <c r="G108" s="2518" t="s">
        <v>2284</v>
      </c>
      <c r="H108" s="371" t="e">
        <f>ROUND(H107*10000/'数据-汇总表'!E3,0)</f>
        <v>#VALUE!</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3.抵押担保权已注销时的房地产抵押价值</v>
      </c>
      <c r="F109" s="3093"/>
      <c r="G109" s="2518" t="s">
        <v>2282</v>
      </c>
      <c r="H109" s="348">
        <f ca="1">IF(E109="——","——",H101-H105-H106)</f>
        <v>118431</v>
      </c>
      <c r="I109" s="138"/>
    </row>
    <row r="110" spans="1:35" ht="18.75" customHeight="1">
      <c r="A110" s="138"/>
      <c r="B110" s="138"/>
      <c r="C110" s="138"/>
      <c r="D110" s="138"/>
      <c r="E110" s="3092"/>
      <c r="F110" s="3093"/>
      <c r="G110" s="2518" t="s">
        <v>2284</v>
      </c>
      <c r="H110" s="371">
        <f ca="1">IF(H109="——","——",ROUND(H109*10000/'数据-汇总表'!E3,0))</f>
        <v>45296</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8" t="s">
        <v>2282</v>
      </c>
      <c r="H111" s="1048" t="str">
        <f>IF(E111="——","——",N59)</f>
        <v>——</v>
      </c>
      <c r="I111" s="138"/>
    </row>
    <row r="112" spans="1:35" ht="18.75" customHeight="1" thickBot="1">
      <c r="A112" s="138"/>
      <c r="B112" s="138"/>
      <c r="C112" s="138"/>
      <c r="D112" s="138"/>
      <c r="E112" s="3129"/>
      <c r="F112" s="3130"/>
      <c r="G112" s="2523" t="s">
        <v>2284</v>
      </c>
      <c r="H112" s="790" t="str">
        <f>IF(E111="——","——",N61)</f>
        <v>——</v>
      </c>
      <c r="I112" s="138"/>
    </row>
    <row r="113" spans="1:11" ht="18.75" customHeight="1">
      <c r="A113" s="138"/>
      <c r="B113" s="138"/>
      <c r="C113" s="138"/>
      <c r="D113" s="138"/>
      <c r="E113" s="3097" t="s">
        <v>2290</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2292</v>
      </c>
      <c r="B115" s="3111"/>
      <c r="C115" s="3111"/>
      <c r="D115" s="3111"/>
      <c r="E115" s="3111"/>
      <c r="F115" s="3111"/>
      <c r="G115" s="3111"/>
      <c r="H115" s="3111"/>
      <c r="I115" s="3112"/>
    </row>
    <row r="116" spans="1:11" ht="27" customHeight="1">
      <c r="A116" s="3003" t="s">
        <v>2293</v>
      </c>
      <c r="B116" s="3098" t="s">
        <v>3095</v>
      </c>
      <c r="C116" s="3098" t="s">
        <v>3094</v>
      </c>
      <c r="D116" s="3114" t="s">
        <v>2294</v>
      </c>
      <c r="E116" s="3115"/>
      <c r="F116" s="3106" t="s">
        <v>3096</v>
      </c>
      <c r="G116" s="3106"/>
      <c r="H116" s="3003" t="s">
        <v>2295</v>
      </c>
      <c r="I116" s="3003"/>
    </row>
    <row r="117" spans="1:11" ht="18.75" customHeight="1">
      <c r="A117" s="3003"/>
      <c r="B117" s="3099"/>
      <c r="C117" s="3099"/>
      <c r="D117" s="1798" t="s">
        <v>2296</v>
      </c>
      <c r="E117" s="1798" t="s">
        <v>2297</v>
      </c>
      <c r="F117" s="1798" t="s">
        <v>2296</v>
      </c>
      <c r="G117" s="1798" t="s">
        <v>2298</v>
      </c>
      <c r="H117" s="1798" t="s">
        <v>2296</v>
      </c>
      <c r="I117" s="1798" t="s">
        <v>2298</v>
      </c>
    </row>
    <row r="118" spans="1:11" ht="24.75" customHeight="1">
      <c r="A118" s="2524" t="str">
        <f>项目基本情况!S2</f>
        <v>北京市东城区广渠门内大街35号房地产</v>
      </c>
      <c r="B118" s="1798">
        <f>M18</f>
        <v>26146.04</v>
      </c>
      <c r="C118" s="1798">
        <f>M19</f>
        <v>4360.21</v>
      </c>
      <c r="D118" s="1798">
        <f ca="1">ROUND(IF(D32="总价",C34,E118*B118/10000),0)</f>
        <v>105759</v>
      </c>
      <c r="E118" s="1798">
        <f ca="1">ROUND(IF(C33="自定义",IF(D32="楼面单价",C34,D118*10000/B118),I118-G118),0)</f>
        <v>40449</v>
      </c>
      <c r="F118" s="1798">
        <f ca="1">ROUND(IF(D32="总价",C35,G118*B118/10000),0)</f>
        <v>12672</v>
      </c>
      <c r="G118" s="1798">
        <f ca="1">ROUND(IF(D32="楼面单价",C35,F118*10000/B118),0)</f>
        <v>4847</v>
      </c>
      <c r="H118" s="1798">
        <f ca="1">ROUND(IF(D32="总价",C32,I118*B118/10000),0)</f>
        <v>118431</v>
      </c>
      <c r="I118" s="1798">
        <f ca="1">ROUND(IF(D32="楼面单价",C32,H118*10000/B118),0)</f>
        <v>45296</v>
      </c>
    </row>
    <row r="119" spans="1:11" ht="18.75" customHeight="1">
      <c r="A119" s="3003" t="s">
        <v>2299</v>
      </c>
      <c r="B119" s="3003"/>
      <c r="C119" s="3003"/>
      <c r="D119" s="3103" t="str">
        <f ca="1">NUMBERSTRING(INT(D118*10000),2)&amp;"元整"</f>
        <v>壹拾亿伍仟柒佰伍拾玖万元整</v>
      </c>
      <c r="E119" s="3105"/>
      <c r="F119" s="3103" t="str">
        <f ca="1">NUMBERSTRING(INT(F118*10000),2)&amp;"元整"</f>
        <v>壹亿贰仟陆佰柒拾贰万元整</v>
      </c>
      <c r="G119" s="3105"/>
      <c r="H119" s="3103" t="str">
        <f ca="1">NUMBERSTRING(INT(H118*10000),2)&amp;"元整"</f>
        <v>壹拾壹亿捌仟肆佰叁拾壹万元整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1" t="str">
        <f>IF(D120=0,"故，本次评估不存在"&amp;A120,"故，本次评估"&amp;A120&amp;"为人民币"&amp;D120&amp;"万元整。")</f>
        <v>故，本次评估不存在估价师知悉的法定优先受偿款</v>
      </c>
    </row>
    <row r="121" spans="1:11" ht="18.75" customHeight="1">
      <c r="A121" s="3107" t="s">
        <v>2299</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
      </c>
      <c r="B122" s="3094"/>
      <c r="C122" s="3094"/>
      <c r="D122" s="3131" t="str">
        <f>H107</f>
        <v>——</v>
      </c>
      <c r="E122" s="3132"/>
      <c r="F122" s="3132"/>
      <c r="G122" s="3132"/>
      <c r="H122" s="3132"/>
      <c r="I122" s="3133"/>
    </row>
    <row r="123" spans="1:11" ht="18.75" customHeight="1">
      <c r="A123" s="3003" t="s">
        <v>2299</v>
      </c>
      <c r="B123" s="3003"/>
      <c r="C123" s="3003"/>
      <c r="D123" s="3103" t="e">
        <f>NUMBERSTRING(INT(D122*10000),2)&amp;"元整"</f>
        <v>#VALUE!</v>
      </c>
      <c r="E123" s="3104"/>
      <c r="F123" s="3104"/>
      <c r="G123" s="3104"/>
      <c r="H123" s="3104"/>
      <c r="I123" s="3105"/>
    </row>
    <row r="124" spans="1:11" ht="18.75" customHeight="1">
      <c r="A124" s="3094" t="str">
        <f>IF(项目基本情况!B9="房地产市场价值","",MID(E109,3,LEN(E109)-2))</f>
        <v>抵押担保权已注销时的房地产抵押价值</v>
      </c>
      <c r="B124" s="3094"/>
      <c r="C124" s="3094"/>
      <c r="D124" s="3131">
        <f ca="1">H109</f>
        <v>118431</v>
      </c>
      <c r="E124" s="3132"/>
      <c r="F124" s="3132"/>
      <c r="G124" s="3132"/>
      <c r="H124" s="3132"/>
      <c r="I124" s="3133"/>
    </row>
    <row r="125" spans="1:11" ht="18.75" customHeight="1">
      <c r="A125" s="3003" t="s">
        <v>2299</v>
      </c>
      <c r="B125" s="3003"/>
      <c r="C125" s="3003"/>
      <c r="D125" s="3103" t="str">
        <f ca="1">NUMBERSTRING(INT(D124*10000),2)&amp;"元整"</f>
        <v>壹拾壹亿捌仟肆佰叁拾壹万元整</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2299</v>
      </c>
      <c r="B127" s="3003"/>
      <c r="C127" s="3003"/>
      <c r="D127" s="3103" t="e">
        <f>NUMBERSTRING(INT(D126*10000),2)&amp;"元整"</f>
        <v>#VALUE!</v>
      </c>
      <c r="E127" s="3104"/>
      <c r="F127" s="3104"/>
      <c r="G127" s="3104"/>
      <c r="H127" s="3104"/>
      <c r="I127" s="3105"/>
    </row>
    <row r="128" spans="1:11" ht="21.75" customHeight="1">
      <c r="A128" s="3113" t="s">
        <v>2300</v>
      </c>
      <c r="B128" s="3113"/>
      <c r="C128" s="3113"/>
      <c r="D128" s="3113"/>
      <c r="E128" s="3113"/>
      <c r="F128" s="3113"/>
      <c r="G128" s="3113"/>
      <c r="H128" s="3113"/>
      <c r="I128" s="3113"/>
    </row>
    <row r="129" spans="1:35" ht="21.75" customHeight="1">
      <c r="A129" s="2525" t="s">
        <v>2301</v>
      </c>
      <c r="B129" s="2526"/>
      <c r="C129" s="2527" t="s">
        <v>2302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2303</v>
      </c>
      <c r="G135" s="2542"/>
      <c r="H135" s="2542"/>
      <c r="I135" s="2543" t="s">
        <v>2304</v>
      </c>
    </row>
    <row r="136" spans="1:35" ht="21.75" customHeight="1">
      <c r="A136" s="795"/>
      <c r="B136" s="2544" t="s">
        <v>2305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2306</v>
      </c>
    </row>
    <row r="139" spans="1:35" ht="21.75" customHeight="1">
      <c r="A139" s="795"/>
      <c r="B139" s="2544" t="s">
        <v>2307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2306</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6" sqref="D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2308</v>
      </c>
      <c r="B1" s="1940" t="s">
        <v>1373</v>
      </c>
      <c r="C1" s="242"/>
      <c r="D1" s="242"/>
      <c r="E1" s="242"/>
      <c r="F1" s="242"/>
      <c r="G1" s="1382">
        <f>MATCH(B1,'数据-取费表'!A6:A16,0)+5</f>
        <v>6</v>
      </c>
    </row>
    <row r="2" spans="1:9" s="244" customFormat="1" ht="18" customHeight="1">
      <c r="A2" s="245" t="s">
        <v>2309</v>
      </c>
      <c r="B2" s="246">
        <f ca="1">IF(D2="——",C52,C52-E2)</f>
        <v>183085</v>
      </c>
      <c r="C2" s="243" t="s">
        <v>2310</v>
      </c>
      <c r="D2" s="2547" t="s">
        <v>70</v>
      </c>
      <c r="E2" s="1443" t="e">
        <f ca="1">SUMIF(INDIRECT("'"&amp;G2&amp;"'"&amp;"!A:A"),"承租人权益价值",INDIRECT("'"&amp;G2&amp;"'"&amp;"!c:c"))</f>
        <v>#REF!</v>
      </c>
      <c r="F2" s="2548" t="s">
        <v>2310</v>
      </c>
      <c r="G2" s="2549"/>
    </row>
    <row r="3" spans="1:9" s="244" customFormat="1" ht="18" customHeight="1" thickBot="1">
      <c r="A3" s="247" t="s">
        <v>2311</v>
      </c>
      <c r="B3" s="248">
        <f ca="1">ROUND(B2*10000/(IF(B1="",'数据-汇总表'!E3,INDIRECT("'数据-取费表'!k"&amp;$G$1))),0)</f>
        <v>70024</v>
      </c>
      <c r="C3" s="243" t="s">
        <v>2312</v>
      </c>
      <c r="D3" s="243"/>
      <c r="E3" s="243"/>
      <c r="F3" s="243"/>
      <c r="G3" s="243"/>
    </row>
    <row r="4" spans="1:9" s="252" customFormat="1" ht="15.75">
      <c r="A4" s="249" t="s">
        <v>2313</v>
      </c>
      <c r="B4" s="250"/>
      <c r="C4" s="250"/>
      <c r="D4" s="250"/>
      <c r="E4" s="250"/>
      <c r="F4" s="250"/>
      <c r="G4" s="251"/>
    </row>
    <row r="5" spans="1:9" s="258" customFormat="1" ht="13.5" customHeight="1">
      <c r="A5" s="299" t="s">
        <v>2314</v>
      </c>
      <c r="B5" s="254" t="s">
        <v>2315</v>
      </c>
      <c r="C5" s="255">
        <f ca="1">C6+C7+C8</f>
        <v>127805</v>
      </c>
      <c r="D5" s="255" t="s">
        <v>2316</v>
      </c>
      <c r="E5" s="256" t="s">
        <v>2317</v>
      </c>
      <c r="F5" s="256" t="s">
        <v>2318</v>
      </c>
      <c r="G5" s="257"/>
    </row>
    <row r="6" spans="1:9" s="258" customFormat="1" ht="13.5" customHeight="1">
      <c r="A6" s="952" t="s">
        <v>2319</v>
      </c>
      <c r="B6" s="259" t="s">
        <v>2320</v>
      </c>
      <c r="C6" s="260">
        <f ca="1">基准地价修正!E33+基准地价修正!V2+基准地价修正!V3+基准地价修正!V4</f>
        <v>123515</v>
      </c>
      <c r="D6" s="261"/>
      <c r="E6" s="262"/>
      <c r="F6" s="262"/>
      <c r="G6" s="263"/>
    </row>
    <row r="7" spans="1:9" s="258" customFormat="1" ht="13.5" customHeight="1">
      <c r="A7" s="952" t="s">
        <v>2321</v>
      </c>
      <c r="B7" s="259" t="s">
        <v>2322</v>
      </c>
      <c r="C7" s="264">
        <f ca="1">ROUND(C6*F7,0)</f>
        <v>3767</v>
      </c>
      <c r="D7" s="264"/>
      <c r="E7" s="262"/>
      <c r="F7" s="265">
        <f>'数据-取费表'!B48+'数据-取费表'!B49</f>
        <v>3.0499999999999999E-2</v>
      </c>
      <c r="G7" s="263"/>
    </row>
    <row r="8" spans="1:9" s="267" customFormat="1">
      <c r="A8" s="952" t="s">
        <v>2323</v>
      </c>
      <c r="B8" s="259" t="s">
        <v>2324</v>
      </c>
      <c r="C8" s="264">
        <f ca="1">IF(G8="已包含在土地购买价格中","0",IF(B1="",'数据-取费表'!B29,IF(G9="全部缴纳",C9+C10,H9)))</f>
        <v>523</v>
      </c>
      <c r="D8" s="266"/>
      <c r="E8" s="264"/>
      <c r="F8" s="265"/>
      <c r="G8" s="2550" t="s">
        <v>3083</v>
      </c>
    </row>
    <row r="9" spans="1:9" s="258" customFormat="1" ht="13.5" customHeight="1">
      <c r="A9" s="953" t="s">
        <v>800</v>
      </c>
      <c r="B9" s="268" t="s">
        <v>2325</v>
      </c>
      <c r="C9" s="269">
        <f ca="1">ROUND(D9*E9/10000,0)</f>
        <v>0</v>
      </c>
      <c r="D9" s="1035">
        <f ca="1">IF(B1="",'数据-汇总表'!E5,IF(INDIRECT("'数据-取费表'!c"&amp;$G$1)="住宅",INDIRECT("'数据-取费表'!k"&amp;$G$1),0))</f>
        <v>0</v>
      </c>
      <c r="E9" s="269">
        <f>'数据-取费表'!B27</f>
        <v>160</v>
      </c>
      <c r="F9" s="265"/>
      <c r="G9" s="2551" t="s">
        <v>3089</v>
      </c>
      <c r="H9" s="1393"/>
      <c r="I9" s="2552" t="s">
        <v>2326</v>
      </c>
    </row>
    <row r="10" spans="1:9" s="258" customFormat="1" ht="13.5" customHeight="1">
      <c r="A10" s="953" t="s">
        <v>801</v>
      </c>
      <c r="B10" s="268" t="s">
        <v>2327</v>
      </c>
      <c r="C10" s="269">
        <f ca="1">ROUND(D10*E10/10000,0)</f>
        <v>523</v>
      </c>
      <c r="D10" s="1035">
        <f ca="1">IF(B1="",'数据-汇总表'!E6,IF(INDIRECT("'数据-取费表'!c"&amp;$G$1)="住宅",INDIRECT("'数据-取费表'!s"&amp;$G$1),INDIRECT("'数据-取费表'!k"&amp;$G$1)+INDIRECT("'数据-取费表'!s"&amp;$G$1)))</f>
        <v>26146.04</v>
      </c>
      <c r="E10" s="269">
        <f>'数据-取费表'!B28</f>
        <v>200</v>
      </c>
      <c r="F10" s="265"/>
      <c r="G10" s="270"/>
    </row>
    <row r="11" spans="1:9" s="258" customFormat="1" ht="13.5" hidden="1" customHeight="1">
      <c r="A11" s="271" t="s">
        <v>7</v>
      </c>
      <c r="B11" s="259" t="s">
        <v>2328</v>
      </c>
      <c r="C11" s="255"/>
      <c r="D11" s="1037"/>
      <c r="E11" s="262"/>
      <c r="F11" s="262"/>
      <c r="G11" s="263"/>
    </row>
    <row r="12" spans="1:9" s="258" customFormat="1" ht="13.5" hidden="1" customHeight="1">
      <c r="A12" s="271" t="s">
        <v>8</v>
      </c>
      <c r="B12" s="259" t="s">
        <v>2329</v>
      </c>
      <c r="C12" s="255">
        <v>0</v>
      </c>
      <c r="D12" s="1037"/>
      <c r="E12" s="272"/>
      <c r="F12" s="265">
        <v>3.0499999999999999E-2</v>
      </c>
      <c r="G12" s="263"/>
    </row>
    <row r="13" spans="1:9" s="258" customFormat="1" ht="13.5" hidden="1" customHeight="1">
      <c r="A13" s="271" t="s">
        <v>9</v>
      </c>
      <c r="B13" s="259" t="s">
        <v>2330</v>
      </c>
      <c r="C13" s="255"/>
      <c r="D13" s="1037"/>
      <c r="E13" s="262"/>
      <c r="F13" s="262"/>
      <c r="G13" s="263"/>
    </row>
    <row r="14" spans="1:9" s="258" customFormat="1" ht="13.5" hidden="1" customHeight="1">
      <c r="A14" s="271" t="s">
        <v>10</v>
      </c>
      <c r="B14" s="259" t="s">
        <v>2331</v>
      </c>
      <c r="C14" s="255"/>
      <c r="D14" s="1037"/>
      <c r="E14" s="262"/>
      <c r="F14" s="262"/>
      <c r="G14" s="263" t="s">
        <v>2332</v>
      </c>
    </row>
    <row r="15" spans="1:9" s="258" customFormat="1" ht="13.5" hidden="1" customHeight="1">
      <c r="A15" s="271" t="s">
        <v>11</v>
      </c>
      <c r="B15" s="259" t="s">
        <v>2333</v>
      </c>
      <c r="C15" s="264"/>
      <c r="D15" s="1037"/>
      <c r="E15" s="262"/>
      <c r="F15" s="262"/>
      <c r="G15" s="263" t="s">
        <v>2334</v>
      </c>
    </row>
    <row r="16" spans="1:9" s="258" customFormat="1" ht="13.5" hidden="1" customHeight="1">
      <c r="A16" s="271" t="s">
        <v>12</v>
      </c>
      <c r="B16" s="259" t="s">
        <v>2331</v>
      </c>
      <c r="C16" s="264"/>
      <c r="D16" s="1037"/>
      <c r="E16" s="262"/>
      <c r="F16" s="262"/>
      <c r="G16" s="263"/>
    </row>
    <row r="17" spans="1:7" s="258" customFormat="1" ht="13.5" hidden="1" customHeight="1">
      <c r="A17" s="271" t="s">
        <v>13</v>
      </c>
      <c r="B17" s="259" t="s">
        <v>2335</v>
      </c>
      <c r="C17" s="273"/>
      <c r="D17" s="1038"/>
      <c r="E17" s="273"/>
      <c r="F17" s="273"/>
      <c r="G17" s="263" t="s">
        <v>2334</v>
      </c>
    </row>
    <row r="18" spans="1:7" s="258" customFormat="1" ht="13.5" hidden="1" customHeight="1">
      <c r="A18" s="271" t="s">
        <v>14</v>
      </c>
      <c r="B18" s="259" t="s">
        <v>2336</v>
      </c>
      <c r="C18" s="264">
        <v>0</v>
      </c>
      <c r="D18" s="1037"/>
      <c r="E18" s="262"/>
      <c r="F18" s="265">
        <v>3.0499999999999999E-2</v>
      </c>
      <c r="G18" s="263" t="s">
        <v>2337</v>
      </c>
    </row>
    <row r="19" spans="1:7" s="267" customFormat="1" ht="13.5" customHeight="1">
      <c r="A19" s="299" t="s">
        <v>2338</v>
      </c>
      <c r="B19" s="254" t="s">
        <v>2339</v>
      </c>
      <c r="C19" s="255" t="str">
        <f>IF(G19="已包含在土地取得成本中","0",ROUND(D19*E19/10000,0))</f>
        <v>0</v>
      </c>
      <c r="D19" s="1039">
        <f ca="1">D9+D10</f>
        <v>26146.04</v>
      </c>
      <c r="E19" s="255">
        <f>'数据-取费表'!B31</f>
        <v>200</v>
      </c>
      <c r="F19" s="275"/>
      <c r="G19" s="2550" t="s">
        <v>3090</v>
      </c>
    </row>
    <row r="20" spans="1:7" s="258" customFormat="1" ht="13.5" customHeight="1">
      <c r="A20" s="299" t="s">
        <v>2340</v>
      </c>
      <c r="B20" s="254" t="s">
        <v>2341</v>
      </c>
      <c r="C20" s="276">
        <f ca="1">ROUND((C5+C19)*F20,0)</f>
        <v>2556</v>
      </c>
      <c r="D20" s="276"/>
      <c r="E20" s="276"/>
      <c r="F20" s="277">
        <f>'数据-取费表'!B37</f>
        <v>0.02</v>
      </c>
      <c r="G20" s="278" t="s">
        <v>2342</v>
      </c>
    </row>
    <row r="21" spans="1:7" s="258" customFormat="1" ht="13.5" customHeight="1">
      <c r="A21" s="299" t="s">
        <v>2343</v>
      </c>
      <c r="B21" s="254" t="s">
        <v>2344</v>
      </c>
      <c r="C21" s="279">
        <f>F21</f>
        <v>0.02</v>
      </c>
      <c r="D21" s="280" t="s">
        <v>2345</v>
      </c>
      <c r="E21" s="276"/>
      <c r="F21" s="277">
        <f>'数据-取费表'!B38</f>
        <v>0.02</v>
      </c>
      <c r="G21" s="278" t="s">
        <v>2346</v>
      </c>
    </row>
    <row r="22" spans="1:7" s="258" customFormat="1" ht="13.5" customHeight="1">
      <c r="A22" s="299" t="s">
        <v>2347</v>
      </c>
      <c r="B22" s="254" t="s">
        <v>2348</v>
      </c>
      <c r="C22" s="1357">
        <f ca="1">ROUND(SUM(C23:C25),0)</f>
        <v>12551</v>
      </c>
      <c r="D22" s="279">
        <f ca="1">C26</f>
        <v>1E-3</v>
      </c>
      <c r="E22" s="280" t="s">
        <v>2345</v>
      </c>
      <c r="F22" s="281">
        <f ca="1">'数据-取费表'!B40</f>
        <v>4.7500000000000001E-2</v>
      </c>
      <c r="G22" s="278" t="str">
        <f>IF('数据-取费表'!B22&lt;=1,"单利计息","复利计息")</f>
        <v>复利计息</v>
      </c>
    </row>
    <row r="23" spans="1:7" s="258" customFormat="1" ht="13.5" customHeight="1">
      <c r="A23" s="954" t="s">
        <v>2349</v>
      </c>
      <c r="B23" s="259" t="s">
        <v>2350</v>
      </c>
      <c r="C23" s="1358">
        <f ca="1">ROUND(IF('数据-取费表'!B22&lt;=1,C5*F22*'数据-取费表'!B23,C5*(POWER((1+F22),'数据-取费表'!B23)-1)),0)</f>
        <v>12430</v>
      </c>
      <c r="D23" s="282"/>
      <c r="E23" s="282"/>
      <c r="F23" s="283"/>
      <c r="G23" s="284" t="s">
        <v>2351</v>
      </c>
    </row>
    <row r="24" spans="1:7" s="258" customFormat="1" ht="13.5" customHeight="1">
      <c r="A24" s="954" t="s">
        <v>2352</v>
      </c>
      <c r="B24" s="259" t="s">
        <v>2353</v>
      </c>
      <c r="C24" s="1358">
        <f ca="1">ROUND(IF('数据-取费表'!B22&lt;=1,C19*F22*('数据-取费表'!B19/2+'数据-取费表'!B21),C19*(POWER((1+F22),('数据-取费表'!B19/2+'数据-取费表'!B21))-1)),0)</f>
        <v>0</v>
      </c>
      <c r="D24" s="282"/>
      <c r="E24" s="282"/>
      <c r="F24" s="283"/>
      <c r="G24" s="284" t="s">
        <v>2354</v>
      </c>
    </row>
    <row r="25" spans="1:7" s="258" customFormat="1" ht="24">
      <c r="A25" s="954" t="s">
        <v>2355</v>
      </c>
      <c r="B25" s="259" t="s">
        <v>2356</v>
      </c>
      <c r="C25" s="1358">
        <f ca="1">ROUND(IF('数据-取费表'!B22&lt;=1,C20*F22*'数据-取费表'!B23/2,C20*(POWER((1+F22),'数据-取费表'!B23/2)-1)),0)</f>
        <v>121</v>
      </c>
      <c r="D25" s="282"/>
      <c r="E25" s="285"/>
      <c r="F25" s="283"/>
      <c r="G25" s="286" t="s">
        <v>2357</v>
      </c>
    </row>
    <row r="26" spans="1:7" s="258" customFormat="1">
      <c r="A26" s="954" t="s">
        <v>795</v>
      </c>
      <c r="B26" s="259" t="s">
        <v>2358</v>
      </c>
      <c r="C26" s="282">
        <f ca="1">ROUND(IF('数据-取费表'!B22&lt;=1,F21*F22*'数据-取费表'!B23/2,F21*(POWER((1+F22),'数据-取费表'!B23/2)-1)),4)</f>
        <v>1E-3</v>
      </c>
      <c r="D26" s="282"/>
      <c r="E26" s="285"/>
      <c r="F26" s="283"/>
      <c r="G26" s="287"/>
    </row>
    <row r="27" spans="1:7" s="258" customFormat="1" ht="24.75">
      <c r="A27" s="299" t="s">
        <v>2359</v>
      </c>
      <c r="B27" s="288" t="s">
        <v>2360</v>
      </c>
      <c r="C27" s="289">
        <f ca="1">C28</f>
        <v>19554</v>
      </c>
      <c r="D27" s="279">
        <f ca="1">C29</f>
        <v>3.0000000000000001E-3</v>
      </c>
      <c r="E27" s="280" t="s">
        <v>2361</v>
      </c>
      <c r="F27" s="290">
        <f ca="1">IF(B1="",'数据-取费表'!Q16,INDIRECT("'数据-取费表'!q"&amp;$G$1))</f>
        <v>0.15</v>
      </c>
      <c r="G27" s="291" t="s">
        <v>2362</v>
      </c>
    </row>
    <row r="28" spans="1:7" s="258" customFormat="1" ht="13.5" customHeight="1">
      <c r="A28" s="954" t="s">
        <v>791</v>
      </c>
      <c r="B28" s="292" t="s">
        <v>2363</v>
      </c>
      <c r="C28" s="293">
        <f ca="1">ROUND((C5+C19+C20)*F27*'数据-取费表'!B21/'数据-取费表'!B20,0)</f>
        <v>19554</v>
      </c>
      <c r="D28" s="279"/>
      <c r="E28" s="280"/>
      <c r="F28" s="290"/>
      <c r="G28" s="291"/>
    </row>
    <row r="29" spans="1:7" s="258" customFormat="1" ht="13.5" customHeight="1">
      <c r="A29" s="954" t="s">
        <v>792</v>
      </c>
      <c r="B29" s="292" t="s">
        <v>2364</v>
      </c>
      <c r="C29" s="282">
        <f ca="1">ROUND(C21*F27*'数据-取费表'!B21/'数据-取费表'!B20,4)</f>
        <v>3.0000000000000001E-3</v>
      </c>
      <c r="D29" s="279"/>
      <c r="E29" s="280"/>
      <c r="F29" s="290"/>
      <c r="G29" s="291"/>
    </row>
    <row r="30" spans="1:7" s="258" customFormat="1" ht="13.5" customHeight="1">
      <c r="A30" s="299" t="s">
        <v>2365</v>
      </c>
      <c r="B30" s="254" t="s">
        <v>2366</v>
      </c>
      <c r="C30" s="279">
        <f>ROUND(F30/(1+'数据-取费表'!C42),4)</f>
        <v>5.33E-2</v>
      </c>
      <c r="D30" s="280" t="s">
        <v>2361</v>
      </c>
      <c r="E30" s="285"/>
      <c r="F30" s="281">
        <f>'数据-取费表'!B41</f>
        <v>5.6000000000000001E-2</v>
      </c>
      <c r="G30" s="278" t="s">
        <v>2367</v>
      </c>
    </row>
    <row r="31" spans="1:7" ht="16.5" customHeight="1">
      <c r="A31" s="253">
        <v>1</v>
      </c>
      <c r="B31" s="254" t="s">
        <v>2368</v>
      </c>
      <c r="C31" s="255">
        <f ca="1">ROUND((C5+C19+C20+C22+C27)/(1-C21-D22-D27-C30),0)</f>
        <v>176077</v>
      </c>
      <c r="D31" s="274"/>
      <c r="E31" s="255"/>
      <c r="F31" s="294"/>
      <c r="G31" s="278" t="s">
        <v>2369</v>
      </c>
    </row>
    <row r="32" spans="1:7" s="252" customFormat="1" ht="15.75">
      <c r="A32" s="296" t="s">
        <v>2370</v>
      </c>
      <c r="B32" s="297"/>
      <c r="C32" s="297"/>
      <c r="D32" s="297"/>
      <c r="E32" s="297"/>
      <c r="F32" s="297"/>
      <c r="G32" s="298"/>
    </row>
    <row r="33" spans="1:7" s="258" customFormat="1" ht="13.5" customHeight="1">
      <c r="A33" s="299" t="s">
        <v>782</v>
      </c>
      <c r="B33" s="254" t="s">
        <v>2371</v>
      </c>
      <c r="C33" s="300">
        <f ca="1">SUM(C34:C38)</f>
        <v>7354</v>
      </c>
      <c r="D33" s="276"/>
      <c r="E33" s="256"/>
      <c r="F33" s="285"/>
      <c r="G33" s="278"/>
    </row>
    <row r="34" spans="1:7" s="302" customFormat="1" ht="13.5" customHeight="1">
      <c r="A34" s="954" t="s">
        <v>791</v>
      </c>
      <c r="B34" s="259" t="s">
        <v>2372</v>
      </c>
      <c r="C34" s="264">
        <f ca="1">IF(B1="",IF(F34=100%,'数据-取费表'!M16,'数据-取费表'!O16),IF(F34=100%,INDIRECT("'数据-取费表'!m"&amp;$G$1)+INDIRECT("'数据-取费表'!t"&amp;$G$1),INDIRECT("'数据-取费表'!o"&amp;$G$1)+INDIRECT("'数据-取费表'!aq"&amp;$G$1)))</f>
        <v>6537</v>
      </c>
      <c r="D34" s="261"/>
      <c r="E34" s="264"/>
      <c r="F34" s="301">
        <f ca="1">IF('数据-取费表'!B24=0,1,IF(B1="",'数据-取费表'!N16,INDIRECT("'数据-取费表'!n"&amp;$G$1)))</f>
        <v>1</v>
      </c>
      <c r="G34" s="263" t="s">
        <v>2373</v>
      </c>
    </row>
    <row r="35" spans="1:7" ht="13.5" customHeight="1">
      <c r="A35" s="954" t="s">
        <v>796</v>
      </c>
      <c r="B35" s="259" t="s">
        <v>2374</v>
      </c>
      <c r="C35" s="264">
        <f ca="1">ROUND(C34*F35,0)</f>
        <v>196</v>
      </c>
      <c r="D35" s="264"/>
      <c r="E35" s="264"/>
      <c r="F35" s="303">
        <f>'数据-取费表'!B33</f>
        <v>0.03</v>
      </c>
      <c r="G35" s="263" t="s">
        <v>2375</v>
      </c>
    </row>
    <row r="36" spans="1:7" ht="24">
      <c r="A36" s="954" t="s">
        <v>797</v>
      </c>
      <c r="B36" s="259" t="s">
        <v>2376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2377</v>
      </c>
    </row>
    <row r="37" spans="1:7" s="302" customFormat="1" ht="13.5" customHeight="1">
      <c r="A37" s="954" t="s">
        <v>798</v>
      </c>
      <c r="B37" s="259" t="s">
        <v>2378</v>
      </c>
      <c r="C37" s="293">
        <f ca="1">ROUND(E37*D37*F34/10000,0)</f>
        <v>523</v>
      </c>
      <c r="D37" s="261">
        <f ca="1">D19</f>
        <v>26146.04</v>
      </c>
      <c r="E37" s="293">
        <f>'数据-取费表'!B35</f>
        <v>200</v>
      </c>
      <c r="F37" s="303"/>
      <c r="G37" s="305" t="s">
        <v>2379</v>
      </c>
    </row>
    <row r="38" spans="1:7" ht="13.5" customHeight="1">
      <c r="A38" s="954" t="s">
        <v>799</v>
      </c>
      <c r="B38" s="259" t="s">
        <v>2380</v>
      </c>
      <c r="C38" s="264">
        <f ca="1">ROUND(C34*F38,0)</f>
        <v>98</v>
      </c>
      <c r="D38" s="264"/>
      <c r="E38" s="264"/>
      <c r="F38" s="303">
        <f>'数据-取费表'!B36</f>
        <v>1.4999999999999999E-2</v>
      </c>
      <c r="G38" s="263" t="s">
        <v>2375</v>
      </c>
    </row>
    <row r="39" spans="1:7" s="258" customFormat="1" ht="13.5" customHeight="1">
      <c r="A39" s="299" t="s">
        <v>2381</v>
      </c>
      <c r="B39" s="254" t="s">
        <v>2382</v>
      </c>
      <c r="C39" s="276">
        <f ca="1">ROUND(C33*F20,0)</f>
        <v>147</v>
      </c>
      <c r="D39" s="276"/>
      <c r="E39" s="276"/>
      <c r="F39" s="277"/>
      <c r="G39" s="278" t="s">
        <v>2383</v>
      </c>
    </row>
    <row r="40" spans="1:7" s="258" customFormat="1" ht="13.5" customHeight="1">
      <c r="A40" s="299" t="s">
        <v>2384</v>
      </c>
      <c r="B40" s="254" t="s">
        <v>2385</v>
      </c>
      <c r="C40" s="1731">
        <f>F21</f>
        <v>0.02</v>
      </c>
      <c r="D40" s="280" t="s">
        <v>2386</v>
      </c>
      <c r="E40" s="276"/>
      <c r="F40" s="277"/>
      <c r="G40" s="278" t="s">
        <v>2387</v>
      </c>
    </row>
    <row r="41" spans="1:7" s="258" customFormat="1" ht="13.5" customHeight="1">
      <c r="A41" s="299" t="s">
        <v>2388</v>
      </c>
      <c r="B41" s="254" t="s">
        <v>2389</v>
      </c>
      <c r="C41" s="276">
        <f ca="1">ROUND(SUM(C42:C43),0)</f>
        <v>356</v>
      </c>
      <c r="D41" s="279">
        <f ca="1">C44</f>
        <v>1E-3</v>
      </c>
      <c r="E41" s="280" t="s">
        <v>2386</v>
      </c>
      <c r="F41" s="281"/>
      <c r="G41" s="278" t="str">
        <f>IF('数据-取费表'!B22&lt;=1,"单利计息","复利计息")</f>
        <v>复利计息</v>
      </c>
    </row>
    <row r="42" spans="1:7" ht="13.5" customHeight="1">
      <c r="A42" s="954" t="s">
        <v>791</v>
      </c>
      <c r="B42" s="259" t="s">
        <v>2390</v>
      </c>
      <c r="C42" s="282">
        <f ca="1">ROUND(IF('数据-取费表'!B22&lt;=1,C33*F22*'数据-取费表'!B21/2,C33*(POWER((1+F22),'数据-取费表'!B21/2)-1)),0)</f>
        <v>349</v>
      </c>
      <c r="D42" s="282"/>
      <c r="E42" s="282"/>
      <c r="F42" s="283"/>
      <c r="G42" s="3145" t="s">
        <v>2391</v>
      </c>
    </row>
    <row r="43" spans="1:7" ht="13.5" customHeight="1">
      <c r="A43" s="954" t="s">
        <v>792</v>
      </c>
      <c r="B43" s="259" t="s">
        <v>2392</v>
      </c>
      <c r="C43" s="282">
        <f ca="1">ROUND(IF('数据-取费表'!B22&lt;=1,C39*F22*'数据-取费表'!B21/2,C39*(POWER((1+F22),'数据-取费表'!B21/2)-1)),0)</f>
        <v>7</v>
      </c>
      <c r="D43" s="282"/>
      <c r="E43" s="282"/>
      <c r="F43" s="283"/>
      <c r="G43" s="3146"/>
    </row>
    <row r="44" spans="1:7" ht="13.5" customHeight="1">
      <c r="A44" s="954" t="s">
        <v>793</v>
      </c>
      <c r="B44" s="259" t="s">
        <v>2393</v>
      </c>
      <c r="C44" s="282">
        <f ca="1">ROUND(IF('数据-取费表'!B22&lt;=1,C40*F22*'数据-取费表'!B21/2,C40*(POWER((1+F22),'数据-取费表'!B21/2)-1)),4)</f>
        <v>1E-3</v>
      </c>
      <c r="D44" s="282"/>
      <c r="E44" s="282"/>
      <c r="F44" s="283"/>
      <c r="G44" s="3147"/>
    </row>
    <row r="45" spans="1:7" s="258" customFormat="1" ht="13.5" customHeight="1">
      <c r="A45" s="299" t="s">
        <v>2394</v>
      </c>
      <c r="B45" s="288" t="s">
        <v>2360</v>
      </c>
      <c r="C45" s="289">
        <f ca="1">C46</f>
        <v>1125</v>
      </c>
      <c r="D45" s="279">
        <f ca="1">C47</f>
        <v>3.0000000000000001E-3</v>
      </c>
      <c r="E45" s="280" t="s">
        <v>2386</v>
      </c>
      <c r="F45" s="290"/>
      <c r="G45" s="291" t="s">
        <v>2395</v>
      </c>
    </row>
    <row r="46" spans="1:7" s="258" customFormat="1" ht="13.5" customHeight="1">
      <c r="A46" s="954" t="s">
        <v>791</v>
      </c>
      <c r="B46" s="292" t="s">
        <v>2396</v>
      </c>
      <c r="C46" s="293">
        <f ca="1">ROUND((C33+C39)*F27,0)</f>
        <v>1125</v>
      </c>
      <c r="D46" s="307"/>
      <c r="E46" s="280"/>
      <c r="F46" s="290"/>
      <c r="G46" s="291"/>
    </row>
    <row r="47" spans="1:7" s="258" customFormat="1" ht="13.5" customHeight="1">
      <c r="A47" s="954" t="s">
        <v>792</v>
      </c>
      <c r="B47" s="292" t="s">
        <v>2397</v>
      </c>
      <c r="C47" s="282">
        <f ca="1">ROUND(C40*F27,4)</f>
        <v>3.0000000000000001E-3</v>
      </c>
      <c r="D47" s="307"/>
      <c r="E47" s="280"/>
      <c r="F47" s="290"/>
      <c r="G47" s="291"/>
    </row>
    <row r="48" spans="1:7" s="258" customFormat="1" ht="13.5" customHeight="1">
      <c r="A48" s="299" t="s">
        <v>2359</v>
      </c>
      <c r="B48" s="254" t="s">
        <v>2398</v>
      </c>
      <c r="C48" s="1731">
        <f>ROUND(F30/(1+'数据-取费表'!C42),4)</f>
        <v>5.33E-2</v>
      </c>
      <c r="D48" s="280" t="s">
        <v>2386</v>
      </c>
      <c r="E48" s="276"/>
      <c r="F48" s="281"/>
      <c r="G48" s="278" t="s">
        <v>2399</v>
      </c>
    </row>
    <row r="49" spans="1:7" ht="16.5" customHeight="1">
      <c r="A49" s="299" t="s">
        <v>2365</v>
      </c>
      <c r="B49" s="254" t="s">
        <v>2400</v>
      </c>
      <c r="C49" s="276">
        <f ca="1">ROUND((C33+C39+C41+C45)/(1-C40-D41-D45-C48),0)</f>
        <v>9734</v>
      </c>
      <c r="D49" s="276"/>
      <c r="E49" s="276"/>
      <c r="F49" s="308"/>
      <c r="G49" s="278" t="s">
        <v>2401</v>
      </c>
    </row>
    <row r="50" spans="1:7" s="302" customFormat="1" ht="24">
      <c r="A50" s="299" t="s">
        <v>2402</v>
      </c>
      <c r="B50" s="254" t="s">
        <v>2403</v>
      </c>
      <c r="C50" s="276"/>
      <c r="D50" s="276"/>
      <c r="E50" s="276"/>
      <c r="F50" s="308">
        <f>IF('数据-取费表'!B24=0,'数据-取费表'!N16,1)</f>
        <v>0.72</v>
      </c>
      <c r="G50" s="291" t="s">
        <v>2404</v>
      </c>
    </row>
    <row r="51" spans="1:7" ht="16.5" customHeight="1">
      <c r="A51" s="299" t="s">
        <v>2405</v>
      </c>
      <c r="B51" s="254" t="s">
        <v>2406</v>
      </c>
      <c r="C51" s="276">
        <f ca="1">ROUND(C49*F50,0)</f>
        <v>7008</v>
      </c>
      <c r="D51" s="276"/>
      <c r="E51" s="276"/>
      <c r="F51" s="308"/>
      <c r="G51" s="278" t="s">
        <v>2407</v>
      </c>
    </row>
    <row r="52" spans="1:7" s="252" customFormat="1" ht="16.5" thickBot="1">
      <c r="A52" s="309" t="s">
        <v>2408</v>
      </c>
      <c r="B52" s="310"/>
      <c r="C52" s="311">
        <f ca="1">C31+C51</f>
        <v>183085</v>
      </c>
      <c r="D52" s="310"/>
      <c r="E52" s="310"/>
      <c r="F52" s="310"/>
      <c r="G52" s="312"/>
    </row>
    <row r="55" spans="1:7" ht="15">
      <c r="B55" s="314" t="s">
        <v>2409</v>
      </c>
      <c r="C55" s="315"/>
    </row>
    <row r="56" spans="1:7">
      <c r="B56" s="317" t="s">
        <v>1509</v>
      </c>
      <c r="C56" s="319">
        <f ca="1">1-C57</f>
        <v>0.96199999999999997</v>
      </c>
    </row>
    <row r="57" spans="1:7">
      <c r="B57" s="317" t="s">
        <v>1510</v>
      </c>
      <c r="C57" s="318">
        <f ca="1">ROUND(C51/C52,3)</f>
        <v>3.7999999999999999E-2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北京市东城区广渠门内大街35号房地产抵押价值预评估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5" t="str">
        <f>项目基本情况!B5</f>
        <v>国瑞兴业（北京）实业股份有限公司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2308</v>
      </c>
      <c r="B1" s="1940"/>
      <c r="C1" s="2553" t="s">
        <v>2410</v>
      </c>
      <c r="D1" s="242"/>
      <c r="E1" s="242"/>
      <c r="F1" s="242"/>
      <c r="G1" s="1382">
        <f>MATCH(B1,'数据-取费表'!A6:A16,0)+5</f>
        <v>7</v>
      </c>
      <c r="H1" s="1285" t="str">
        <f>IF(ISERROR(FIND("住宅",B1)),"非住宅","住宅")</f>
        <v>非住宅</v>
      </c>
    </row>
    <row r="2" spans="1:8" s="244" customFormat="1" ht="18" customHeight="1">
      <c r="A2" s="245" t="s">
        <v>2309</v>
      </c>
      <c r="B2" s="246">
        <f ca="1">ROUND(IF(D2="——",C52/10000,C52/10000-E2),0)</f>
        <v>8450</v>
      </c>
      <c r="C2" s="243" t="s">
        <v>2310</v>
      </c>
      <c r="D2" s="2547" t="s">
        <v>70</v>
      </c>
      <c r="E2" s="1443" t="e">
        <f ca="1">SUMIF(INDIRECT("'"&amp;G2&amp;"'"&amp;"!A:A"),"承租人权益价值",INDIRECT("'"&amp;G2&amp;"'"&amp;"!c:c"))</f>
        <v>#REF!</v>
      </c>
      <c r="F2" s="2548" t="s">
        <v>2310</v>
      </c>
      <c r="G2" s="2549"/>
    </row>
    <row r="3" spans="1:8" s="244" customFormat="1" ht="18" customHeight="1" thickBot="1">
      <c r="A3" s="247" t="s">
        <v>2311</v>
      </c>
      <c r="B3" s="248">
        <f ca="1">ROUND(B2*10000/(IF(B1="",'数据-汇总表'!E3,INDIRECT("'数据-取费表'!k"&amp;$G$1))),0)</f>
        <v>3232</v>
      </c>
      <c r="C3" s="243" t="s">
        <v>2312</v>
      </c>
      <c r="D3" s="243"/>
      <c r="E3" s="243"/>
      <c r="F3" s="243"/>
      <c r="G3" s="243"/>
    </row>
    <row r="4" spans="1:8" s="252" customFormat="1" ht="15.75">
      <c r="A4" s="249" t="s">
        <v>2313</v>
      </c>
      <c r="B4" s="250"/>
      <c r="C4" s="250"/>
      <c r="D4" s="250"/>
      <c r="E4" s="250"/>
      <c r="F4" s="250"/>
      <c r="G4" s="251"/>
    </row>
    <row r="5" spans="1:8" s="258" customFormat="1" ht="13.5" customHeight="1">
      <c r="A5" s="299" t="s">
        <v>2314</v>
      </c>
      <c r="B5" s="254" t="s">
        <v>2315</v>
      </c>
      <c r="C5" s="255">
        <f ca="1">C6+C7+C8</f>
        <v>5229208</v>
      </c>
      <c r="D5" s="255" t="s">
        <v>2316</v>
      </c>
      <c r="E5" s="256" t="s">
        <v>2317</v>
      </c>
      <c r="F5" s="256" t="s">
        <v>2318</v>
      </c>
      <c r="G5" s="257"/>
    </row>
    <row r="6" spans="1:8" s="258" customFormat="1" ht="13.5" customHeight="1">
      <c r="A6" s="952" t="s">
        <v>2319</v>
      </c>
      <c r="B6" s="259" t="s">
        <v>2320</v>
      </c>
      <c r="C6" s="260"/>
      <c r="D6" s="261"/>
      <c r="E6" s="262"/>
      <c r="F6" s="262"/>
      <c r="G6" s="263"/>
    </row>
    <row r="7" spans="1:8" s="258" customFormat="1" ht="13.5" customHeight="1">
      <c r="A7" s="952" t="s">
        <v>2321</v>
      </c>
      <c r="B7" s="259" t="s">
        <v>2322</v>
      </c>
      <c r="C7" s="264">
        <f>ROUND(C6*F7,0)</f>
        <v>0</v>
      </c>
      <c r="D7" s="264"/>
      <c r="E7" s="262"/>
      <c r="F7" s="265">
        <f>'数据-取费表'!B48+'数据-取费表'!B49</f>
        <v>3.0499999999999999E-2</v>
      </c>
      <c r="G7" s="263"/>
    </row>
    <row r="8" spans="1:8" s="267" customFormat="1">
      <c r="A8" s="952" t="s">
        <v>2323</v>
      </c>
      <c r="B8" s="259" t="s">
        <v>2324</v>
      </c>
      <c r="C8" s="264">
        <f ca="1">IF(G8="已包含在土地购买价格中",0,C9+C10)</f>
        <v>5229208</v>
      </c>
      <c r="D8" s="266"/>
      <c r="E8" s="264"/>
      <c r="F8" s="265"/>
      <c r="G8" s="2550"/>
    </row>
    <row r="9" spans="1:8" s="258" customFormat="1" ht="13.5" customHeight="1">
      <c r="A9" s="953" t="s">
        <v>800</v>
      </c>
      <c r="B9" s="268" t="s">
        <v>2325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2327</v>
      </c>
      <c r="C10" s="269">
        <f ca="1">ROUND(D10*E10,0)</f>
        <v>5229208</v>
      </c>
      <c r="D10" s="1035">
        <f ca="1">IF(B1="",'数据-汇总表'!E6,IF(INDIRECT("'数据-取费表'!c"&amp;$G$1)="住宅",INDIRECT("'数据-取费表'!s"&amp;$G$1),INDIRECT("'数据-取费表'!k"&amp;$G$1)+INDIRECT("'数据-取费表'!s"&amp;$G$1)))</f>
        <v>26146.04</v>
      </c>
      <c r="E10" s="269">
        <f>'数据-取费表'!B28</f>
        <v>200</v>
      </c>
      <c r="F10" s="265"/>
      <c r="G10" s="270"/>
    </row>
    <row r="11" spans="1:8" s="258" customFormat="1" ht="13.5" hidden="1" customHeight="1">
      <c r="A11" s="271" t="s">
        <v>7</v>
      </c>
      <c r="B11" s="259" t="s">
        <v>2328</v>
      </c>
      <c r="C11" s="255"/>
      <c r="D11" s="1037"/>
      <c r="E11" s="262"/>
      <c r="F11" s="262"/>
      <c r="G11" s="263"/>
    </row>
    <row r="12" spans="1:8" s="258" customFormat="1" ht="13.5" hidden="1" customHeight="1">
      <c r="A12" s="271" t="s">
        <v>8</v>
      </c>
      <c r="B12" s="259" t="s">
        <v>2411</v>
      </c>
      <c r="C12" s="255">
        <v>0</v>
      </c>
      <c r="D12" s="1037"/>
      <c r="E12" s="272"/>
      <c r="F12" s="265">
        <v>3.0499999999999999E-2</v>
      </c>
      <c r="G12" s="263"/>
    </row>
    <row r="13" spans="1:8" s="258" customFormat="1" ht="13.5" hidden="1" customHeight="1">
      <c r="A13" s="271" t="s">
        <v>9</v>
      </c>
      <c r="B13" s="259" t="s">
        <v>2412</v>
      </c>
      <c r="C13" s="255"/>
      <c r="D13" s="1037"/>
      <c r="E13" s="262"/>
      <c r="F13" s="262"/>
      <c r="G13" s="263"/>
    </row>
    <row r="14" spans="1:8" s="258" customFormat="1" ht="13.5" hidden="1" customHeight="1">
      <c r="A14" s="271" t="s">
        <v>10</v>
      </c>
      <c r="B14" s="259" t="s">
        <v>2324</v>
      </c>
      <c r="C14" s="255"/>
      <c r="D14" s="1037"/>
      <c r="E14" s="262"/>
      <c r="F14" s="262"/>
      <c r="G14" s="263" t="s">
        <v>2413</v>
      </c>
    </row>
    <row r="15" spans="1:8" s="258" customFormat="1" ht="13.5" hidden="1" customHeight="1">
      <c r="A15" s="271" t="s">
        <v>11</v>
      </c>
      <c r="B15" s="259" t="s">
        <v>2414</v>
      </c>
      <c r="C15" s="264"/>
      <c r="D15" s="1037"/>
      <c r="E15" s="262"/>
      <c r="F15" s="262"/>
      <c r="G15" s="263" t="s">
        <v>2415</v>
      </c>
    </row>
    <row r="16" spans="1:8" s="258" customFormat="1" ht="13.5" hidden="1" customHeight="1">
      <c r="A16" s="271" t="s">
        <v>12</v>
      </c>
      <c r="B16" s="259" t="s">
        <v>2324</v>
      </c>
      <c r="C16" s="264"/>
      <c r="D16" s="1037"/>
      <c r="E16" s="262"/>
      <c r="F16" s="262"/>
      <c r="G16" s="263"/>
    </row>
    <row r="17" spans="1:7" s="258" customFormat="1" ht="13.5" hidden="1" customHeight="1">
      <c r="A17" s="271" t="s">
        <v>13</v>
      </c>
      <c r="B17" s="259" t="s">
        <v>2416</v>
      </c>
      <c r="C17" s="273"/>
      <c r="D17" s="1038"/>
      <c r="E17" s="273"/>
      <c r="F17" s="273"/>
      <c r="G17" s="263" t="s">
        <v>2415</v>
      </c>
    </row>
    <row r="18" spans="1:7" s="258" customFormat="1" ht="13.5" hidden="1" customHeight="1">
      <c r="A18" s="271" t="s">
        <v>14</v>
      </c>
      <c r="B18" s="259" t="s">
        <v>2417</v>
      </c>
      <c r="C18" s="264">
        <v>0</v>
      </c>
      <c r="D18" s="1037"/>
      <c r="E18" s="262"/>
      <c r="F18" s="265">
        <v>3.0499999999999999E-2</v>
      </c>
      <c r="G18" s="263" t="s">
        <v>2418</v>
      </c>
    </row>
    <row r="19" spans="1:7" s="267" customFormat="1" ht="13.5" customHeight="1">
      <c r="A19" s="299" t="s">
        <v>2419</v>
      </c>
      <c r="B19" s="254" t="s">
        <v>2420</v>
      </c>
      <c r="C19" s="255">
        <f ca="1">IF(G19="已包含在土地取得成本中","0",ROUND(D19*E19,0))</f>
        <v>5229208</v>
      </c>
      <c r="D19" s="1039">
        <f ca="1">D9+D10</f>
        <v>26146.04</v>
      </c>
      <c r="E19" s="255">
        <f>'数据-取费表'!B31</f>
        <v>200</v>
      </c>
      <c r="F19" s="275"/>
      <c r="G19" s="2550"/>
    </row>
    <row r="20" spans="1:7" s="258" customFormat="1" ht="13.5" customHeight="1">
      <c r="A20" s="299" t="s">
        <v>2421</v>
      </c>
      <c r="B20" s="254" t="s">
        <v>2422</v>
      </c>
      <c r="C20" s="276">
        <f ca="1">ROUND((C5+C19)*F20,0)</f>
        <v>209168</v>
      </c>
      <c r="D20" s="276"/>
      <c r="E20" s="276"/>
      <c r="F20" s="277">
        <f>'数据-取费表'!B37</f>
        <v>0.02</v>
      </c>
      <c r="G20" s="278" t="s">
        <v>2423</v>
      </c>
    </row>
    <row r="21" spans="1:7" s="258" customFormat="1" ht="13.5" customHeight="1">
      <c r="A21" s="299" t="s">
        <v>2424</v>
      </c>
      <c r="B21" s="254" t="s">
        <v>2425</v>
      </c>
      <c r="C21" s="279">
        <f>F21</f>
        <v>0.02</v>
      </c>
      <c r="D21" s="280" t="s">
        <v>2426</v>
      </c>
      <c r="E21" s="276"/>
      <c r="F21" s="277">
        <f>'数据-取费表'!B38</f>
        <v>0.02</v>
      </c>
      <c r="G21" s="278" t="s">
        <v>2427</v>
      </c>
    </row>
    <row r="22" spans="1:7" s="258" customFormat="1" ht="13.5" customHeight="1">
      <c r="A22" s="299" t="s">
        <v>2428</v>
      </c>
      <c r="B22" s="254" t="s">
        <v>2429</v>
      </c>
      <c r="C22" s="1383">
        <f ca="1">ROUND(SUM(C23:C25),0)</f>
        <v>1027081</v>
      </c>
      <c r="D22" s="279">
        <f ca="1">C26</f>
        <v>1E-3</v>
      </c>
      <c r="E22" s="280" t="s">
        <v>2426</v>
      </c>
      <c r="F22" s="281">
        <f ca="1">'数据-取费表'!B40</f>
        <v>4.7500000000000001E-2</v>
      </c>
      <c r="G22" s="278" t="str">
        <f>IF('数据-取费表'!B22&lt;=1,"单利计息","复利计息")</f>
        <v>复利计息</v>
      </c>
    </row>
    <row r="23" spans="1:7" s="258" customFormat="1" ht="13.5" customHeight="1">
      <c r="A23" s="954" t="s">
        <v>2319</v>
      </c>
      <c r="B23" s="259" t="s">
        <v>2430</v>
      </c>
      <c r="C23" s="1384">
        <f ca="1">ROUND(IF('数据-取费表'!B22&lt;=1,C5*F22*'数据-取费表'!B22,C5*(POWER((1+F22),'数据-取费表'!B22)-1)),0)</f>
        <v>508573</v>
      </c>
      <c r="D23" s="282"/>
      <c r="E23" s="282"/>
      <c r="F23" s="283"/>
      <c r="G23" s="284" t="s">
        <v>2431</v>
      </c>
    </row>
    <row r="24" spans="1:7" s="258" customFormat="1" ht="13.5" customHeight="1">
      <c r="A24" s="954" t="s">
        <v>2321</v>
      </c>
      <c r="B24" s="259" t="s">
        <v>2432</v>
      </c>
      <c r="C24" s="1384">
        <f ca="1">ROUND(IF('数据-取费表'!B22&lt;=1,C19*F22*('数据-取费表'!B19/2+'数据-取费表'!B20),C19*(POWER((1+F22),('数据-取费表'!B19/2+'数据-取费表'!B20))-1)),0)</f>
        <v>508573</v>
      </c>
      <c r="D24" s="282"/>
      <c r="E24" s="282"/>
      <c r="F24" s="283"/>
      <c r="G24" s="284" t="s">
        <v>2433</v>
      </c>
    </row>
    <row r="25" spans="1:7" s="258" customFormat="1" ht="24">
      <c r="A25" s="954" t="s">
        <v>2323</v>
      </c>
      <c r="B25" s="259" t="s">
        <v>2434</v>
      </c>
      <c r="C25" s="1384">
        <f ca="1">ROUND(IF('数据-取费表'!B22&lt;=1,C20*F22*'数据-取费表'!B22/2,C20*(POWER((1+F22),'数据-取费表'!B22/2)-1)),0)</f>
        <v>9935</v>
      </c>
      <c r="D25" s="282"/>
      <c r="E25" s="285"/>
      <c r="F25" s="283"/>
      <c r="G25" s="286" t="s">
        <v>2435</v>
      </c>
    </row>
    <row r="26" spans="1:7" s="258" customFormat="1">
      <c r="A26" s="954" t="s">
        <v>795</v>
      </c>
      <c r="B26" s="259" t="s">
        <v>2358</v>
      </c>
      <c r="C26" s="282">
        <f ca="1">ROUND(IF('数据-取费表'!B22&lt;=1,F21*F22*'数据-取费表'!B22/2,F21*(POWER((1+F22),'数据-取费表'!B22/2)-1)),4)</f>
        <v>1E-3</v>
      </c>
      <c r="D26" s="282"/>
      <c r="E26" s="285"/>
      <c r="F26" s="283"/>
      <c r="G26" s="287"/>
    </row>
    <row r="27" spans="1:7" s="258" customFormat="1" ht="24.75">
      <c r="A27" s="299" t="s">
        <v>2359</v>
      </c>
      <c r="B27" s="288" t="s">
        <v>2360</v>
      </c>
      <c r="C27" s="289">
        <f ca="1">C28</f>
        <v>1600138</v>
      </c>
      <c r="D27" s="279">
        <f ca="1">C29</f>
        <v>3.0000000000000001E-3</v>
      </c>
      <c r="E27" s="280" t="s">
        <v>2361</v>
      </c>
      <c r="F27" s="290">
        <f ca="1">IF(B1="",'数据-取费表'!Q16,INDIRECT("'数据-取费表'!q"&amp;$G$1))</f>
        <v>0.15</v>
      </c>
      <c r="G27" s="291" t="s">
        <v>2362</v>
      </c>
    </row>
    <row r="28" spans="1:7" s="258" customFormat="1" ht="13.5" customHeight="1">
      <c r="A28" s="954" t="s">
        <v>791</v>
      </c>
      <c r="B28" s="292" t="s">
        <v>2363</v>
      </c>
      <c r="C28" s="293">
        <f ca="1">ROUND((C5+C19+C20)*F27,0)</f>
        <v>1600138</v>
      </c>
      <c r="D28" s="279"/>
      <c r="E28" s="280"/>
      <c r="F28" s="290"/>
      <c r="G28" s="291"/>
    </row>
    <row r="29" spans="1:7" s="258" customFormat="1" ht="13.5" customHeight="1">
      <c r="A29" s="954" t="s">
        <v>792</v>
      </c>
      <c r="B29" s="292" t="s">
        <v>2364</v>
      </c>
      <c r="C29" s="282">
        <f ca="1">ROUND(C21*F27,4)</f>
        <v>3.0000000000000001E-3</v>
      </c>
      <c r="D29" s="279"/>
      <c r="E29" s="280"/>
      <c r="F29" s="290"/>
      <c r="G29" s="291"/>
    </row>
    <row r="30" spans="1:7" s="258" customFormat="1" ht="13.5" customHeight="1">
      <c r="A30" s="299" t="s">
        <v>2365</v>
      </c>
      <c r="B30" s="254" t="s">
        <v>2366</v>
      </c>
      <c r="C30" s="279">
        <f>ROUND(F30/(1+'数据-取费表'!C42),4)</f>
        <v>5.33E-2</v>
      </c>
      <c r="D30" s="280" t="s">
        <v>2361</v>
      </c>
      <c r="E30" s="285"/>
      <c r="F30" s="281">
        <f>'数据-取费表'!B41</f>
        <v>5.6000000000000001E-2</v>
      </c>
      <c r="G30" s="278" t="s">
        <v>2367</v>
      </c>
    </row>
    <row r="31" spans="1:7" ht="16.5" customHeight="1">
      <c r="A31" s="253">
        <v>1</v>
      </c>
      <c r="B31" s="254" t="s">
        <v>2368</v>
      </c>
      <c r="C31" s="255">
        <f ca="1">ROUND((C5+C19+C20+C22+C27)/(1-C21-D22-D27-C30),0)</f>
        <v>14408587</v>
      </c>
      <c r="D31" s="274"/>
      <c r="E31" s="255"/>
      <c r="F31" s="294"/>
      <c r="G31" s="278" t="s">
        <v>2369</v>
      </c>
    </row>
    <row r="32" spans="1:7" s="252" customFormat="1" ht="15.75">
      <c r="A32" s="296" t="s">
        <v>2436</v>
      </c>
      <c r="B32" s="297"/>
      <c r="C32" s="297"/>
      <c r="D32" s="297"/>
      <c r="E32" s="297"/>
      <c r="F32" s="297"/>
      <c r="G32" s="298"/>
    </row>
    <row r="33" spans="1:7" s="258" customFormat="1" ht="13.5" customHeight="1">
      <c r="A33" s="299" t="s">
        <v>782</v>
      </c>
      <c r="B33" s="254" t="s">
        <v>2437</v>
      </c>
      <c r="C33" s="300">
        <f ca="1">SUM(C34:C38)</f>
        <v>73535738</v>
      </c>
      <c r="D33" s="276"/>
      <c r="E33" s="256"/>
      <c r="F33" s="285"/>
      <c r="G33" s="278"/>
    </row>
    <row r="34" spans="1:7" s="302" customFormat="1" ht="13.5" customHeight="1">
      <c r="A34" s="954" t="s">
        <v>791</v>
      </c>
      <c r="B34" s="259" t="s">
        <v>2372</v>
      </c>
      <c r="C34" s="264">
        <f ca="1">ROUND(IF(B1="",SUMPRODUCT('数据-取费表'!K6:K14,'数据-取费表'!L6:L14),INDIRECT("'数据-取费表'!l"&amp;$G$1)*INDIRECT("'数据-取费表'!k"&amp;$G$1)+'数据-取费表'!L14*INDIRECT("'数据-取费表'!S"&amp;$G$1)),0)</f>
        <v>65365100</v>
      </c>
      <c r="D34" s="261"/>
      <c r="E34" s="264"/>
      <c r="F34" s="301"/>
      <c r="G34" s="263"/>
    </row>
    <row r="35" spans="1:7" ht="13.5" customHeight="1">
      <c r="A35" s="954" t="s">
        <v>796</v>
      </c>
      <c r="B35" s="259" t="s">
        <v>2374</v>
      </c>
      <c r="C35" s="264">
        <f ca="1">ROUND(C34*F35,0)</f>
        <v>1960953</v>
      </c>
      <c r="D35" s="264"/>
      <c r="E35" s="264"/>
      <c r="F35" s="303">
        <f>'数据-取费表'!B33</f>
        <v>0.03</v>
      </c>
      <c r="G35" s="263" t="s">
        <v>2375</v>
      </c>
    </row>
    <row r="36" spans="1:7" ht="24">
      <c r="A36" s="954" t="s">
        <v>797</v>
      </c>
      <c r="B36" s="259" t="s">
        <v>2376</v>
      </c>
      <c r="C36" s="264">
        <f ca="1">ROUND(IF(B1="",SUM('数据-取费表'!AP6:AP13)*F36,IF(INDIRECT("'数据-取费表'!c"&amp;$G$1)="住宅",INDIRECT("'数据-取费表'!k"&amp;$G$1)*INDIRECT("'数据-取费表'!l"&amp;$G$1)*F36,0)),0)</f>
        <v>0</v>
      </c>
      <c r="D36" s="264"/>
      <c r="E36" s="264"/>
      <c r="F36" s="303">
        <f>'数据-取费表'!B34</f>
        <v>0</v>
      </c>
      <c r="G36" s="304" t="s">
        <v>2377</v>
      </c>
    </row>
    <row r="37" spans="1:7" s="302" customFormat="1" ht="13.5" customHeight="1">
      <c r="A37" s="954" t="s">
        <v>798</v>
      </c>
      <c r="B37" s="259" t="s">
        <v>2378</v>
      </c>
      <c r="C37" s="293">
        <f ca="1">ROUND(E37*D37,0)</f>
        <v>5229208</v>
      </c>
      <c r="D37" s="261">
        <f ca="1">D19</f>
        <v>26146.04</v>
      </c>
      <c r="E37" s="293">
        <f>'数据-取费表'!B35</f>
        <v>200</v>
      </c>
      <c r="F37" s="303"/>
      <c r="G37" s="305"/>
    </row>
    <row r="38" spans="1:7" ht="13.5" customHeight="1">
      <c r="A38" s="954" t="s">
        <v>799</v>
      </c>
      <c r="B38" s="259" t="s">
        <v>2380</v>
      </c>
      <c r="C38" s="264">
        <f ca="1">ROUND(C34*F38,0)</f>
        <v>980477</v>
      </c>
      <c r="D38" s="264"/>
      <c r="E38" s="264"/>
      <c r="F38" s="303">
        <f>'数据-取费表'!B36</f>
        <v>1.4999999999999999E-2</v>
      </c>
      <c r="G38" s="263" t="s">
        <v>2375</v>
      </c>
    </row>
    <row r="39" spans="1:7" s="258" customFormat="1" ht="13.5" customHeight="1">
      <c r="A39" s="299" t="s">
        <v>2381</v>
      </c>
      <c r="B39" s="254" t="s">
        <v>2382</v>
      </c>
      <c r="C39" s="276">
        <f ca="1">ROUND(C33*F20,0)</f>
        <v>1470715</v>
      </c>
      <c r="D39" s="276"/>
      <c r="E39" s="276"/>
      <c r="F39" s="277"/>
      <c r="G39" s="278" t="s">
        <v>2383</v>
      </c>
    </row>
    <row r="40" spans="1:7" s="258" customFormat="1" ht="13.5" customHeight="1">
      <c r="A40" s="299" t="s">
        <v>2384</v>
      </c>
      <c r="B40" s="254" t="s">
        <v>2385</v>
      </c>
      <c r="C40" s="1731">
        <f>F21</f>
        <v>0.02</v>
      </c>
      <c r="D40" s="280" t="s">
        <v>2386</v>
      </c>
      <c r="E40" s="276"/>
      <c r="F40" s="277"/>
      <c r="G40" s="278" t="s">
        <v>2387</v>
      </c>
    </row>
    <row r="41" spans="1:7" s="258" customFormat="1" ht="13.5" customHeight="1">
      <c r="A41" s="299" t="s">
        <v>2388</v>
      </c>
      <c r="B41" s="254" t="s">
        <v>2389</v>
      </c>
      <c r="C41" s="276">
        <f ca="1">ROUND(SUM(C42:C43),0)</f>
        <v>3562807</v>
      </c>
      <c r="D41" s="279">
        <f ca="1">C44</f>
        <v>1E-3</v>
      </c>
      <c r="E41" s="280" t="s">
        <v>2386</v>
      </c>
      <c r="F41" s="281"/>
      <c r="G41" s="278" t="str">
        <f>IF('数据-取费表'!B22&lt;=1,"单利计息","复利计息")</f>
        <v>复利计息</v>
      </c>
    </row>
    <row r="42" spans="1:7" ht="13.5" customHeight="1">
      <c r="A42" s="954" t="s">
        <v>791</v>
      </c>
      <c r="B42" s="259" t="s">
        <v>2390</v>
      </c>
      <c r="C42" s="282">
        <f ca="1">ROUND(IF('数据-取费表'!B22&lt;=1,C33*F22*'数据-取费表'!B20/2,C33*(POWER((1+F22),'数据-取费表'!B20/2)-1)),0)</f>
        <v>3492948</v>
      </c>
      <c r="D42" s="282"/>
      <c r="E42" s="282"/>
      <c r="F42" s="283"/>
      <c r="G42" s="3145" t="s">
        <v>2438</v>
      </c>
    </row>
    <row r="43" spans="1:7" ht="13.5" customHeight="1">
      <c r="A43" s="954" t="s">
        <v>792</v>
      </c>
      <c r="B43" s="259" t="s">
        <v>2392</v>
      </c>
      <c r="C43" s="282">
        <f ca="1">ROUND(IF('数据-取费表'!B22&lt;=1,C39*F22*'数据-取费表'!B20/2,C39*(POWER((1+F22),'数据-取费表'!B20/2)-1)),0)</f>
        <v>69859</v>
      </c>
      <c r="D43" s="282"/>
      <c r="E43" s="282"/>
      <c r="F43" s="283"/>
      <c r="G43" s="3146"/>
    </row>
    <row r="44" spans="1:7" ht="13.5" customHeight="1">
      <c r="A44" s="954" t="s">
        <v>793</v>
      </c>
      <c r="B44" s="259" t="s">
        <v>2393</v>
      </c>
      <c r="C44" s="282">
        <f ca="1">ROUND(IF('数据-取费表'!B22&lt;=1,C40*F22*'数据-取费表'!B20/2,C40*(POWER((1+F22),'数据-取费表'!B20/2)-1)),4)</f>
        <v>1E-3</v>
      </c>
      <c r="D44" s="282"/>
      <c r="E44" s="282"/>
      <c r="F44" s="283"/>
      <c r="G44" s="3147"/>
    </row>
    <row r="45" spans="1:7" s="258" customFormat="1" ht="13.5" customHeight="1">
      <c r="A45" s="299" t="s">
        <v>2394</v>
      </c>
      <c r="B45" s="288" t="s">
        <v>2360</v>
      </c>
      <c r="C45" s="289">
        <f ca="1">C46</f>
        <v>11250968</v>
      </c>
      <c r="D45" s="279">
        <f ca="1">C47</f>
        <v>3.0000000000000001E-3</v>
      </c>
      <c r="E45" s="280" t="s">
        <v>2386</v>
      </c>
      <c r="F45" s="290"/>
      <c r="G45" s="291" t="s">
        <v>2395</v>
      </c>
    </row>
    <row r="46" spans="1:7" s="258" customFormat="1" ht="13.5" customHeight="1">
      <c r="A46" s="954" t="s">
        <v>791</v>
      </c>
      <c r="B46" s="292" t="s">
        <v>2396</v>
      </c>
      <c r="C46" s="293">
        <f ca="1">ROUND((C33+C39)*F27,0)</f>
        <v>11250968</v>
      </c>
      <c r="D46" s="307"/>
      <c r="E46" s="280"/>
      <c r="F46" s="290"/>
      <c r="G46" s="291"/>
    </row>
    <row r="47" spans="1:7" s="258" customFormat="1" ht="13.5" customHeight="1">
      <c r="A47" s="954" t="s">
        <v>792</v>
      </c>
      <c r="B47" s="292" t="s">
        <v>2397</v>
      </c>
      <c r="C47" s="282">
        <f ca="1">ROUND(C40*F27,4)</f>
        <v>3.0000000000000001E-3</v>
      </c>
      <c r="D47" s="307"/>
      <c r="E47" s="280"/>
      <c r="F47" s="290"/>
      <c r="G47" s="291"/>
    </row>
    <row r="48" spans="1:7" s="258" customFormat="1" ht="13.5" customHeight="1">
      <c r="A48" s="299" t="s">
        <v>2359</v>
      </c>
      <c r="B48" s="254" t="s">
        <v>2398</v>
      </c>
      <c r="C48" s="306">
        <f>ROUND(F30/(1+'数据-取费表'!C42),4)</f>
        <v>5.33E-2</v>
      </c>
      <c r="D48" s="280" t="s">
        <v>2386</v>
      </c>
      <c r="E48" s="276"/>
      <c r="F48" s="281"/>
      <c r="G48" s="278" t="s">
        <v>2399</v>
      </c>
    </row>
    <row r="49" spans="1:7" ht="16.5" customHeight="1">
      <c r="A49" s="299" t="s">
        <v>2365</v>
      </c>
      <c r="B49" s="254" t="s">
        <v>2439</v>
      </c>
      <c r="C49" s="276">
        <f ca="1">ROUND((C33+C39+C41+C45)/(1-C40-D41-D45-C48),0)</f>
        <v>97344996</v>
      </c>
      <c r="D49" s="276"/>
      <c r="E49" s="276"/>
      <c r="F49" s="308"/>
      <c r="G49" s="278" t="s">
        <v>2401</v>
      </c>
    </row>
    <row r="50" spans="1:7" s="302" customFormat="1">
      <c r="A50" s="299" t="s">
        <v>2402</v>
      </c>
      <c r="B50" s="254" t="s">
        <v>2403</v>
      </c>
      <c r="C50" s="276"/>
      <c r="D50" s="276"/>
      <c r="E50" s="276"/>
      <c r="F50" s="308">
        <f>IF('数据-取费表'!B24=0,'数据-取费表'!N16,1)</f>
        <v>0.72</v>
      </c>
      <c r="G50" s="291"/>
    </row>
    <row r="51" spans="1:7" ht="16.5" customHeight="1">
      <c r="A51" s="299" t="s">
        <v>2405</v>
      </c>
      <c r="B51" s="254" t="s">
        <v>2440</v>
      </c>
      <c r="C51" s="276">
        <f ca="1">ROUND(C49*F50,0)</f>
        <v>70088397</v>
      </c>
      <c r="D51" s="276"/>
      <c r="E51" s="276"/>
      <c r="F51" s="308"/>
      <c r="G51" s="278" t="s">
        <v>2407</v>
      </c>
    </row>
    <row r="52" spans="1:7" s="252" customFormat="1" ht="16.5" thickBot="1">
      <c r="A52" s="309" t="s">
        <v>2408</v>
      </c>
      <c r="B52" s="310"/>
      <c r="C52" s="311">
        <f ca="1">C31+C51</f>
        <v>84496984</v>
      </c>
      <c r="D52" s="310"/>
      <c r="E52" s="310"/>
      <c r="F52" s="310"/>
      <c r="G52" s="312"/>
    </row>
    <row r="55" spans="1:7" ht="15">
      <c r="B55" s="314" t="s">
        <v>2409</v>
      </c>
      <c r="C55" s="315"/>
    </row>
    <row r="56" spans="1:7">
      <c r="B56" s="317" t="s">
        <v>1509</v>
      </c>
      <c r="C56" s="319">
        <f ca="1">1-C57</f>
        <v>0.17100000000000004</v>
      </c>
    </row>
    <row r="57" spans="1:7">
      <c r="B57" s="317" t="s">
        <v>1510</v>
      </c>
      <c r="C57" s="318">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2441</v>
      </c>
      <c r="B1" s="1584"/>
      <c r="C1" s="1585"/>
      <c r="D1" s="1583"/>
      <c r="E1" s="320"/>
      <c r="F1" s="320"/>
      <c r="G1" s="1584"/>
      <c r="H1" s="320"/>
      <c r="I1" s="320"/>
      <c r="J1" s="320"/>
      <c r="K1" s="320">
        <f>MATCH(C1,'数据-取费表'!A6:A16,0)+5</f>
        <v>7</v>
      </c>
    </row>
    <row r="2" spans="1:33" ht="18" customHeight="1">
      <c r="A2" s="245" t="s">
        <v>2309</v>
      </c>
      <c r="B2" s="248">
        <f ca="1">C32</f>
        <v>0</v>
      </c>
      <c r="C2" s="320" t="s">
        <v>2442</v>
      </c>
      <c r="D2" s="320"/>
      <c r="E2" s="320"/>
      <c r="F2" s="320"/>
      <c r="G2" s="320"/>
      <c r="H2" s="320"/>
      <c r="I2" s="320"/>
      <c r="J2" s="320"/>
      <c r="K2" s="320"/>
    </row>
    <row r="3" spans="1:33" ht="18" customHeight="1" thickBot="1">
      <c r="A3" s="247" t="s">
        <v>2311</v>
      </c>
      <c r="B3" s="248">
        <f ca="1">ROUND(B2*10000/IF(C1="",'数据-汇总表'!E3,INDIRECT("'数据-取费表'!K"&amp;$K$1)),0)</f>
        <v>0</v>
      </c>
      <c r="C3" s="320" t="s">
        <v>2443</v>
      </c>
      <c r="D3" s="320"/>
      <c r="E3" s="320"/>
      <c r="F3" s="320"/>
      <c r="G3" s="320"/>
      <c r="H3" s="320"/>
      <c r="I3" s="320"/>
      <c r="J3" s="320"/>
      <c r="K3" s="320"/>
    </row>
    <row r="4" spans="1:33" s="959" customFormat="1" ht="16.5" customHeight="1">
      <c r="A4" s="956" t="s">
        <v>2444</v>
      </c>
      <c r="B4" s="957"/>
      <c r="C4" s="999">
        <f>SUM(C8:K8)</f>
        <v>0</v>
      </c>
      <c r="D4" s="957"/>
      <c r="E4" s="957"/>
      <c r="F4" s="957"/>
      <c r="G4" s="957"/>
      <c r="H4" s="957"/>
      <c r="I4" s="957"/>
      <c r="J4" s="957"/>
      <c r="K4" s="958"/>
    </row>
    <row r="5" spans="1:33" s="963" customFormat="1" ht="24.75">
      <c r="A5" s="960" t="s">
        <v>2445</v>
      </c>
      <c r="B5" s="961" t="s">
        <v>2446</v>
      </c>
      <c r="C5" s="2554" t="s">
        <v>2447</v>
      </c>
      <c r="D5" s="2554" t="s">
        <v>2448</v>
      </c>
      <c r="E5" s="2554" t="s">
        <v>2449</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2453</v>
      </c>
      <c r="B8" s="177" t="s">
        <v>2454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2455</v>
      </c>
      <c r="B9" s="957"/>
      <c r="C9" s="957"/>
      <c r="D9" s="957"/>
      <c r="E9" s="957"/>
      <c r="F9" s="957"/>
      <c r="G9" s="957"/>
      <c r="H9" s="957"/>
      <c r="I9" s="957"/>
      <c r="J9" s="957"/>
      <c r="K9" s="958"/>
    </row>
    <row r="10" spans="1:33" s="973" customFormat="1" ht="13.5" customHeight="1">
      <c r="A10" s="960" t="s">
        <v>2456</v>
      </c>
      <c r="B10" s="8" t="s">
        <v>2457</v>
      </c>
      <c r="C10" s="969" t="s">
        <v>2458</v>
      </c>
      <c r="D10" s="970" t="s">
        <v>2459</v>
      </c>
      <c r="E10" s="970" t="s">
        <v>2460</v>
      </c>
      <c r="F10" s="970" t="s">
        <v>2461</v>
      </c>
      <c r="G10" s="8"/>
      <c r="H10" s="971"/>
      <c r="I10" s="971"/>
      <c r="J10" s="971"/>
      <c r="K10" s="972"/>
    </row>
    <row r="11" spans="1:33" s="978" customFormat="1" ht="13.5" customHeight="1">
      <c r="A11" s="974" t="s">
        <v>1330</v>
      </c>
      <c r="B11" s="975" t="s">
        <v>2462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2463</v>
      </c>
      <c r="C12" s="24">
        <f ca="1">ROUND(C11*F12,0)</f>
        <v>0</v>
      </c>
      <c r="D12" s="976"/>
      <c r="E12" s="375"/>
      <c r="F12" s="979">
        <f>'数据-取费表'!B33</f>
        <v>0.03</v>
      </c>
      <c r="G12" s="8" t="s">
        <v>2464</v>
      </c>
      <c r="H12" s="971"/>
      <c r="I12" s="971"/>
      <c r="J12" s="971"/>
      <c r="K12" s="972"/>
    </row>
    <row r="13" spans="1:33" s="978" customFormat="1" ht="13.5" customHeight="1">
      <c r="A13" s="974" t="s">
        <v>1332</v>
      </c>
      <c r="B13" s="975" t="s">
        <v>2465</v>
      </c>
      <c r="C13" s="24">
        <f ca="1">ROUND(IF(C1="",SUMIF('数据-取费表'!C:C,"住宅",'数据-取费表'!P:P)*F13,IF(INDIRECT("'数据-取费表'!c"&amp;$K$1)="住宅",INDIRECT("'数据-取费表'!P"&amp;$K$1)*F13,0)),0)</f>
        <v>0</v>
      </c>
      <c r="D13" s="1036"/>
      <c r="E13" s="375"/>
      <c r="F13" s="979">
        <f>'数据-取费表'!B34</f>
        <v>0</v>
      </c>
      <c r="G13" s="8" t="s">
        <v>2466</v>
      </c>
      <c r="H13" s="971"/>
      <c r="I13" s="971"/>
      <c r="J13" s="971"/>
      <c r="K13" s="972"/>
    </row>
    <row r="14" spans="1:33" s="980" customFormat="1" ht="13.5" customHeight="1">
      <c r="A14" s="974" t="s">
        <v>1333</v>
      </c>
      <c r="B14" s="975" t="s">
        <v>2467</v>
      </c>
      <c r="C14" s="24">
        <f ca="1">ROUND(D14*E14*F11/10000,0)</f>
        <v>0</v>
      </c>
      <c r="D14" s="1036">
        <f ca="1">IF(C1="",'数据-汇总表'!E3,INDIRECT("'数据-取费表'!K"&amp;$K$1)+INDIRECT("'数据-取费表'!S"&amp;$K$1))</f>
        <v>26146.04</v>
      </c>
      <c r="E14" s="24">
        <f>'数据-取费表'!B35</f>
        <v>200</v>
      </c>
      <c r="F14" s="979"/>
      <c r="G14" s="8" t="s">
        <v>2468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2469</v>
      </c>
      <c r="C15" s="986">
        <f ca="1">ROUND(C11*F15,0)</f>
        <v>0</v>
      </c>
      <c r="D15" s="981"/>
      <c r="E15" s="986"/>
      <c r="F15" s="987">
        <f>'数据-取费表'!B36</f>
        <v>1.4999999999999999E-2</v>
      </c>
      <c r="G15" s="140" t="s">
        <v>2470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2472</v>
      </c>
      <c r="C17" s="24">
        <f ca="1">ROUND(D17*E17/10000,0)</f>
        <v>0</v>
      </c>
      <c r="D17" s="1036">
        <f ca="1">D14</f>
        <v>26146.04</v>
      </c>
      <c r="E17" s="24">
        <f>'数据-取费表'!B32</f>
        <v>0</v>
      </c>
      <c r="F17" s="981"/>
      <c r="G17" s="140" t="s">
        <v>2473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2474</v>
      </c>
      <c r="C18" s="24">
        <f ca="1">C19+C20-IF(C1="",'数据-取费表'!B29,IF(G18="已全部缴纳",C19+C20,H18))</f>
        <v>0</v>
      </c>
      <c r="D18" s="1036"/>
      <c r="E18" s="24"/>
      <c r="F18" s="979"/>
      <c r="G18" s="2556"/>
      <c r="H18" s="1580"/>
      <c r="I18" s="2557" t="s">
        <v>2475</v>
      </c>
      <c r="J18" s="982"/>
      <c r="K18" s="983"/>
    </row>
    <row r="19" spans="1:33" s="978" customFormat="1" ht="13.5" customHeight="1">
      <c r="A19" s="974" t="s">
        <v>805</v>
      </c>
      <c r="B19" s="975" t="s">
        <v>2476</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2477</v>
      </c>
      <c r="C20" s="24">
        <f ca="1">ROUND(D20*E20/10000,0)</f>
        <v>523</v>
      </c>
      <c r="D20" s="1036">
        <f ca="1">IF(C1="",'数据-汇总表'!E6,IF(INDIRECT("'数据-取费表'!c"&amp;$K$1)="住宅",INDIRECT("'数据-取费表'!s"&amp;$K$1),INDIRECT("'数据-取费表'!k"&amp;$K$1)+INDIRECT("'数据-取费表'!s"&amp;$K$1)))</f>
        <v>26146.04</v>
      </c>
      <c r="E20" s="24">
        <f>'数据-取费表'!B28</f>
        <v>200</v>
      </c>
      <c r="F20" s="979"/>
      <c r="G20" s="15"/>
      <c r="H20" s="984"/>
      <c r="I20" s="984"/>
      <c r="J20" s="984"/>
      <c r="K20" s="985"/>
    </row>
    <row r="21" spans="1:33" s="978" customFormat="1" ht="13.5" customHeight="1">
      <c r="A21" s="964" t="s">
        <v>802</v>
      </c>
      <c r="B21" s="988" t="s">
        <v>2478</v>
      </c>
      <c r="C21" s="989">
        <f ca="1">C16+C17+C18</f>
        <v>0</v>
      </c>
      <c r="D21" s="990"/>
      <c r="E21" s="325"/>
      <c r="F21" s="325"/>
      <c r="G21" s="140" t="s">
        <v>2479</v>
      </c>
      <c r="H21" s="982"/>
      <c r="I21" s="982"/>
      <c r="J21" s="982"/>
      <c r="K21" s="983"/>
    </row>
    <row r="22" spans="1:33" s="978" customFormat="1" ht="13.5" customHeight="1">
      <c r="A22" s="964" t="s">
        <v>2451</v>
      </c>
      <c r="B22" s="988" t="s">
        <v>2480</v>
      </c>
      <c r="C22" s="989">
        <f ca="1">ROUND(C21*F22,0)</f>
        <v>0</v>
      </c>
      <c r="D22" s="325"/>
      <c r="E22" s="325"/>
      <c r="F22" s="991">
        <f>'数据-取费表'!B37</f>
        <v>0.02</v>
      </c>
      <c r="G22" s="8" t="s">
        <v>2481</v>
      </c>
      <c r="H22" s="971"/>
      <c r="I22" s="971"/>
      <c r="J22" s="971"/>
      <c r="K22" s="972"/>
    </row>
    <row r="23" spans="1:33" s="978" customFormat="1" ht="13.5" customHeight="1">
      <c r="A23" s="964" t="s">
        <v>2453</v>
      </c>
      <c r="B23" s="988" t="s">
        <v>2482</v>
      </c>
      <c r="C23" s="989">
        <f ca="1">ROUND(C4*F23*F11,0)</f>
        <v>0</v>
      </c>
      <c r="D23" s="325"/>
      <c r="E23" s="325"/>
      <c r="F23" s="991">
        <f>'数据-取费表'!B38</f>
        <v>0.02</v>
      </c>
      <c r="G23" s="8" t="s">
        <v>2483</v>
      </c>
      <c r="H23" s="971"/>
      <c r="I23" s="971"/>
      <c r="J23" s="971"/>
      <c r="K23" s="972"/>
    </row>
    <row r="24" spans="1:33" s="978" customFormat="1" ht="13.5" customHeight="1">
      <c r="A24" s="964" t="s">
        <v>2484</v>
      </c>
      <c r="B24" s="988" t="s">
        <v>2485</v>
      </c>
      <c r="C24" s="324">
        <f>ROUND(F24/(1+'数据-取费表'!C42),4)</f>
        <v>2.9000000000000001E-2</v>
      </c>
      <c r="D24" s="325" t="s">
        <v>15</v>
      </c>
      <c r="E24" s="325"/>
      <c r="F24" s="991">
        <f>'数据-取费表'!B48+'数据-取费表'!B49</f>
        <v>3.0499999999999999E-2</v>
      </c>
      <c r="G24" s="8" t="s">
        <v>2486</v>
      </c>
      <c r="H24" s="993"/>
      <c r="I24" s="993"/>
      <c r="J24" s="993"/>
      <c r="K24" s="994"/>
    </row>
    <row r="25" spans="1:33" s="978" customFormat="1" ht="13.5" customHeight="1">
      <c r="A25" s="964" t="s">
        <v>2487</v>
      </c>
      <c r="B25" s="990" t="s">
        <v>2488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2489</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2490</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2491</v>
      </c>
      <c r="B28" s="2559" t="s">
        <v>2492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2493</v>
      </c>
      <c r="C29" s="328">
        <f ca="1">ROUND((1+C24)*F28*'数据-取费表'!B24/'数据-取费表'!B20,4)</f>
        <v>0</v>
      </c>
      <c r="D29" s="328"/>
      <c r="E29" s="329"/>
      <c r="F29" s="334"/>
      <c r="G29" s="140" t="s">
        <v>2494</v>
      </c>
      <c r="H29" s="982"/>
      <c r="I29" s="982"/>
      <c r="J29" s="982"/>
      <c r="K29" s="983"/>
    </row>
    <row r="30" spans="1:33" s="335" customFormat="1" ht="13.5" customHeight="1">
      <c r="A30" s="974" t="s">
        <v>804</v>
      </c>
      <c r="B30" s="997" t="s">
        <v>2495</v>
      </c>
      <c r="C30" s="336">
        <f ca="1">ROUND((C21+C22+C23)*F28,0)</f>
        <v>0</v>
      </c>
      <c r="D30" s="328"/>
      <c r="E30" s="329"/>
      <c r="F30" s="334"/>
      <c r="G30" s="140"/>
      <c r="H30" s="982"/>
      <c r="I30" s="982"/>
      <c r="J30" s="982"/>
      <c r="K30" s="983"/>
    </row>
    <row r="31" spans="1:33" s="978" customFormat="1" ht="13.5" customHeight="1" thickBot="1">
      <c r="A31" s="2560" t="s">
        <v>2496</v>
      </c>
      <c r="B31" s="1008" t="s">
        <v>2497</v>
      </c>
      <c r="C31" s="1009">
        <f>ROUND(C4*F31/(1+'数据-取费表'!C42),0)</f>
        <v>0</v>
      </c>
      <c r="D31" s="1010"/>
      <c r="E31" s="1011"/>
      <c r="F31" s="1012">
        <f>'数据-取费表'!B41</f>
        <v>5.6000000000000001E-2</v>
      </c>
      <c r="G31" s="1013" t="s">
        <v>2498</v>
      </c>
      <c r="H31" s="1014"/>
      <c r="I31" s="1014"/>
      <c r="J31" s="1014"/>
      <c r="K31" s="1015"/>
    </row>
    <row r="32" spans="1:33" s="973" customFormat="1" ht="13.5" customHeight="1" thickBot="1">
      <c r="A32" s="1003" t="s">
        <v>2499</v>
      </c>
      <c r="B32" s="1004"/>
      <c r="C32" s="1005">
        <f ca="1">ROUND((C4-C21-C22-C23-C25-C28-C31)/(1+C24+D25+D28),0)</f>
        <v>0</v>
      </c>
      <c r="D32" s="1004"/>
      <c r="E32" s="1004"/>
      <c r="F32" s="1004"/>
      <c r="G32" s="1006" t="s">
        <v>2500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22" sqref="I2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2786</v>
      </c>
      <c r="B1" s="241"/>
      <c r="C1" s="245" t="s">
        <v>2787</v>
      </c>
      <c r="D1" s="388">
        <f>SUM(D29:D30,D33:D39)</f>
        <v>5145.01</v>
      </c>
      <c r="E1" s="2717"/>
      <c r="F1" s="2717"/>
      <c r="G1" s="2717"/>
      <c r="H1" s="2717"/>
      <c r="I1" s="2717"/>
      <c r="J1" s="2717"/>
      <c r="K1" s="1373"/>
      <c r="L1" s="2718" t="s">
        <v>2788</v>
      </c>
      <c r="M1" s="1083">
        <f>SUMPRODUCT((区片价!B5:B9=I2)*(区片价!C3:F3=E2)*(区片价!C5:F9))</f>
        <v>0</v>
      </c>
      <c r="N1" s="1086">
        <f>SUMPRODUCT((因素修正幅度!B5:B9=I2)*(因素修正幅度!C3:F3=E2)*(因素修正幅度!C5:F9))</f>
        <v>0</v>
      </c>
      <c r="O1" s="2719"/>
      <c r="P1" s="2719"/>
      <c r="Q1" s="1373"/>
      <c r="R1" s="1605" t="s">
        <v>2789</v>
      </c>
      <c r="S1" s="1605" t="s">
        <v>2790</v>
      </c>
      <c r="T1" s="1605" t="s">
        <v>2791</v>
      </c>
      <c r="U1" s="1605" t="s">
        <v>2792</v>
      </c>
      <c r="V1" s="1605" t="s">
        <v>2793</v>
      </c>
      <c r="W1" s="1609"/>
      <c r="X1" s="1609"/>
      <c r="Y1" s="1609"/>
      <c r="Z1" s="1609"/>
      <c r="AA1" s="1609"/>
      <c r="AB1" s="1609"/>
      <c r="AC1" s="1610"/>
      <c r="AD1" s="1611"/>
      <c r="AE1" s="1611"/>
      <c r="AF1" s="1611"/>
      <c r="AG1" s="1611"/>
      <c r="AH1" s="1611"/>
      <c r="AI1" s="1611"/>
      <c r="AJ1" s="1612"/>
    </row>
    <row r="2" spans="1:36" ht="15.75">
      <c r="A2" s="245" t="s">
        <v>2794</v>
      </c>
      <c r="B2" s="248">
        <f ca="1">C26</f>
        <v>12159</v>
      </c>
      <c r="C2" s="2721" t="s">
        <v>2795</v>
      </c>
      <c r="D2" s="2722" t="s">
        <v>2796</v>
      </c>
      <c r="E2" s="2723" t="s">
        <v>1373</v>
      </c>
      <c r="F2" s="2722" t="s">
        <v>2797</v>
      </c>
      <c r="G2" s="2724" t="str">
        <f>IF(E2="商业",项目基本情况!B37,IF(E2="办公",项目基本情况!C37,IF(E2="住宅",项目基本情况!D37,项目基本情况!E37)))</f>
        <v>二级</v>
      </c>
      <c r="H2" s="2722" t="s">
        <v>2798</v>
      </c>
      <c r="I2" s="2724" t="str">
        <f>IF(E2="商业",项目基本情况!B38,IF(E2="办公",项目基本情况!C38,IF(E2="住宅",项目基本情况!D38,项目基本情况!E38)))</f>
        <v>Ⅱ—08</v>
      </c>
      <c r="J2" s="2725"/>
      <c r="K2" s="1373"/>
      <c r="L2" s="2726" t="s">
        <v>2799</v>
      </c>
      <c r="M2" s="1084">
        <f>SUMPRODUCT((区片价!B10:B28=I2)*(区片价!C3:F3=E2)*(区片价!C10:F28))</f>
        <v>24700</v>
      </c>
      <c r="N2" s="1086">
        <f>SUMPRODUCT((因素修正幅度!B10:B28=I2)*(因素修正幅度!C3:F3=E2)*(因素修正幅度!C10:F28))</f>
        <v>9.5000000000000001E-2</v>
      </c>
      <c r="O2" s="1373"/>
      <c r="P2" s="1373"/>
      <c r="Q2" s="1373"/>
      <c r="R2" s="1605">
        <v>1</v>
      </c>
      <c r="S2" s="1605">
        <f>ROUND(IF(G3&gt;1,IF(R2&lt;7,SUMPRODUCT((B93:B98=R2)*(C92:N92=G2)*(C93:N98)),SUMIF(C92:N92,G2,C100:N100)),IF(R2&lt;7,SUMPRODUCT((B102:B107=R2)*(C92:N92=G2)*(C102:N107)),SUMIF(C92:N92,G2,C109:N109))),4)</f>
        <v>1.9361999999999999</v>
      </c>
      <c r="T2" s="1605">
        <f ca="1">ROUND($C$5*$C$18*$C$19*$C$20*S2*$C$24,0)</f>
        <v>68637</v>
      </c>
      <c r="U2" s="1606">
        <f>信息!B2</f>
        <v>6745.2800000000007</v>
      </c>
      <c r="V2" s="1605">
        <f ca="1">ROUND(T2*U2/10000,0)</f>
        <v>46298</v>
      </c>
      <c r="W2" s="1609"/>
      <c r="X2" s="1609"/>
      <c r="Y2" s="1609"/>
      <c r="Z2" s="1609"/>
      <c r="AA2" s="1609"/>
      <c r="AB2" s="1609"/>
      <c r="AC2" s="1610"/>
      <c r="AD2" s="1611"/>
      <c r="AE2" s="1611"/>
      <c r="AF2" s="1611"/>
      <c r="AG2" s="1611"/>
      <c r="AH2" s="1611"/>
      <c r="AI2" s="1611"/>
      <c r="AJ2" s="1612"/>
    </row>
    <row r="3" spans="1:36" ht="15.75">
      <c r="A3" s="247" t="s">
        <v>2800</v>
      </c>
      <c r="B3" s="248">
        <f ca="1">ROUND(B2*10000/D1,0)</f>
        <v>23633</v>
      </c>
      <c r="C3" s="2721" t="s">
        <v>2801</v>
      </c>
      <c r="D3" s="2722" t="s">
        <v>2802</v>
      </c>
      <c r="E3" s="2727" t="s">
        <v>3068</v>
      </c>
      <c r="F3" s="2728" t="s">
        <v>2803</v>
      </c>
      <c r="G3" s="916">
        <f>IF(F3="宗地容积率",'数据-汇总表'!I4,IF(F3="估价对象容积率",'数据-汇总表'!I6,'数据-汇总表'!I7))</f>
        <v>4.82</v>
      </c>
      <c r="H3" s="198" t="s">
        <v>2804</v>
      </c>
      <c r="I3" s="947"/>
      <c r="J3" s="2725" t="s">
        <v>2805</v>
      </c>
      <c r="K3" s="1373"/>
      <c r="L3" s="2726" t="s">
        <v>2806</v>
      </c>
      <c r="M3" s="1084">
        <f>SUMPRODUCT((区片价!B29:B48=I2)*(区片价!C3:F3=E2)*(区片价!C29:F48))</f>
        <v>0</v>
      </c>
      <c r="N3" s="1086">
        <f>SUMPRODUCT((因素修正幅度!B29:B48=I2)*(因素修正幅度!C3:F3=E2)*(因素修正幅度!C29:F48))</f>
        <v>0</v>
      </c>
      <c r="O3" s="1373"/>
      <c r="P3" s="1373">
        <f>S3/S2</f>
        <v>0.73329201528767685</v>
      </c>
      <c r="Q3" s="1373"/>
      <c r="R3" s="1605">
        <v>2</v>
      </c>
      <c r="S3" s="1605">
        <f>ROUND(IF(G3&gt;1,IF(R3&lt;7,SUMPRODUCT((B93:B98=R3)*(C92:N92=G2)*(C93:N98)),SUMIF(C92:N92,G2,C100:N100)),IF(R3&lt;7,SUMPRODUCT((B102:B107=R3)*(C92:N92=G2)*(C102:N107)),SUMIF(C92:N92,G2,C109:N109))),4)</f>
        <v>1.4198</v>
      </c>
      <c r="T3" s="1605">
        <f t="shared" ref="T3:T16" ca="1" si="0">ROUND($C$5*$C$18*$C$19*$C$20*S3*$C$24,0)</f>
        <v>50331</v>
      </c>
      <c r="U3" s="1606">
        <f>信息!B3</f>
        <v>7005.63</v>
      </c>
      <c r="V3" s="1605">
        <f t="shared" ref="V3:V16" ca="1" si="1">ROUND(T3*U3/10000,0)</f>
        <v>35260</v>
      </c>
      <c r="W3" s="1609"/>
      <c r="X3" s="1609"/>
      <c r="Y3" s="1609"/>
      <c r="Z3" s="1609"/>
      <c r="AA3" s="1609"/>
      <c r="AB3" s="1609"/>
      <c r="AC3" s="1610"/>
      <c r="AD3" s="1611"/>
      <c r="AE3" s="1611"/>
      <c r="AF3" s="1611"/>
      <c r="AG3" s="1611"/>
      <c r="AH3" s="1611"/>
      <c r="AI3" s="1611"/>
      <c r="AJ3" s="1612"/>
    </row>
    <row r="4" spans="1:36" ht="15.75">
      <c r="A4" s="3151"/>
      <c r="B4" s="3152"/>
      <c r="C4" s="3152"/>
      <c r="D4" s="3153"/>
      <c r="E4" s="3153"/>
      <c r="F4" s="3153"/>
      <c r="G4" s="3153"/>
      <c r="H4" s="3153"/>
      <c r="I4" s="3153"/>
      <c r="J4" s="3154"/>
      <c r="K4" s="1373"/>
      <c r="L4" s="2726" t="s">
        <v>2807</v>
      </c>
      <c r="M4" s="1084">
        <f>SUMPRODUCT((区片价!B49:B75=I2)*(区片价!C3:F3=E2)*(区片价!C49:F75))</f>
        <v>0</v>
      </c>
      <c r="N4" s="1086">
        <f>SUMPRODUCT((因素修正幅度!B49:B75=I2)*(因素修正幅度!C3:F3=E2)*(因素修正幅度!C49:F75))</f>
        <v>0</v>
      </c>
      <c r="O4" s="1373"/>
      <c r="P4" s="1373">
        <f>S4/S2</f>
        <v>0.59880177667596324</v>
      </c>
      <c r="Q4" s="1373"/>
      <c r="R4" s="1605">
        <v>3</v>
      </c>
      <c r="S4" s="1605">
        <f>ROUND(IF(G3&gt;1,IF(R4&lt;7,SUMPRODUCT((B93:B98=R4)*(C92:N92=G2)*(C93:N98)),SUMIF(C92:N92,G2,C100:N100)),IF(R4&lt;7,SUMPRODUCT((B102:B107=R4)*(C92:N92=G2)*(C102:N107)),SUMIF(C92:N92,G2,C109:N109))),4)</f>
        <v>1.1594</v>
      </c>
      <c r="T4" s="1605">
        <f t="shared" ca="1" si="0"/>
        <v>41100</v>
      </c>
      <c r="U4" s="1606">
        <f>信息!B4</f>
        <v>7250.12</v>
      </c>
      <c r="V4" s="1605">
        <f t="shared" ca="1" si="1"/>
        <v>29798</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2808</v>
      </c>
      <c r="C5" s="917">
        <f>ROUND(IF(E2="商业",IF(F16="增加",C6*C7+C16,C6*C7-C16),IF(E2="住宅",IF(F16="增加",C6*C12+C16,C6*C12-C16),IF(F16="增加",C6+C16,C6-C16))),0)</f>
        <v>29640</v>
      </c>
      <c r="D5" s="1790">
        <f>ROUND(IF(F16="增加",C6+C16,C6-C16),0)</f>
        <v>24700</v>
      </c>
      <c r="E5" s="1790"/>
      <c r="F5" s="2731"/>
      <c r="G5" s="2732"/>
      <c r="H5" s="2732"/>
      <c r="I5" s="2732"/>
      <c r="J5" s="2733"/>
      <c r="K5" s="2734"/>
      <c r="L5" s="2726" t="s">
        <v>2809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34109</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2810</v>
      </c>
      <c r="B6" s="2740" t="s">
        <v>2811</v>
      </c>
      <c r="C6" s="918">
        <f>SUMIF(L1:L12,G2,M1:M12)</f>
        <v>24700</v>
      </c>
      <c r="D6" s="2741" t="s">
        <v>2812</v>
      </c>
      <c r="E6" s="2742"/>
      <c r="F6" s="2742"/>
      <c r="G6" s="2743"/>
      <c r="H6" s="2743"/>
      <c r="I6" s="2743"/>
      <c r="J6" s="2744"/>
      <c r="K6" s="1845"/>
      <c r="L6" s="2726" t="s">
        <v>2813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29838</v>
      </c>
      <c r="U6" s="1606"/>
      <c r="V6" s="1605">
        <f t="shared" ca="1" si="1"/>
        <v>0</v>
      </c>
      <c r="W6" s="1609"/>
      <c r="X6" s="1609"/>
      <c r="Y6" s="1609"/>
      <c r="Z6" s="1609"/>
      <c r="AA6" s="1609"/>
      <c r="AB6" s="1609"/>
      <c r="AC6" s="2735"/>
      <c r="AD6" s="2736"/>
      <c r="AE6" s="2736"/>
      <c r="AF6" s="2736"/>
      <c r="AG6" s="2736"/>
      <c r="AH6" s="2736"/>
      <c r="AI6" s="2736"/>
      <c r="AJ6" s="2737"/>
    </row>
    <row r="7" spans="1:36" ht="24">
      <c r="A7" s="3155">
        <f>IF(E2="商业",IF(C8="不临58条商业街","",2),"")</f>
        <v>2</v>
      </c>
      <c r="B7" s="2745" t="s">
        <v>2814</v>
      </c>
      <c r="C7" s="919">
        <f>IF(C8="不临58条商业街",1,ROUND(1+(1.6*E8+1.2*E9+0.8*E10+0.4*E11)*C9,4))</f>
        <v>1.2</v>
      </c>
      <c r="D7" s="2746" t="s">
        <v>2815</v>
      </c>
      <c r="E7" s="948">
        <v>30</v>
      </c>
      <c r="F7" s="2747"/>
      <c r="G7" s="2748"/>
      <c r="H7" s="2748"/>
      <c r="I7" s="2748"/>
      <c r="J7" s="2749"/>
      <c r="K7" s="1845"/>
      <c r="L7" s="2726" t="s">
        <v>2816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26970</v>
      </c>
      <c r="U7" s="1606"/>
      <c r="V7" s="1605">
        <f t="shared" ca="1" si="1"/>
        <v>0</v>
      </c>
      <c r="W7" s="1819" t="s">
        <v>2817</v>
      </c>
      <c r="X7" s="1607" t="str">
        <f>G2</f>
        <v>二级</v>
      </c>
      <c r="Y7" s="1607" t="s">
        <v>2818</v>
      </c>
      <c r="Z7" s="1608">
        <f>G3</f>
        <v>4.82</v>
      </c>
      <c r="AA7" s="1609"/>
      <c r="AB7" s="1609"/>
      <c r="AC7" s="1610"/>
      <c r="AD7" s="1611"/>
      <c r="AE7" s="1611"/>
      <c r="AF7" s="1611"/>
      <c r="AG7" s="1611"/>
      <c r="AH7" s="1611"/>
      <c r="AI7" s="1611"/>
      <c r="AJ7" s="1612"/>
    </row>
    <row r="8" spans="1:36" ht="15">
      <c r="A8" s="3156"/>
      <c r="B8" s="198" t="s">
        <v>2819</v>
      </c>
      <c r="C8" s="2750" t="s">
        <v>3069</v>
      </c>
      <c r="D8" s="920" t="s">
        <v>139</v>
      </c>
      <c r="E8" s="921">
        <f>ROUND(C11/E7,4)</f>
        <v>0.25</v>
      </c>
      <c r="F8" s="2751" t="s">
        <v>2820</v>
      </c>
      <c r="G8" s="2752"/>
      <c r="H8" s="2752"/>
      <c r="I8" s="2752"/>
      <c r="J8" s="2753"/>
      <c r="K8" s="1373"/>
      <c r="L8" s="2726" t="s">
        <v>2821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8" t="s">
        <v>2822</v>
      </c>
      <c r="X8" s="3149"/>
      <c r="Y8" s="1613" t="s">
        <v>2823</v>
      </c>
      <c r="Z8" s="1613" t="s">
        <v>2824</v>
      </c>
      <c r="AA8" s="1613" t="s">
        <v>2825</v>
      </c>
      <c r="AB8" s="1613" t="s">
        <v>2826</v>
      </c>
      <c r="AC8" s="1613" t="s">
        <v>2827</v>
      </c>
      <c r="AD8" s="1613" t="s">
        <v>2828</v>
      </c>
      <c r="AE8" s="1613" t="s">
        <v>2829</v>
      </c>
      <c r="AF8" s="1613" t="s">
        <v>2830</v>
      </c>
      <c r="AG8" s="1613" t="s">
        <v>2831</v>
      </c>
      <c r="AH8" s="1613" t="s">
        <v>2832</v>
      </c>
      <c r="AI8" s="1613" t="s">
        <v>2833</v>
      </c>
      <c r="AJ8" s="1613" t="s">
        <v>2834</v>
      </c>
    </row>
    <row r="9" spans="1:36" ht="15">
      <c r="A9" s="3156"/>
      <c r="B9" s="198" t="s">
        <v>2835</v>
      </c>
      <c r="C9" s="922">
        <f>SUMIF(修正!C59:C119,C8,修正!E59:E119)</f>
        <v>0.2</v>
      </c>
      <c r="D9" s="200" t="s">
        <v>140</v>
      </c>
      <c r="E9" s="200">
        <f>ROUND(C11/E7,4)</f>
        <v>0.25</v>
      </c>
      <c r="F9" s="2751" t="s">
        <v>2836</v>
      </c>
      <c r="G9" s="2752"/>
      <c r="H9" s="2752"/>
      <c r="I9" s="2752"/>
      <c r="J9" s="2753"/>
      <c r="K9" s="1373"/>
      <c r="L9" s="2726" t="s">
        <v>2837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0" t="s">
        <v>2838</v>
      </c>
      <c r="X9" s="1614" t="s">
        <v>2839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6"/>
      <c r="B10" s="198" t="s">
        <v>2840</v>
      </c>
      <c r="C10" s="200">
        <f>SUMIF(修正!C59:C119,C8,修正!F59:F119)</f>
        <v>30</v>
      </c>
      <c r="D10" s="200" t="s">
        <v>141</v>
      </c>
      <c r="E10" s="200">
        <f>ROUND(C11/E7,4)</f>
        <v>0.25</v>
      </c>
      <c r="F10" s="2751" t="s">
        <v>2841</v>
      </c>
      <c r="G10" s="2752"/>
      <c r="H10" s="2752"/>
      <c r="I10" s="2752"/>
      <c r="J10" s="2753"/>
      <c r="K10" s="1373"/>
      <c r="L10" s="2726" t="s">
        <v>2842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6"/>
      <c r="B11" s="2754" t="s">
        <v>2843</v>
      </c>
      <c r="C11" s="923">
        <f>C10/4</f>
        <v>7.5</v>
      </c>
      <c r="D11" s="923" t="s">
        <v>142</v>
      </c>
      <c r="E11" s="923">
        <f>ROUND(C11/E7,4)</f>
        <v>0.25</v>
      </c>
      <c r="F11" s="2755" t="s">
        <v>2844</v>
      </c>
      <c r="G11" s="2756"/>
      <c r="H11" s="2756"/>
      <c r="I11" s="2756"/>
      <c r="J11" s="2757"/>
      <c r="K11" s="1373"/>
      <c r="L11" s="2726" t="s">
        <v>2845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0" t="s">
        <v>2846</v>
      </c>
      <c r="X11" s="1617" t="s">
        <v>2847</v>
      </c>
      <c r="Y11" s="1618">
        <f>$G$3</f>
        <v>4.82</v>
      </c>
      <c r="Z11" s="1618">
        <f t="shared" ref="Z11:AJ11" si="3">$G$3</f>
        <v>4.82</v>
      </c>
      <c r="AA11" s="1618">
        <f t="shared" si="3"/>
        <v>4.82</v>
      </c>
      <c r="AB11" s="1618">
        <f t="shared" si="3"/>
        <v>4.82</v>
      </c>
      <c r="AC11" s="1618">
        <f t="shared" si="3"/>
        <v>4.82</v>
      </c>
      <c r="AD11" s="1618">
        <f t="shared" si="3"/>
        <v>4.82</v>
      </c>
      <c r="AE11" s="1618">
        <f t="shared" si="3"/>
        <v>4.82</v>
      </c>
      <c r="AF11" s="1618">
        <f t="shared" si="3"/>
        <v>4.82</v>
      </c>
      <c r="AG11" s="1618">
        <f t="shared" si="3"/>
        <v>4.82</v>
      </c>
      <c r="AH11" s="1618">
        <f t="shared" si="3"/>
        <v>4.82</v>
      </c>
      <c r="AI11" s="1618">
        <f t="shared" si="3"/>
        <v>4.82</v>
      </c>
      <c r="AJ11" s="1618">
        <f t="shared" si="3"/>
        <v>4.82</v>
      </c>
    </row>
    <row r="12" spans="1:36" ht="25.5" hidden="1" thickBot="1">
      <c r="A12" s="3155" t="s">
        <v>2848</v>
      </c>
      <c r="B12" s="2758" t="s">
        <v>2849</v>
      </c>
      <c r="C12" s="919">
        <f>ROUND(C15*D15*E15*F15*G15*H15*I15*J15,4)</f>
        <v>1</v>
      </c>
      <c r="D12" s="2759" t="s">
        <v>2850</v>
      </c>
      <c r="E12" s="2760"/>
      <c r="F12" s="2760"/>
      <c r="G12" s="2761"/>
      <c r="H12" s="2761"/>
      <c r="I12" s="2761"/>
      <c r="J12" s="2762"/>
      <c r="K12" s="1373"/>
      <c r="L12" s="2763" t="s">
        <v>2851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0"/>
      <c r="X12" s="1619" t="s">
        <v>2852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157"/>
      <c r="B13" s="2764" t="s">
        <v>2853</v>
      </c>
      <c r="C13" s="2765" t="s">
        <v>2854</v>
      </c>
      <c r="D13" s="1811" t="s">
        <v>2855</v>
      </c>
      <c r="E13" s="1811" t="s">
        <v>2856</v>
      </c>
      <c r="F13" s="30" t="s">
        <v>2857</v>
      </c>
      <c r="G13" s="2766" t="s">
        <v>2858</v>
      </c>
      <c r="H13" s="2766" t="s">
        <v>2858</v>
      </c>
      <c r="I13" s="2766" t="s">
        <v>2858</v>
      </c>
      <c r="J13" s="2767" t="s">
        <v>2858</v>
      </c>
      <c r="K13" s="1373"/>
      <c r="L13" s="1373"/>
      <c r="M13" s="1373"/>
      <c r="N13" s="1373"/>
      <c r="O13" s="1373"/>
      <c r="P13" s="1373"/>
      <c r="Q13" s="1373"/>
      <c r="R13" s="1605">
        <v>12</v>
      </c>
      <c r="S13" s="1606"/>
      <c r="T13" s="1605">
        <f t="shared" ca="1" si="0"/>
        <v>0</v>
      </c>
      <c r="U13" s="1606"/>
      <c r="V13" s="1605">
        <f t="shared" ca="1" si="1"/>
        <v>0</v>
      </c>
      <c r="W13" s="3150"/>
      <c r="X13" s="1619"/>
      <c r="Y13" s="1616">
        <f>(-0.163*(Y12^2)-0.59*Y12+7617)*(10^(-4))/Y11</f>
        <v>0.15802904564315354</v>
      </c>
      <c r="Z13" s="1616">
        <f t="shared" ref="Z13:AJ13" si="5">(-0.163*(Z12^2)-0.59*Z12+7617)*(10^(-4))/Z11</f>
        <v>0.15802904564315354</v>
      </c>
      <c r="AA13" s="1616">
        <f t="shared" si="5"/>
        <v>0.15802904564315354</v>
      </c>
      <c r="AB13" s="1616">
        <f t="shared" si="5"/>
        <v>0.15802904564315354</v>
      </c>
      <c r="AC13" s="1616">
        <f t="shared" si="5"/>
        <v>0.15802904564315354</v>
      </c>
      <c r="AD13" s="1616">
        <f t="shared" si="5"/>
        <v>0.15802904564315354</v>
      </c>
      <c r="AE13" s="1616">
        <f t="shared" si="5"/>
        <v>0.15802904564315354</v>
      </c>
      <c r="AF13" s="1616">
        <f t="shared" si="5"/>
        <v>0.15802904564315354</v>
      </c>
      <c r="AG13" s="1616">
        <f t="shared" si="5"/>
        <v>0.15802904564315354</v>
      </c>
      <c r="AH13" s="1616">
        <f t="shared" si="5"/>
        <v>0.15802904564315354</v>
      </c>
      <c r="AI13" s="1616">
        <f t="shared" si="5"/>
        <v>0.15802904564315354</v>
      </c>
      <c r="AJ13" s="1616">
        <f t="shared" si="5"/>
        <v>0.15802904564315354</v>
      </c>
    </row>
    <row r="14" spans="1:36" ht="15" hidden="1">
      <c r="A14" s="3157"/>
      <c r="B14" s="2768"/>
      <c r="C14" s="2769"/>
      <c r="D14" s="2770"/>
      <c r="E14" s="2770"/>
      <c r="F14" s="2771"/>
      <c r="G14" s="2772" t="s">
        <v>2859</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158"/>
      <c r="B15" s="2776" t="s">
        <v>2860</v>
      </c>
      <c r="C15" s="229">
        <f>IF(C14="有",1.1,1)</f>
        <v>1</v>
      </c>
      <c r="D15" s="229">
        <f>IF(D14="有",1.1,1)</f>
        <v>1</v>
      </c>
      <c r="E15" s="229">
        <f>IF(E14="有",1.1,1)</f>
        <v>1</v>
      </c>
      <c r="F15" s="229">
        <f>IF(F14="500米范围内",1.2,IF(F14="500-1000米",1.1,1))</f>
        <v>1</v>
      </c>
      <c r="G15" s="949">
        <v>1</v>
      </c>
      <c r="H15" s="949">
        <v>1</v>
      </c>
      <c r="I15" s="949">
        <v>1</v>
      </c>
      <c r="J15" s="950">
        <v>1</v>
      </c>
      <c r="K15" s="1373"/>
      <c r="L15" s="2777" t="s">
        <v>2796</v>
      </c>
      <c r="M15" s="920" t="s">
        <v>2861</v>
      </c>
      <c r="N15" s="920" t="s">
        <v>2862</v>
      </c>
      <c r="O15" s="920" t="s">
        <v>2863</v>
      </c>
      <c r="P15" s="2778" t="s">
        <v>2864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5" t="s">
        <v>2865</v>
      </c>
      <c r="B16" s="2745" t="s">
        <v>2866</v>
      </c>
      <c r="C16" s="1804">
        <f>ROUND(SUM(G17:J17)/C17,0)</f>
        <v>0</v>
      </c>
      <c r="D16" s="2779" t="s">
        <v>2867</v>
      </c>
      <c r="E16" s="2780" t="s">
        <v>3070</v>
      </c>
      <c r="F16" s="2781" t="s">
        <v>3071</v>
      </c>
      <c r="G16" s="2782"/>
      <c r="H16" s="2782"/>
      <c r="I16" s="2782"/>
      <c r="J16" s="2783"/>
      <c r="K16" s="1373"/>
      <c r="L16" s="2784" t="s">
        <v>2868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6"/>
      <c r="B17" s="2785" t="s">
        <v>2869</v>
      </c>
      <c r="C17" s="924">
        <f>SUMPRODUCT((修正!A2:A5=E2)*(修正!B1:M1=G2)*(修正!B2:M5))</f>
        <v>3.5</v>
      </c>
      <c r="D17" s="2786" t="s">
        <v>2870</v>
      </c>
      <c r="E17" s="923" t="str">
        <f>IF(OR(G2="八级",G2="九级",G2="十级",G2="十一级",G2="十二级"),"五通一平","七通一平")</f>
        <v>七通一平</v>
      </c>
      <c r="F17" s="924" t="s">
        <v>2871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2873</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2874</v>
      </c>
      <c r="C19" s="927">
        <f>ROUND(IF(H19="按公示增长率计算",SUMPRODUCT((地价!A3:A25=YEAR(G19)&amp;"-"&amp;ROUNDUP(MONTH(G19)/3,0))*(地价!X2:AB2=E2)*(地价!X3:AB25)),IF(H19="地价指数",M20/M19,(1+I19)^O19)),4)</f>
        <v>1.3217000000000001</v>
      </c>
      <c r="D19" s="2797" t="s">
        <v>2875</v>
      </c>
      <c r="E19" s="928">
        <v>41640</v>
      </c>
      <c r="F19" s="2797" t="s">
        <v>2876</v>
      </c>
      <c r="G19" s="929">
        <f>'数据-取费表'!B2</f>
        <v>43485</v>
      </c>
      <c r="H19" s="2798" t="s">
        <v>3104</v>
      </c>
      <c r="I19" s="930" t="str">
        <f>IF(H19="季度增幅（自定义）",SUMIF(N21:N24,E2,O21:O24),"")</f>
        <v/>
      </c>
      <c r="J19" s="2795"/>
      <c r="K19" s="1380"/>
      <c r="L19" s="2799" t="s">
        <v>2877</v>
      </c>
      <c r="M19" s="1737">
        <f>ROUND(SUMIF(地价!B2:F2,E2,地价!B25:F25),0)</f>
        <v>258</v>
      </c>
      <c r="N19" s="2800" t="s">
        <v>2878</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2879</v>
      </c>
      <c r="C20" s="932">
        <f ca="1">ROUND(POWER(1+G20,J20-I20)*(POWER(1+G20,I20)-1)/(POWER(1+G20,J20)-1),4)</f>
        <v>0.8468</v>
      </c>
      <c r="D20" s="2806" t="s">
        <v>2880</v>
      </c>
      <c r="E20" s="1771">
        <f ca="1">存贷款利率!D4/100</f>
        <v>4.3499999999999997E-2</v>
      </c>
      <c r="F20" s="2806" t="s">
        <v>2872</v>
      </c>
      <c r="G20" s="937">
        <f ca="1">SUMIF(M15:P15,E2,M17:P17)</f>
        <v>5.3999999999999999E-2</v>
      </c>
      <c r="H20" s="2806" t="s">
        <v>2881</v>
      </c>
      <c r="I20" s="938">
        <f>SUMIF('数据-取费表'!C6:C15,E2,'数据-取费表'!F6:F15)/COUNTIF('数据-取费表'!C6:C15,E2)</f>
        <v>25.87</v>
      </c>
      <c r="J20" s="939">
        <f>IF(E2="住宅",70,IF(E2="商业",40,50))</f>
        <v>40</v>
      </c>
      <c r="K20" s="1380"/>
      <c r="L20" s="2807" t="s">
        <v>2882</v>
      </c>
      <c r="M20" s="1738">
        <f>ROUND(SUMPRODUCT((地价!A4:A25=YEAR(G19)&amp;"-"&amp;ROUNDUP(MONTH(G19)/3,0))*(地价!B2:F2=E2)*(地价!B4:F25)),0)</f>
        <v>341</v>
      </c>
      <c r="N20" s="2808" t="s">
        <v>2883</v>
      </c>
      <c r="O20" s="2809" t="s">
        <v>2884</v>
      </c>
      <c r="P20" s="2810" t="s">
        <v>2885</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3072</v>
      </c>
      <c r="C21" s="940">
        <f>IF(B21="容积率修正",IF(G3&lt;=10,D22,J22),C23)</f>
        <v>0</v>
      </c>
      <c r="D21" s="2813"/>
      <c r="E21" s="2813"/>
      <c r="F21" s="2813"/>
      <c r="G21" s="2813"/>
      <c r="H21" s="2813"/>
      <c r="I21" s="2813"/>
      <c r="J21" s="2814"/>
      <c r="K21" s="1380"/>
      <c r="N21" s="2815" t="s">
        <v>2886</v>
      </c>
      <c r="O21" s="1564">
        <v>0.01</v>
      </c>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8" customFormat="1" ht="14.25">
      <c r="A22" s="2664" t="s">
        <v>2887</v>
      </c>
      <c r="B22" s="2816" t="s">
        <v>2888</v>
      </c>
      <c r="C22" s="1813" t="s">
        <v>2889</v>
      </c>
      <c r="D22" s="1813">
        <f>IF(E22=G22,F22,IF(G3&lt;=10,ROUND(F22+(H22-F22)*(G3-E22)/(G22-E22),4),"——"))</f>
        <v>0.93379999999999996</v>
      </c>
      <c r="E22" s="916">
        <f>ROUNDDOWN(G3,1)</f>
        <v>4.8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0.9345</v>
      </c>
      <c r="G22" s="916">
        <f>ROUNDUP(G3,1)</f>
        <v>4.8999999999999995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3" t="s">
        <v>155</v>
      </c>
      <c r="J22" s="941" t="str">
        <f>IF(G3&gt;10,D113,"——")</f>
        <v>——</v>
      </c>
      <c r="K22" s="1380"/>
      <c r="N22" s="2815" t="s">
        <v>2890</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4" t="s">
        <v>2891</v>
      </c>
      <c r="B23" s="2817" t="s">
        <v>2892</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2893</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2894</v>
      </c>
      <c r="C24" s="927">
        <f>SUMIF(A45:A88,E2,B45:B88)</f>
        <v>1.0686</v>
      </c>
      <c r="D24" s="2793"/>
      <c r="E24" s="2823"/>
      <c r="F24" s="2823"/>
      <c r="G24" s="2823"/>
      <c r="H24" s="2823"/>
      <c r="I24" s="2823"/>
      <c r="J24" s="2824"/>
      <c r="K24" s="1380"/>
      <c r="N24" s="2825" t="s">
        <v>2895</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2896</v>
      </c>
      <c r="C25" s="933"/>
      <c r="D25" s="2748"/>
      <c r="E25" s="2748"/>
      <c r="F25" s="2827"/>
      <c r="G25" s="2748"/>
      <c r="H25" s="2748"/>
      <c r="I25" s="2748"/>
      <c r="J25" s="2749"/>
      <c r="K25" s="1373"/>
      <c r="N25" s="2828" t="s">
        <v>2897</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29"/>
      <c r="B26" s="2816" t="s">
        <v>2898</v>
      </c>
      <c r="C26" s="206">
        <f ca="1">E29+SUM(E33:E39)</f>
        <v>12159</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2899</v>
      </c>
      <c r="C27" s="934">
        <f ca="1">E30+SUM(I33:I39)</f>
        <v>3040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2900</v>
      </c>
      <c r="C28" s="2840" t="s">
        <v>2901</v>
      </c>
      <c r="D28" s="2840" t="s">
        <v>2902</v>
      </c>
      <c r="E28" s="2841" t="s">
        <v>2903</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2904</v>
      </c>
      <c r="C29" s="206">
        <f ca="1">ROUND(C5*C18*C19*C20*C21*C24,0)</f>
        <v>0</v>
      </c>
      <c r="D29" s="2845"/>
      <c r="E29" s="945">
        <f ca="1">ROUND(C29*D29/10000,0)</f>
        <v>0</v>
      </c>
      <c r="F29" s="2846" t="s">
        <v>2905</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2906</v>
      </c>
      <c r="C30" s="229">
        <f ca="1">ROUND(IF(E2="工业",C29*M39,C29*M38),0)</f>
        <v>0</v>
      </c>
      <c r="D30" s="2851"/>
      <c r="E30" s="945">
        <f ca="1">ROUND(C30*D30/10000,0)</f>
        <v>0</v>
      </c>
      <c r="F30" s="2852" t="s">
        <v>2907</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2908</v>
      </c>
      <c r="C31" s="2857" t="s">
        <v>2909</v>
      </c>
      <c r="D31" s="2761"/>
      <c r="E31" s="2857"/>
      <c r="F31" s="2857"/>
      <c r="G31" s="2759" t="s">
        <v>2910</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2901</v>
      </c>
      <c r="D32" s="498" t="s">
        <v>2902</v>
      </c>
      <c r="E32" s="498" t="s">
        <v>2903</v>
      </c>
      <c r="F32" s="388" t="s">
        <v>2911</v>
      </c>
      <c r="G32" s="2860" t="s">
        <v>2901</v>
      </c>
      <c r="H32" s="2860" t="s">
        <v>2902</v>
      </c>
      <c r="I32" s="2860" t="s">
        <v>2903</v>
      </c>
      <c r="J32" s="287"/>
      <c r="K32" s="1373"/>
      <c r="L32" s="1373"/>
      <c r="M32" s="1373"/>
      <c r="N32" s="1373">
        <f ca="1">E33+V2+V3+V4</f>
        <v>123515</v>
      </c>
      <c r="O32" s="1377">
        <f ca="1">N32/'数据-汇总表'!E27</f>
        <v>4.7240423406374346</v>
      </c>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165" t="s">
        <v>2912</v>
      </c>
      <c r="B33" s="2861" t="s">
        <v>2913</v>
      </c>
      <c r="C33" s="206">
        <f ca="1">ROUND(D5*C19*C20*C24*F33,0)</f>
        <v>23633</v>
      </c>
      <c r="D33" s="2845">
        <f>'数据-汇总表'!G19</f>
        <v>5145.01</v>
      </c>
      <c r="E33" s="200">
        <f ca="1">ROUND(C33*D33/10000,0)</f>
        <v>12159</v>
      </c>
      <c r="F33" s="200">
        <f>SUMIF(修正!A45:A56,G2,修正!B45:B56)</f>
        <v>0.8</v>
      </c>
      <c r="G33" s="200">
        <f ca="1">ROUND(IF(E2="工业",C33*$M$39,C33*$M$38),0)</f>
        <v>5908</v>
      </c>
      <c r="H33" s="200">
        <f>D33</f>
        <v>5145.01</v>
      </c>
      <c r="I33" s="200">
        <f ca="1">ROUND(G33*H33/10000,0)</f>
        <v>3040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6"/>
      <c r="B34" s="2765" t="s">
        <v>2914</v>
      </c>
      <c r="C34" s="206">
        <f ca="1">ROUND(D5*C19*C20*C24*F34,0)</f>
        <v>14771</v>
      </c>
      <c r="D34" s="2845"/>
      <c r="E34" s="200">
        <f t="shared" ref="E34:E39" ca="1" si="6">ROUND(C34*D34/10000,0)</f>
        <v>0</v>
      </c>
      <c r="F34" s="200">
        <f>SUMIF(修正!A45:A56,G2,修正!C45:C56)</f>
        <v>0.5</v>
      </c>
      <c r="G34" s="200">
        <f ca="1">ROUND(IF(E2="工业",C34*$M$39,C34*$M$38),0)</f>
        <v>3693</v>
      </c>
      <c r="H34" s="200">
        <f t="shared" ref="H34:H39" si="7">D34</f>
        <v>0</v>
      </c>
      <c r="I34" s="200">
        <f t="shared" ref="I34:I39" ca="1" si="8">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6"/>
      <c r="B35" s="2765" t="s">
        <v>2915</v>
      </c>
      <c r="C35" s="206">
        <f ca="1">ROUND(D5*C19*C20*C24*F35,0)</f>
        <v>10635</v>
      </c>
      <c r="D35" s="2845"/>
      <c r="E35" s="200">
        <f t="shared" ca="1" si="6"/>
        <v>0</v>
      </c>
      <c r="F35" s="200">
        <f>SUMIF(修正!A45:A56,G2,修正!D45:D56)</f>
        <v>0.36</v>
      </c>
      <c r="G35" s="200">
        <f ca="1">ROUND(IF(E2="工业",C35*$M$39,C35*$M$38),0)</f>
        <v>2659</v>
      </c>
      <c r="H35" s="200">
        <f t="shared" si="7"/>
        <v>0</v>
      </c>
      <c r="I35" s="200">
        <f t="shared" ca="1" si="8"/>
        <v>0</v>
      </c>
      <c r="J35" s="2862"/>
      <c r="K35" s="1373"/>
      <c r="L35" s="1373"/>
      <c r="M35" s="1373"/>
      <c r="N35" s="1373"/>
      <c r="O35" s="1373"/>
      <c r="P35" s="1373"/>
      <c r="Q35" s="1373"/>
      <c r="R35" s="1373"/>
      <c r="S35" s="1373"/>
      <c r="T35" s="1373"/>
      <c r="U35" s="1373"/>
      <c r="V35" s="1373"/>
      <c r="W35" s="1373"/>
      <c r="X35" s="1373"/>
      <c r="Y35" s="1373"/>
      <c r="Z35" s="1374"/>
    </row>
    <row r="36" spans="1:37" ht="13.5" thickBot="1">
      <c r="A36" s="3167"/>
      <c r="B36" s="2765" t="s">
        <v>2916</v>
      </c>
      <c r="C36" s="206">
        <f ca="1">ROUND(D5*C19*C20*C24*F36,0)</f>
        <v>8862</v>
      </c>
      <c r="D36" s="2845"/>
      <c r="E36" s="200">
        <f t="shared" ca="1" si="6"/>
        <v>0</v>
      </c>
      <c r="F36" s="200">
        <f>SUMIF(修正!A45:A56,G2,修正!E45:E56)</f>
        <v>0.3</v>
      </c>
      <c r="G36" s="200">
        <f ca="1">ROUND(IF(E2="工业",C36*$M$39,C36*$M$38),0)</f>
        <v>2216</v>
      </c>
      <c r="H36" s="200">
        <f t="shared" si="7"/>
        <v>0</v>
      </c>
      <c r="I36" s="200">
        <f t="shared" ca="1" si="8"/>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2917</v>
      </c>
      <c r="C37" s="200">
        <f ca="1">ROUND(D5*C19*C20*C24*F37,0)</f>
        <v>8862</v>
      </c>
      <c r="D37" s="2845"/>
      <c r="E37" s="200">
        <f t="shared" ca="1" si="6"/>
        <v>0</v>
      </c>
      <c r="F37" s="206">
        <f>SUMIF(修正!A45:A56,G2,修正!F45:F56)</f>
        <v>0.3</v>
      </c>
      <c r="G37" s="200">
        <f ca="1">ROUND(IF(E2="工业",C37*$M$39,C37*$M$38),0)</f>
        <v>2216</v>
      </c>
      <c r="H37" s="200">
        <f t="shared" si="7"/>
        <v>0</v>
      </c>
      <c r="I37" s="200">
        <f t="shared" ca="1" si="8"/>
        <v>0</v>
      </c>
      <c r="J37" s="2862"/>
      <c r="K37" s="1373"/>
      <c r="L37" s="2864" t="s">
        <v>2918</v>
      </c>
      <c r="M37" s="2865"/>
      <c r="N37" s="1373"/>
      <c r="O37" s="1373"/>
      <c r="P37" s="1373"/>
      <c r="Q37" s="1373"/>
      <c r="R37" s="1373"/>
      <c r="S37" s="1373"/>
      <c r="T37" s="1373"/>
      <c r="U37" s="1373"/>
      <c r="V37" s="1373"/>
      <c r="W37" s="1373"/>
      <c r="X37" s="1373"/>
      <c r="Y37" s="1373"/>
      <c r="Z37" s="1374"/>
    </row>
    <row r="38" spans="1:37">
      <c r="A38" s="2863"/>
      <c r="B38" s="2765" t="s">
        <v>2919</v>
      </c>
      <c r="C38" s="200">
        <f ca="1">ROUND(D5*C19*C41*C24*F38,0)</f>
        <v>0</v>
      </c>
      <c r="D38" s="2845"/>
      <c r="E38" s="200">
        <f t="shared" ca="1" si="6"/>
        <v>0</v>
      </c>
      <c r="F38" s="206">
        <f>SUMIF(修正!A45:A56,G2,修正!G45:G56)</f>
        <v>0.3</v>
      </c>
      <c r="G38" s="200">
        <f ca="1">ROUND(IF(E2="工业",C38*$M$39,C38*$M$38),0)</f>
        <v>0</v>
      </c>
      <c r="H38" s="200">
        <f t="shared" si="7"/>
        <v>0</v>
      </c>
      <c r="I38" s="200">
        <f t="shared" ca="1" si="8"/>
        <v>0</v>
      </c>
      <c r="J38" s="2862"/>
      <c r="K38" s="1373"/>
      <c r="L38" s="1890" t="s">
        <v>2920</v>
      </c>
      <c r="M38" s="2866">
        <v>0.25</v>
      </c>
      <c r="N38" s="1373"/>
      <c r="O38" s="1373"/>
      <c r="P38" s="1373"/>
      <c r="Q38" s="1373"/>
      <c r="R38" s="1373"/>
      <c r="S38" s="1373"/>
      <c r="T38" s="1373"/>
      <c r="U38" s="1373"/>
      <c r="V38" s="1373"/>
      <c r="W38" s="1373"/>
      <c r="X38" s="1373"/>
      <c r="Y38" s="1373"/>
      <c r="Z38" s="1374"/>
    </row>
    <row r="39" spans="1:37" ht="13.5" thickBot="1">
      <c r="A39" s="2849"/>
      <c r="B39" s="2867" t="s">
        <v>2921</v>
      </c>
      <c r="C39" s="229">
        <f ca="1">ROUND(D5*C19*C41*C24*F39,0)</f>
        <v>0</v>
      </c>
      <c r="D39" s="2851"/>
      <c r="E39" s="229">
        <f t="shared" ca="1" si="6"/>
        <v>0</v>
      </c>
      <c r="F39" s="935">
        <f>SUMIF(修正!A45:A56,G2,修正!H45:H56)</f>
        <v>0.25</v>
      </c>
      <c r="G39" s="229">
        <f ca="1">ROUND(IF(E2="工业",C39*$M$39,C39*$M$38),0)</f>
        <v>0</v>
      </c>
      <c r="H39" s="229">
        <f t="shared" si="7"/>
        <v>0</v>
      </c>
      <c r="I39" s="229">
        <f t="shared" ca="1" si="8"/>
        <v>0</v>
      </c>
      <c r="J39" s="2868"/>
      <c r="K39" s="1373"/>
      <c r="L39" s="2869" t="s">
        <v>2864</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3032</v>
      </c>
      <c r="C41" s="388">
        <f ca="1">ROUND(POWER(1+E41,H41-G41)*(POWER(1+E41,G41)-1)/(POWER(1+E41,H41)-1),4)</f>
        <v>0</v>
      </c>
      <c r="D41" s="200" t="s">
        <v>2872</v>
      </c>
      <c r="E41" s="2937">
        <f ca="1">G20</f>
        <v>5.3999999999999999E-2</v>
      </c>
      <c r="F41" s="200" t="s">
        <v>2881</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2922</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2923</v>
      </c>
      <c r="B46" s="2875">
        <f>1+E48</f>
        <v>1.0686</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2924</v>
      </c>
      <c r="B47" s="1812" t="s">
        <v>2925</v>
      </c>
      <c r="C47" s="1812" t="s">
        <v>2926</v>
      </c>
      <c r="D47" s="1812" t="s">
        <v>2927</v>
      </c>
      <c r="E47" s="819" t="s">
        <v>2928</v>
      </c>
      <c r="F47" s="2879" t="s">
        <v>2929</v>
      </c>
      <c r="G47" s="1812" t="s">
        <v>754</v>
      </c>
      <c r="H47" s="2880" t="s">
        <v>2930</v>
      </c>
      <c r="I47" s="1812" t="s">
        <v>2931</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4.75">
      <c r="A48" s="2878" t="s">
        <v>2932</v>
      </c>
      <c r="B48" s="2881" t="str">
        <f>估价对象房地状况!C4</f>
        <v>较好</v>
      </c>
      <c r="C48" s="2770" t="s">
        <v>3074</v>
      </c>
      <c r="D48" s="1289">
        <f t="shared" ref="D48:D56" si="9">SUMIF($J$47:$N$47,C48,J48:N48)</f>
        <v>1.5599999999999999E-2</v>
      </c>
      <c r="E48" s="821">
        <f>ROUND(SUM(D48:D56),4)</f>
        <v>6.8599999999999994E-2</v>
      </c>
      <c r="F48" s="2501">
        <f>IF(E2="商业",SUMIF(L1:L12,G2,N1:N12),"——")</f>
        <v>9.5000000000000001E-2</v>
      </c>
      <c r="G48" s="1287">
        <f>H48</f>
        <v>1.5599999999999999E-2</v>
      </c>
      <c r="H48" s="1291">
        <f t="shared" ref="H48:H56" si="10">IFERROR(ROUNDDOWN($F$48*I48/2,4),"——")</f>
        <v>1.5599999999999999E-2</v>
      </c>
      <c r="I48" s="820">
        <v>0.33</v>
      </c>
      <c r="J48" s="1288">
        <f t="shared" ref="J48:J56" si="11">K48+$G48</f>
        <v>3.1199999999999999E-2</v>
      </c>
      <c r="K48" s="1288">
        <f t="shared" ref="K48:K56" si="12">$L48+$G48</f>
        <v>1.5599999999999999E-2</v>
      </c>
      <c r="L48" s="1288">
        <v>0</v>
      </c>
      <c r="M48" s="1288">
        <f t="shared" ref="M48:N56" si="13">L48-$G48</f>
        <v>-1.5599999999999999E-2</v>
      </c>
      <c r="N48" s="1288">
        <f t="shared" si="13"/>
        <v>-3.1199999999999999E-2</v>
      </c>
      <c r="AA48" s="1374"/>
      <c r="AB48" s="1374"/>
      <c r="AC48" s="1374"/>
      <c r="AD48" s="1374"/>
      <c r="AE48" s="1374"/>
      <c r="AF48" s="1374"/>
      <c r="AG48" s="1374"/>
      <c r="AH48" s="1374"/>
      <c r="AI48" s="1374"/>
      <c r="AJ48" s="1374"/>
      <c r="AK48" s="1374"/>
    </row>
    <row r="49" spans="1:37" s="1373" customFormat="1" ht="14.25">
      <c r="A49" s="2878" t="s">
        <v>2933</v>
      </c>
      <c r="B49" s="2882" t="str">
        <f>估价对象房地状况!C18</f>
        <v>好</v>
      </c>
      <c r="C49" s="2770" t="s">
        <v>3075</v>
      </c>
      <c r="D49" s="1289">
        <f t="shared" si="9"/>
        <v>2.3599999999999999E-2</v>
      </c>
      <c r="E49" s="822"/>
      <c r="F49" s="2501"/>
      <c r="G49" s="1287">
        <f t="shared" ref="G49:G56" si="14">H49</f>
        <v>1.18E-2</v>
      </c>
      <c r="H49" s="1291">
        <f t="shared" si="10"/>
        <v>1.18E-2</v>
      </c>
      <c r="I49" s="820">
        <v>0.25</v>
      </c>
      <c r="J49" s="1288">
        <f t="shared" si="11"/>
        <v>2.3599999999999999E-2</v>
      </c>
      <c r="K49" s="1288">
        <f t="shared" si="12"/>
        <v>1.18E-2</v>
      </c>
      <c r="L49" s="1288">
        <v>0</v>
      </c>
      <c r="M49" s="1288">
        <f t="shared" si="13"/>
        <v>-1.18E-2</v>
      </c>
      <c r="N49" s="1288">
        <f t="shared" si="13"/>
        <v>-2.3599999999999999E-2</v>
      </c>
      <c r="AA49" s="1374"/>
      <c r="AB49" s="1374"/>
      <c r="AC49" s="1374"/>
      <c r="AD49" s="1374"/>
      <c r="AE49" s="1374"/>
      <c r="AF49" s="1374"/>
      <c r="AG49" s="1374"/>
      <c r="AH49" s="1374"/>
      <c r="AI49" s="1374"/>
      <c r="AJ49" s="1374"/>
      <c r="AK49" s="1374"/>
    </row>
    <row r="50" spans="1:37" s="1373" customFormat="1" ht="24">
      <c r="A50" s="2878" t="s">
        <v>2934</v>
      </c>
      <c r="B50" s="2882">
        <f>估价对象房地状况!C19</f>
        <v>0</v>
      </c>
      <c r="C50" s="2770" t="s">
        <v>3074</v>
      </c>
      <c r="D50" s="1289">
        <f t="shared" si="9"/>
        <v>2.3E-3</v>
      </c>
      <c r="E50" s="822"/>
      <c r="F50" s="2501"/>
      <c r="G50" s="1287">
        <f t="shared" si="14"/>
        <v>2.3E-3</v>
      </c>
      <c r="H50" s="1291">
        <f t="shared" si="10"/>
        <v>2.3E-3</v>
      </c>
      <c r="I50" s="820">
        <v>0.05</v>
      </c>
      <c r="J50" s="1288">
        <f t="shared" si="11"/>
        <v>4.5999999999999999E-3</v>
      </c>
      <c r="K50" s="1288">
        <f t="shared" si="12"/>
        <v>2.3E-3</v>
      </c>
      <c r="L50" s="1288">
        <v>0</v>
      </c>
      <c r="M50" s="1288">
        <f t="shared" si="13"/>
        <v>-2.3E-3</v>
      </c>
      <c r="N50" s="1288">
        <f t="shared" si="13"/>
        <v>-4.5999999999999999E-3</v>
      </c>
      <c r="AA50" s="1374"/>
      <c r="AB50" s="1374"/>
      <c r="AC50" s="1374"/>
      <c r="AD50" s="1374"/>
      <c r="AE50" s="1374"/>
      <c r="AF50" s="1374"/>
      <c r="AG50" s="1374"/>
      <c r="AH50" s="1374"/>
      <c r="AI50" s="1374"/>
      <c r="AJ50" s="1374"/>
      <c r="AK50" s="1374"/>
    </row>
    <row r="51" spans="1:37" s="1373" customFormat="1" ht="24">
      <c r="A51" s="2878" t="s">
        <v>2935</v>
      </c>
      <c r="B51" s="2883"/>
      <c r="C51" s="2770" t="s">
        <v>3074</v>
      </c>
      <c r="D51" s="1289">
        <f t="shared" si="9"/>
        <v>2.3E-3</v>
      </c>
      <c r="E51" s="822"/>
      <c r="F51" s="2501"/>
      <c r="G51" s="1287">
        <f t="shared" si="14"/>
        <v>2.3E-3</v>
      </c>
      <c r="H51" s="1291">
        <f t="shared" si="10"/>
        <v>2.3E-3</v>
      </c>
      <c r="I51" s="820">
        <v>0.05</v>
      </c>
      <c r="J51" s="1288">
        <f t="shared" si="11"/>
        <v>4.5999999999999999E-3</v>
      </c>
      <c r="K51" s="1288">
        <f t="shared" si="12"/>
        <v>2.3E-3</v>
      </c>
      <c r="L51" s="1288">
        <v>0</v>
      </c>
      <c r="M51" s="1288">
        <f t="shared" si="13"/>
        <v>-2.3E-3</v>
      </c>
      <c r="N51" s="1288">
        <f t="shared" si="13"/>
        <v>-4.5999999999999999E-3</v>
      </c>
      <c r="AA51" s="1374"/>
      <c r="AB51" s="1374"/>
      <c r="AC51" s="1374"/>
      <c r="AD51" s="1374"/>
      <c r="AE51" s="1374"/>
      <c r="AF51" s="1374"/>
      <c r="AG51" s="1374"/>
      <c r="AH51" s="1374"/>
      <c r="AI51" s="1374"/>
      <c r="AJ51" s="1374"/>
      <c r="AK51" s="1374"/>
    </row>
    <row r="52" spans="1:37" s="1373" customFormat="1" ht="24">
      <c r="A52" s="2878" t="s">
        <v>2937</v>
      </c>
      <c r="B52" s="2882" t="str">
        <f>估价对象房地状况!C24</f>
        <v>主干道</v>
      </c>
      <c r="C52" s="2770" t="s">
        <v>3074</v>
      </c>
      <c r="D52" s="1289">
        <f t="shared" si="9"/>
        <v>3.8E-3</v>
      </c>
      <c r="E52" s="822"/>
      <c r="F52" s="2501"/>
      <c r="G52" s="1287">
        <f t="shared" si="14"/>
        <v>3.8E-3</v>
      </c>
      <c r="H52" s="1291">
        <f t="shared" si="10"/>
        <v>3.8E-3</v>
      </c>
      <c r="I52" s="820">
        <v>0.08</v>
      </c>
      <c r="J52" s="1288">
        <f t="shared" si="11"/>
        <v>7.6E-3</v>
      </c>
      <c r="K52" s="1288">
        <f t="shared" si="12"/>
        <v>3.8E-3</v>
      </c>
      <c r="L52" s="1288">
        <v>0</v>
      </c>
      <c r="M52" s="1288">
        <f t="shared" si="13"/>
        <v>-3.8E-3</v>
      </c>
      <c r="N52" s="1288">
        <f t="shared" si="13"/>
        <v>-7.6E-3</v>
      </c>
      <c r="AA52" s="1374"/>
      <c r="AB52" s="1374"/>
      <c r="AC52" s="1374"/>
      <c r="AD52" s="1374"/>
      <c r="AE52" s="1374"/>
      <c r="AF52" s="1374"/>
      <c r="AG52" s="1374"/>
      <c r="AH52" s="1374"/>
      <c r="AI52" s="1374"/>
      <c r="AJ52" s="1374"/>
      <c r="AK52" s="1374"/>
    </row>
    <row r="53" spans="1:37" s="1373" customFormat="1" ht="24">
      <c r="A53" s="2878" t="s">
        <v>2938</v>
      </c>
      <c r="B53" s="2884"/>
      <c r="C53" s="2770" t="s">
        <v>3074</v>
      </c>
      <c r="D53" s="1289">
        <f t="shared" si="9"/>
        <v>1.4E-3</v>
      </c>
      <c r="E53" s="822"/>
      <c r="F53" s="2501"/>
      <c r="G53" s="1287">
        <f t="shared" si="14"/>
        <v>1.4E-3</v>
      </c>
      <c r="H53" s="1291">
        <f t="shared" si="10"/>
        <v>1.4E-3</v>
      </c>
      <c r="I53" s="820">
        <v>0.03</v>
      </c>
      <c r="J53" s="1288">
        <f t="shared" si="11"/>
        <v>2.8E-3</v>
      </c>
      <c r="K53" s="1288">
        <f t="shared" si="12"/>
        <v>1.4E-3</v>
      </c>
      <c r="L53" s="1288">
        <v>0</v>
      </c>
      <c r="M53" s="1288">
        <f t="shared" si="13"/>
        <v>-1.4E-3</v>
      </c>
      <c r="N53" s="1288">
        <f t="shared" si="13"/>
        <v>-2.8E-3</v>
      </c>
      <c r="AA53" s="1374"/>
      <c r="AB53" s="1374"/>
      <c r="AC53" s="1374"/>
      <c r="AD53" s="1374"/>
      <c r="AE53" s="1374"/>
      <c r="AF53" s="1374"/>
      <c r="AG53" s="1374"/>
      <c r="AH53" s="1374"/>
      <c r="AI53" s="1374"/>
      <c r="AJ53" s="1374"/>
      <c r="AK53" s="1374"/>
    </row>
    <row r="54" spans="1:37" s="1373" customFormat="1" ht="24">
      <c r="A54" s="2885" t="s">
        <v>2940</v>
      </c>
      <c r="B54" s="1728" t="str">
        <f>估价对象房地状况!C21</f>
        <v>好</v>
      </c>
      <c r="C54" s="2770" t="s">
        <v>3075</v>
      </c>
      <c r="D54" s="1289">
        <f t="shared" si="9"/>
        <v>4.5999999999999999E-3</v>
      </c>
      <c r="E54" s="822"/>
      <c r="F54" s="2501"/>
      <c r="G54" s="1287">
        <f t="shared" si="14"/>
        <v>2.3E-3</v>
      </c>
      <c r="H54" s="1291">
        <f t="shared" si="10"/>
        <v>2.3E-3</v>
      </c>
      <c r="I54" s="820">
        <v>0.05</v>
      </c>
      <c r="J54" s="1288">
        <f t="shared" si="11"/>
        <v>4.5999999999999999E-3</v>
      </c>
      <c r="K54" s="1288">
        <f t="shared" si="12"/>
        <v>2.3E-3</v>
      </c>
      <c r="L54" s="1288">
        <v>0</v>
      </c>
      <c r="M54" s="1288">
        <f t="shared" si="13"/>
        <v>-2.3E-3</v>
      </c>
      <c r="N54" s="1288">
        <f t="shared" si="13"/>
        <v>-4.5999999999999999E-3</v>
      </c>
      <c r="AA54" s="1374"/>
      <c r="AB54" s="1374"/>
      <c r="AC54" s="1374"/>
      <c r="AD54" s="1374"/>
      <c r="AE54" s="1374"/>
      <c r="AF54" s="1374"/>
      <c r="AG54" s="1374"/>
      <c r="AH54" s="1374"/>
      <c r="AI54" s="1374"/>
      <c r="AJ54" s="1374"/>
      <c r="AK54" s="1374"/>
    </row>
    <row r="55" spans="1:37" s="1373" customFormat="1" ht="24">
      <c r="A55" s="2885" t="s">
        <v>2941</v>
      </c>
      <c r="B55" s="2882" t="str">
        <f>估价对象房地状况!C22</f>
        <v>七通</v>
      </c>
      <c r="C55" s="2770" t="s">
        <v>3075</v>
      </c>
      <c r="D55" s="1289">
        <f t="shared" si="9"/>
        <v>9.4000000000000004E-3</v>
      </c>
      <c r="E55" s="822"/>
      <c r="F55" s="2501"/>
      <c r="G55" s="1287">
        <f t="shared" si="14"/>
        <v>4.7000000000000002E-3</v>
      </c>
      <c r="H55" s="1291">
        <f t="shared" si="10"/>
        <v>4.7000000000000002E-3</v>
      </c>
      <c r="I55" s="820">
        <v>0.1</v>
      </c>
      <c r="J55" s="1288">
        <f t="shared" si="11"/>
        <v>9.4000000000000004E-3</v>
      </c>
      <c r="K55" s="1288">
        <f t="shared" si="12"/>
        <v>4.7000000000000002E-3</v>
      </c>
      <c r="L55" s="1288">
        <v>0</v>
      </c>
      <c r="M55" s="1288">
        <f t="shared" si="13"/>
        <v>-4.7000000000000002E-3</v>
      </c>
      <c r="N55" s="1288">
        <f t="shared" si="13"/>
        <v>-9.4000000000000004E-3</v>
      </c>
      <c r="AA55" s="1374"/>
      <c r="AB55" s="1374"/>
      <c r="AC55" s="1374"/>
      <c r="AD55" s="1374"/>
      <c r="AE55" s="1374"/>
      <c r="AF55" s="1374"/>
      <c r="AG55" s="1374"/>
      <c r="AH55" s="1374"/>
      <c r="AI55" s="1374"/>
      <c r="AJ55" s="1374"/>
      <c r="AK55" s="1374"/>
    </row>
    <row r="56" spans="1:37" s="1373" customFormat="1" ht="24.75" thickBot="1">
      <c r="A56" s="2886" t="s">
        <v>2942</v>
      </c>
      <c r="B56" s="2887" t="str">
        <f>估价对象房地状况!C20</f>
        <v>好</v>
      </c>
      <c r="C56" s="2770" t="s">
        <v>3075</v>
      </c>
      <c r="D56" s="1289">
        <f t="shared" si="9"/>
        <v>5.5999999999999999E-3</v>
      </c>
      <c r="E56" s="825"/>
      <c r="F56" s="2501"/>
      <c r="G56" s="1287">
        <f t="shared" si="14"/>
        <v>2.8E-3</v>
      </c>
      <c r="H56" s="1291">
        <f t="shared" si="10"/>
        <v>2.8E-3</v>
      </c>
      <c r="I56" s="824">
        <v>0.06</v>
      </c>
      <c r="J56" s="1288">
        <f t="shared" si="11"/>
        <v>5.5999999999999999E-3</v>
      </c>
      <c r="K56" s="1288">
        <f t="shared" si="12"/>
        <v>2.8E-3</v>
      </c>
      <c r="L56" s="1288">
        <v>0</v>
      </c>
      <c r="M56" s="1288">
        <f t="shared" si="13"/>
        <v>-2.8E-3</v>
      </c>
      <c r="N56" s="1288">
        <f t="shared" si="13"/>
        <v>-5.5999999999999999E-3</v>
      </c>
      <c r="AA56" s="1374"/>
      <c r="AB56" s="1374"/>
      <c r="AC56" s="1374"/>
      <c r="AD56" s="1374"/>
      <c r="AE56" s="1374"/>
      <c r="AF56" s="1374"/>
      <c r="AG56" s="1374"/>
      <c r="AH56" s="1374"/>
      <c r="AI56" s="1374"/>
      <c r="AJ56" s="1374"/>
      <c r="AK56" s="1374"/>
    </row>
    <row r="57" spans="1:37" s="1373" customFormat="1" ht="15">
      <c r="A57" s="2874" t="s">
        <v>2943</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2924</v>
      </c>
      <c r="B58" s="1812"/>
      <c r="C58" s="1812" t="s">
        <v>2926</v>
      </c>
      <c r="D58" s="1812" t="s">
        <v>2927</v>
      </c>
      <c r="E58" s="819" t="s">
        <v>2928</v>
      </c>
      <c r="F58" s="2879" t="s">
        <v>2944</v>
      </c>
      <c r="G58" s="1812" t="s">
        <v>754</v>
      </c>
      <c r="H58" s="2880" t="s">
        <v>2930</v>
      </c>
      <c r="I58" s="1812" t="s">
        <v>2931</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4">
      <c r="A59" s="2878" t="s">
        <v>2945</v>
      </c>
      <c r="B59" s="2881">
        <f>估价对象房地状况!C17</f>
        <v>0</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2933</v>
      </c>
      <c r="B60" s="2882" t="str">
        <f>估价对象房地状况!C18</f>
        <v>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2934</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2935</v>
      </c>
      <c r="B62" s="2883" t="s">
        <v>2936</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2937</v>
      </c>
      <c r="B63" s="2882" t="str">
        <f>估价对象房地状况!C24</f>
        <v>主干道</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2938</v>
      </c>
      <c r="B64" s="2884" t="s">
        <v>2939</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2940</v>
      </c>
      <c r="B65" s="1728" t="str">
        <f>估价对象房地状况!C21</f>
        <v>好</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2941</v>
      </c>
      <c r="B66" s="1728" t="str">
        <f>估价对象房地状况!C22</f>
        <v>七通</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2942</v>
      </c>
      <c r="B67" s="2888" t="str">
        <f>估价对象房地状况!C20</f>
        <v>好</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2946</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2924</v>
      </c>
      <c r="B69" s="1812"/>
      <c r="C69" s="1812" t="s">
        <v>2926</v>
      </c>
      <c r="D69" s="1812" t="s">
        <v>2927</v>
      </c>
      <c r="E69" s="819" t="s">
        <v>2928</v>
      </c>
      <c r="F69" s="2879" t="s">
        <v>2944</v>
      </c>
      <c r="G69" s="1812" t="s">
        <v>754</v>
      </c>
      <c r="H69" s="2880" t="s">
        <v>2930</v>
      </c>
      <c r="I69" s="1812" t="s">
        <v>2931</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4">
      <c r="A70" s="2878" t="s">
        <v>2947</v>
      </c>
      <c r="B70" s="2881" t="str">
        <f>估价对象房地状况!C15</f>
        <v>好</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2933</v>
      </c>
      <c r="B71" s="2882" t="str">
        <f>估价对象房地状况!C18</f>
        <v>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2934</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2948</v>
      </c>
      <c r="B73" s="2882" t="str">
        <f>估价对象房地状况!C24</f>
        <v>主干道</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2940</v>
      </c>
      <c r="B74" s="1728" t="str">
        <f>估价对象房地状况!C21</f>
        <v>好</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2941</v>
      </c>
      <c r="B75" s="1728" t="str">
        <f>估价对象房地状况!C22</f>
        <v>七通</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2938</v>
      </c>
      <c r="B76" s="2884" t="s">
        <v>2939</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2942</v>
      </c>
      <c r="B77" s="2881" t="str">
        <f>估价对象房地状况!C20</f>
        <v>好</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2949</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2950</v>
      </c>
      <c r="B79" s="2875">
        <f>1+E81</f>
        <v>1</v>
      </c>
      <c r="C79" s="814"/>
      <c r="D79" s="814"/>
      <c r="E79" s="815"/>
      <c r="F79" s="2877"/>
      <c r="G79" s="6"/>
      <c r="H79" s="6"/>
      <c r="I79" s="6"/>
      <c r="J79" s="7"/>
      <c r="K79" s="7"/>
      <c r="L79" s="7"/>
      <c r="M79" s="7"/>
      <c r="N79" s="7"/>
      <c r="Z79" s="2720"/>
      <c r="AA79" s="2796"/>
      <c r="AG79" s="1375"/>
      <c r="AK79" s="2796"/>
    </row>
    <row r="80" spans="1:37" ht="24.75">
      <c r="A80" s="2878" t="s">
        <v>2924</v>
      </c>
      <c r="B80" s="1812"/>
      <c r="C80" s="1812" t="s">
        <v>2926</v>
      </c>
      <c r="D80" s="1812" t="s">
        <v>2927</v>
      </c>
      <c r="E80" s="819" t="s">
        <v>2928</v>
      </c>
      <c r="F80" s="2879" t="s">
        <v>2944</v>
      </c>
      <c r="G80" s="1812" t="s">
        <v>754</v>
      </c>
      <c r="H80" s="2880" t="s">
        <v>2930</v>
      </c>
      <c r="I80" s="1812" t="s">
        <v>2931</v>
      </c>
      <c r="J80" s="603" t="s">
        <v>2579</v>
      </c>
      <c r="K80" s="603" t="s">
        <v>2580</v>
      </c>
      <c r="L80" s="603" t="s">
        <v>2581</v>
      </c>
      <c r="M80" s="603" t="s">
        <v>2582</v>
      </c>
      <c r="N80" s="603" t="s">
        <v>2583</v>
      </c>
      <c r="Z80" s="2720"/>
      <c r="AA80" s="2796"/>
      <c r="AG80" s="1375"/>
      <c r="AK80" s="2796"/>
    </row>
    <row r="81" spans="1:37" ht="24">
      <c r="A81" s="2878" t="s">
        <v>2951</v>
      </c>
      <c r="B81" s="2882">
        <f>估价对象房地状况!G15</f>
        <v>0</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2933</v>
      </c>
      <c r="B82" s="2882">
        <f>估价对象房地状况!G16</f>
        <v>0</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2934</v>
      </c>
      <c r="B83" s="2882">
        <f>估价对象房地状况!G17</f>
        <v>0</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2948</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2940</v>
      </c>
      <c r="B85" s="1728">
        <f>估价对象房地状况!G19</f>
        <v>0</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2941</v>
      </c>
      <c r="B86" s="1728">
        <f>估价对象房地状况!G20</f>
        <v>0</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2938</v>
      </c>
      <c r="B87" s="2884" t="s">
        <v>2952</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2953</v>
      </c>
      <c r="B88" s="2891">
        <f>估价对象房地状况!G18</f>
        <v>0</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159" t="s">
        <v>2954</v>
      </c>
      <c r="B90" s="3159"/>
      <c r="C90" s="3159"/>
      <c r="D90" s="3159"/>
      <c r="E90" s="3159"/>
      <c r="F90" s="3159"/>
      <c r="G90" s="3159"/>
      <c r="H90" s="3159"/>
      <c r="I90" s="3159"/>
      <c r="J90" s="3159"/>
      <c r="K90" s="2892"/>
      <c r="L90" s="2892"/>
      <c r="M90" s="2892"/>
      <c r="N90" s="2892"/>
    </row>
    <row r="91" spans="1:37">
      <c r="A91" s="3161" t="s">
        <v>2955</v>
      </c>
      <c r="B91" s="3161" t="s">
        <v>2956</v>
      </c>
      <c r="C91" s="2846" t="s">
        <v>2957</v>
      </c>
      <c r="D91" s="2847"/>
      <c r="E91" s="2847"/>
      <c r="F91" s="2847"/>
      <c r="G91" s="2847"/>
      <c r="H91" s="2847"/>
      <c r="I91" s="2847"/>
      <c r="J91" s="2893"/>
      <c r="K91" s="2894"/>
      <c r="L91" s="2894"/>
      <c r="M91" s="2894"/>
      <c r="N91" s="2894"/>
    </row>
    <row r="92" spans="1:37">
      <c r="A92" s="3161"/>
      <c r="B92" s="3161"/>
      <c r="C92" s="945" t="s">
        <v>2823</v>
      </c>
      <c r="D92" s="945" t="s">
        <v>2824</v>
      </c>
      <c r="E92" s="945" t="s">
        <v>2825</v>
      </c>
      <c r="F92" s="945" t="s">
        <v>2826</v>
      </c>
      <c r="G92" s="945" t="s">
        <v>2827</v>
      </c>
      <c r="H92" s="945" t="s">
        <v>2828</v>
      </c>
      <c r="I92" s="945" t="s">
        <v>2829</v>
      </c>
      <c r="J92" s="945" t="s">
        <v>2830</v>
      </c>
      <c r="K92" s="945" t="s">
        <v>2831</v>
      </c>
      <c r="L92" s="945" t="s">
        <v>2832</v>
      </c>
      <c r="M92" s="945" t="s">
        <v>2833</v>
      </c>
      <c r="N92" s="945" t="s">
        <v>2834</v>
      </c>
    </row>
    <row r="93" spans="1:37">
      <c r="A93" s="3162" t="s">
        <v>2958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6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6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6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6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6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63"/>
      <c r="B99" s="2895" t="s">
        <v>2839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6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62" t="s">
        <v>2959</v>
      </c>
      <c r="B101" s="2899" t="s">
        <v>2960</v>
      </c>
      <c r="C101" s="2900">
        <f>$G$3</f>
        <v>4.82</v>
      </c>
      <c r="D101" s="2900">
        <f t="shared" ref="D101:N101" si="31">$G$3</f>
        <v>4.82</v>
      </c>
      <c r="E101" s="2900">
        <f t="shared" si="31"/>
        <v>4.82</v>
      </c>
      <c r="F101" s="2900">
        <f t="shared" si="31"/>
        <v>4.82</v>
      </c>
      <c r="G101" s="2900">
        <f t="shared" si="31"/>
        <v>4.82</v>
      </c>
      <c r="H101" s="2900">
        <f t="shared" si="31"/>
        <v>4.82</v>
      </c>
      <c r="I101" s="2900">
        <f t="shared" si="31"/>
        <v>4.82</v>
      </c>
      <c r="J101" s="2900">
        <f t="shared" si="31"/>
        <v>4.82</v>
      </c>
      <c r="K101" s="2900">
        <f t="shared" si="31"/>
        <v>4.82</v>
      </c>
      <c r="L101" s="2900">
        <f t="shared" si="31"/>
        <v>4.82</v>
      </c>
      <c r="M101" s="2900">
        <f t="shared" si="31"/>
        <v>4.82</v>
      </c>
      <c r="N101" s="2900">
        <f t="shared" si="31"/>
        <v>4.82</v>
      </c>
    </row>
    <row r="102" spans="1:14">
      <c r="A102" s="3163"/>
      <c r="B102" s="2895">
        <v>1</v>
      </c>
      <c r="C102" s="2896">
        <f>1.9362/C101</f>
        <v>0.40170124481327796</v>
      </c>
      <c r="D102" s="2896">
        <f>1.9362/D101</f>
        <v>0.40170124481327796</v>
      </c>
      <c r="E102" s="2896">
        <f>1.8629/E101</f>
        <v>0.38649377593360995</v>
      </c>
      <c r="F102" s="2896">
        <f>1.8629/F101</f>
        <v>0.38649377593360995</v>
      </c>
      <c r="G102" s="2896">
        <f>1.8629/G101</f>
        <v>0.38649377593360995</v>
      </c>
      <c r="H102" s="2896">
        <f>1.8629/H101</f>
        <v>0.38649377593360995</v>
      </c>
      <c r="I102" s="2896">
        <f>1.8629/I101</f>
        <v>0.38649377593360995</v>
      </c>
      <c r="J102" s="2896">
        <f>1.942/J101</f>
        <v>0.40290456431535265</v>
      </c>
      <c r="K102" s="2896">
        <f>1.942/K101</f>
        <v>0.40290456431535265</v>
      </c>
      <c r="L102" s="2896">
        <f>1.942/L101</f>
        <v>0.40290456431535265</v>
      </c>
      <c r="M102" s="2896">
        <f>1.942/M101</f>
        <v>0.40290456431535265</v>
      </c>
      <c r="N102" s="2896">
        <f>1.942/N101</f>
        <v>0.40290456431535265</v>
      </c>
    </row>
    <row r="103" spans="1:14">
      <c r="A103" s="3163"/>
      <c r="B103" s="2895">
        <v>2</v>
      </c>
      <c r="C103" s="2896">
        <f>1.4198/C101</f>
        <v>0.29456431535269706</v>
      </c>
      <c r="D103" s="2896">
        <f>1.4198/D101</f>
        <v>0.29456431535269706</v>
      </c>
      <c r="E103" s="2896">
        <f>1.3372/E101</f>
        <v>0.27742738589211613</v>
      </c>
      <c r="F103" s="2896">
        <f>1.3372/F101</f>
        <v>0.27742738589211613</v>
      </c>
      <c r="G103" s="2896">
        <f>1.3372/G101</f>
        <v>0.27742738589211613</v>
      </c>
      <c r="H103" s="2896">
        <f>1.3372/H101</f>
        <v>0.27742738589211613</v>
      </c>
      <c r="I103" s="2896">
        <f>1.3372/I101</f>
        <v>0.27742738589211613</v>
      </c>
      <c r="J103" s="2896">
        <f>1.2799/J101</f>
        <v>0.26553941908713691</v>
      </c>
      <c r="K103" s="2896">
        <f>1.2799/K101</f>
        <v>0.26553941908713691</v>
      </c>
      <c r="L103" s="2896">
        <f>1.2799/L101</f>
        <v>0.26553941908713691</v>
      </c>
      <c r="M103" s="2896">
        <f>1.2799/M101</f>
        <v>0.26553941908713691</v>
      </c>
      <c r="N103" s="2896">
        <f>1.2799/N101</f>
        <v>0.26553941908713691</v>
      </c>
    </row>
    <row r="104" spans="1:14">
      <c r="A104" s="3163"/>
      <c r="B104" s="2895">
        <v>3</v>
      </c>
      <c r="C104" s="2896">
        <f>1.1594/C101</f>
        <v>0.24053941908713691</v>
      </c>
      <c r="D104" s="2896">
        <f>1.1594/D101</f>
        <v>0.24053941908713691</v>
      </c>
      <c r="E104" s="2896">
        <f>1.0788/E101</f>
        <v>0.22381742738589211</v>
      </c>
      <c r="F104" s="2896">
        <f>1.0788/F101</f>
        <v>0.22381742738589211</v>
      </c>
      <c r="G104" s="2896">
        <f>1.0788/G101</f>
        <v>0.22381742738589211</v>
      </c>
      <c r="H104" s="2896">
        <f>1.0788/H101</f>
        <v>0.22381742738589211</v>
      </c>
      <c r="I104" s="2896">
        <f>1.0788/I101</f>
        <v>0.22381742738589211</v>
      </c>
      <c r="J104" s="2896">
        <f>1.0072/J101</f>
        <v>0.20896265560165975</v>
      </c>
      <c r="K104" s="2896">
        <f>1.0072/K101</f>
        <v>0.20896265560165975</v>
      </c>
      <c r="L104" s="2896">
        <f>1.0072/L101</f>
        <v>0.20896265560165975</v>
      </c>
      <c r="M104" s="2896">
        <f>1.0072/M101</f>
        <v>0.20896265560165975</v>
      </c>
      <c r="N104" s="2896">
        <f>1.0072/N101</f>
        <v>0.20896265560165975</v>
      </c>
    </row>
    <row r="105" spans="1:14">
      <c r="A105" s="3163"/>
      <c r="B105" s="2895">
        <v>4</v>
      </c>
      <c r="C105" s="2896">
        <f>0.9622/C101</f>
        <v>0.19962655601659751</v>
      </c>
      <c r="D105" s="2896">
        <f>0.9622/D101</f>
        <v>0.19962655601659751</v>
      </c>
      <c r="E105" s="2896">
        <f>0.8656/E101</f>
        <v>0.1795850622406639</v>
      </c>
      <c r="F105" s="2896">
        <f>0.8656/F101</f>
        <v>0.1795850622406639</v>
      </c>
      <c r="G105" s="2896">
        <f>0.8656/G101</f>
        <v>0.1795850622406639</v>
      </c>
      <c r="H105" s="2896">
        <f>0.8656/H101</f>
        <v>0.1795850622406639</v>
      </c>
      <c r="I105" s="2896">
        <f>0.8656/I101</f>
        <v>0.1795850622406639</v>
      </c>
      <c r="J105" s="2896">
        <f>0.7525/J101</f>
        <v>0.15612033195020744</v>
      </c>
      <c r="K105" s="2896">
        <f>0.7525/K101</f>
        <v>0.15612033195020744</v>
      </c>
      <c r="L105" s="2896">
        <f>0.7525/L101</f>
        <v>0.15612033195020744</v>
      </c>
      <c r="M105" s="2896">
        <f>0.7525/M101</f>
        <v>0.15612033195020744</v>
      </c>
      <c r="N105" s="2896">
        <f>0.7525/N101</f>
        <v>0.15612033195020744</v>
      </c>
    </row>
    <row r="106" spans="1:14">
      <c r="A106" s="3163"/>
      <c r="B106" s="2895">
        <v>5</v>
      </c>
      <c r="C106" s="2896">
        <f>0.8417/C101</f>
        <v>0.17462655601659749</v>
      </c>
      <c r="D106" s="2896">
        <f>0.8417/D101</f>
        <v>0.17462655601659749</v>
      </c>
      <c r="E106" s="2896">
        <f>0.7371/E101</f>
        <v>0.15292531120331948</v>
      </c>
      <c r="F106" s="2896">
        <f>0.7371/F101</f>
        <v>0.15292531120331948</v>
      </c>
      <c r="G106" s="2896">
        <f>0.7371/G101</f>
        <v>0.15292531120331948</v>
      </c>
      <c r="H106" s="2896">
        <f>0.7371/H101</f>
        <v>0.15292531120331948</v>
      </c>
      <c r="I106" s="2896">
        <f>0.7371/I101</f>
        <v>0.15292531120331948</v>
      </c>
      <c r="J106" s="2896">
        <f>0.5659/J101</f>
        <v>0.11740663900414937</v>
      </c>
      <c r="K106" s="2896">
        <f>0.5659/K101</f>
        <v>0.11740663900414937</v>
      </c>
      <c r="L106" s="2896">
        <f>0.5659/L101</f>
        <v>0.11740663900414937</v>
      </c>
      <c r="M106" s="2896">
        <f>0.5659/M101</f>
        <v>0.11740663900414937</v>
      </c>
      <c r="N106" s="2896">
        <f>0.5659/N101</f>
        <v>0.11740663900414937</v>
      </c>
    </row>
    <row r="107" spans="1:14">
      <c r="A107" s="3163"/>
      <c r="B107" s="2895">
        <v>6</v>
      </c>
      <c r="C107" s="2896">
        <f>0.7608/C101</f>
        <v>0.15784232365145229</v>
      </c>
      <c r="D107" s="2896">
        <f>0.7608/D101</f>
        <v>0.15784232365145229</v>
      </c>
      <c r="E107" s="2896">
        <f>0.6482/E101</f>
        <v>0.13448132780082986</v>
      </c>
      <c r="F107" s="2896">
        <f>0.6482/F101</f>
        <v>0.13448132780082986</v>
      </c>
      <c r="G107" s="2896">
        <f>0.6482/G101</f>
        <v>0.13448132780082986</v>
      </c>
      <c r="H107" s="2896">
        <f>0.6482/H101</f>
        <v>0.13448132780082986</v>
      </c>
      <c r="I107" s="2896">
        <f>0.6482/I101</f>
        <v>0.13448132780082986</v>
      </c>
      <c r="J107" s="2896">
        <f>0.4525/J101</f>
        <v>9.3879668049792531E-2</v>
      </c>
      <c r="K107" s="2896">
        <f>0.4525/K101</f>
        <v>9.3879668049792531E-2</v>
      </c>
      <c r="L107" s="2896">
        <f>0.4525/L101</f>
        <v>9.3879668049792531E-2</v>
      </c>
      <c r="M107" s="2896">
        <f>0.4525/M101</f>
        <v>9.3879668049792531E-2</v>
      </c>
      <c r="N107" s="2896">
        <f>0.4525/N101</f>
        <v>9.3879668049792531E-2</v>
      </c>
    </row>
    <row r="108" spans="1:14">
      <c r="A108" s="3163"/>
      <c r="B108" s="3118" t="s">
        <v>2961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64"/>
      <c r="B109" s="3119"/>
      <c r="C109" s="2898">
        <f>(-0.163*(C108^2)-0.59*C108+7617)*(10^(-4))/C101</f>
        <v>0.15802904564315354</v>
      </c>
      <c r="D109" s="2898">
        <f>(-0.163*(D108^2)-0.59*D108+7617)*(10^(-4))/D101</f>
        <v>0.15802904564315354</v>
      </c>
      <c r="E109" s="2898">
        <f>(-0.161*(E108^2)-7.509*E108+6533)*(10^(-4))/E101</f>
        <v>0.13553941908713693</v>
      </c>
      <c r="F109" s="2898">
        <f>(-0.161*(F108^2)-7.509*F108+6533)*(10^(-4))/F101</f>
        <v>0.13553941908713693</v>
      </c>
      <c r="G109" s="2898">
        <f>(-0.161*(G108^2)-7.509*G108+6533)*(10^(-4))/G101</f>
        <v>0.13553941908713693</v>
      </c>
      <c r="H109" s="2898">
        <f>(-0.161*(H108^2)-7.509*H108+6533)*(10^(-4))/H101</f>
        <v>0.13553941908713693</v>
      </c>
      <c r="I109" s="2898">
        <f>(-0.161*(I108^2)-7.509*I108+6533)*(10^(-4))/I101</f>
        <v>0.13553941908713693</v>
      </c>
      <c r="J109" s="2898">
        <f>(-0.214*(J108^2)-21.991*J108+4665)*(10^(-4))/J101</f>
        <v>9.6784232365145231E-2</v>
      </c>
      <c r="K109" s="2898">
        <f>(-0.214*(K108^2)-21.991*K108+4665)*(10^(-4))/K101</f>
        <v>9.6784232365145231E-2</v>
      </c>
      <c r="L109" s="2898">
        <f>(-0.214*(L108^2)-21.991*L108+4665)*(10^(-4))/L101</f>
        <v>9.6784232365145231E-2</v>
      </c>
      <c r="M109" s="2898">
        <f>(-0.214*(M108^2)-21.991*M108+4665)*(10^(-4))/M101</f>
        <v>9.6784232365145231E-2</v>
      </c>
      <c r="N109" s="2898">
        <f>(-0.214*(N108^2)-21.991*N108+4665)*(10^(-4))/N101</f>
        <v>9.6784232365145231E-2</v>
      </c>
    </row>
    <row r="110" spans="1:14">
      <c r="A110" s="3160" t="s">
        <v>2962</v>
      </c>
      <c r="B110" s="3160"/>
      <c r="C110" s="3160"/>
      <c r="D110" s="3160"/>
      <c r="E110" s="3160"/>
      <c r="F110" s="3160"/>
      <c r="G110" s="3160"/>
      <c r="H110" s="3160"/>
      <c r="I110" s="3160"/>
      <c r="J110" s="3160"/>
      <c r="K110" s="2901"/>
      <c r="L110" s="2901"/>
      <c r="M110" s="2901"/>
      <c r="N110" s="2901"/>
    </row>
    <row r="112" spans="1:14" ht="13.5" thickBot="1"/>
    <row r="113" spans="1:13" ht="25.5" thickBot="1">
      <c r="A113" s="903" t="s">
        <v>2963</v>
      </c>
      <c r="B113" s="1290">
        <f>G3</f>
        <v>4.82</v>
      </c>
      <c r="C113" s="904" t="s">
        <v>2964</v>
      </c>
      <c r="D113" s="905">
        <f>SUMPRODUCT((A115:A118=F113)*(B114:M114=H113)*B115:M118)</f>
        <v>0.88819999999999999</v>
      </c>
      <c r="E113" s="2724" t="s">
        <v>2796</v>
      </c>
      <c r="F113" s="2903" t="str">
        <f>E2</f>
        <v>商业</v>
      </c>
      <c r="G113" s="2724" t="s">
        <v>2797</v>
      </c>
      <c r="H113" s="2903" t="str">
        <f>G2</f>
        <v>二级</v>
      </c>
      <c r="I113" s="2724"/>
      <c r="J113" s="2904"/>
      <c r="K113" s="2904"/>
      <c r="L113" s="2904"/>
      <c r="M113" s="2904"/>
    </row>
    <row r="114" spans="1:13">
      <c r="A114" s="908"/>
      <c r="B114" s="2905" t="s">
        <v>2965</v>
      </c>
      <c r="C114" s="2905" t="s">
        <v>2966</v>
      </c>
      <c r="D114" s="2905" t="s">
        <v>2967</v>
      </c>
      <c r="E114" s="2906" t="s">
        <v>2968</v>
      </c>
      <c r="F114" s="2906" t="s">
        <v>2969</v>
      </c>
      <c r="G114" s="2906" t="s">
        <v>2970</v>
      </c>
      <c r="H114" s="2907" t="s">
        <v>2971</v>
      </c>
      <c r="I114" s="2907" t="s">
        <v>2972</v>
      </c>
      <c r="J114" s="2908" t="s">
        <v>2973</v>
      </c>
      <c r="K114" s="2908" t="s">
        <v>2974</v>
      </c>
      <c r="L114" s="2908" t="s">
        <v>2975</v>
      </c>
      <c r="M114" s="2909" t="s">
        <v>2976</v>
      </c>
    </row>
    <row r="115" spans="1:13">
      <c r="A115" s="909" t="s">
        <v>2861</v>
      </c>
      <c r="B115" s="910">
        <f>ROUND(0.9335-0.0094*B113,4)</f>
        <v>0.88819999999999999</v>
      </c>
      <c r="C115" s="910">
        <f>B115</f>
        <v>0.88819999999999999</v>
      </c>
      <c r="D115" s="910">
        <f>ROUND(0.8331-0.0109*B113,4)</f>
        <v>0.78059999999999996</v>
      </c>
      <c r="E115" s="910">
        <f>D115</f>
        <v>0.78059999999999996</v>
      </c>
      <c r="F115" s="910">
        <f>E115</f>
        <v>0.78059999999999996</v>
      </c>
      <c r="G115" s="910">
        <f>F115</f>
        <v>0.78059999999999996</v>
      </c>
      <c r="H115" s="910">
        <f>G115</f>
        <v>0.78059999999999996</v>
      </c>
      <c r="I115" s="910">
        <f>ROUND(0.689-0.0155*B113,4)</f>
        <v>0.61429999999999996</v>
      </c>
      <c r="J115" s="910">
        <f t="shared" ref="J115:M118" si="33">I115</f>
        <v>0.61429999999999996</v>
      </c>
      <c r="K115" s="910">
        <f t="shared" si="33"/>
        <v>0.61429999999999996</v>
      </c>
      <c r="L115" s="910">
        <f t="shared" si="33"/>
        <v>0.61429999999999996</v>
      </c>
      <c r="M115" s="911">
        <f t="shared" si="33"/>
        <v>0.61429999999999996</v>
      </c>
    </row>
    <row r="116" spans="1:13">
      <c r="A116" s="909" t="s">
        <v>2862</v>
      </c>
      <c r="B116" s="910">
        <f>ROUND(0.949-0.012*B113,4)</f>
        <v>0.89119999999999999</v>
      </c>
      <c r="C116" s="910">
        <f>B116</f>
        <v>0.89119999999999999</v>
      </c>
      <c r="D116" s="910">
        <f>ROUND(0.8567-0.013*B113,4)</f>
        <v>0.79400000000000004</v>
      </c>
      <c r="E116" s="910">
        <f t="shared" ref="E116:H117" si="34">D116</f>
        <v>0.79400000000000004</v>
      </c>
      <c r="F116" s="910">
        <f t="shared" si="34"/>
        <v>0.79400000000000004</v>
      </c>
      <c r="G116" s="910">
        <f t="shared" si="34"/>
        <v>0.79400000000000004</v>
      </c>
      <c r="H116" s="910">
        <f t="shared" si="34"/>
        <v>0.79400000000000004</v>
      </c>
      <c r="I116" s="910">
        <f>ROUND(0.7694-0.014*B113,4)</f>
        <v>0.70189999999999997</v>
      </c>
      <c r="J116" s="910">
        <f t="shared" si="33"/>
        <v>0.70189999999999997</v>
      </c>
      <c r="K116" s="910">
        <f t="shared" si="33"/>
        <v>0.70189999999999997</v>
      </c>
      <c r="L116" s="910">
        <f t="shared" si="33"/>
        <v>0.70189999999999997</v>
      </c>
      <c r="M116" s="911">
        <f t="shared" si="33"/>
        <v>0.70189999999999997</v>
      </c>
    </row>
    <row r="117" spans="1:13">
      <c r="A117" s="909" t="s">
        <v>2863</v>
      </c>
      <c r="B117" s="910">
        <f>ROUND(0.8808-0.006*B113,4)</f>
        <v>0.85189999999999999</v>
      </c>
      <c r="C117" s="910">
        <f>B117</f>
        <v>0.85189999999999999</v>
      </c>
      <c r="D117" s="910">
        <f>ROUND(0.8748-0.008*B113,4)</f>
        <v>0.83620000000000005</v>
      </c>
      <c r="E117" s="910">
        <f t="shared" si="34"/>
        <v>0.83620000000000005</v>
      </c>
      <c r="F117" s="910">
        <f t="shared" si="34"/>
        <v>0.83620000000000005</v>
      </c>
      <c r="G117" s="910">
        <f t="shared" si="34"/>
        <v>0.83620000000000005</v>
      </c>
      <c r="H117" s="910">
        <f t="shared" si="34"/>
        <v>0.83620000000000005</v>
      </c>
      <c r="I117" s="910">
        <f>ROUND(0.7412-0.0095*B113,4)</f>
        <v>0.69540000000000002</v>
      </c>
      <c r="J117" s="910">
        <f t="shared" si="33"/>
        <v>0.69540000000000002</v>
      </c>
      <c r="K117" s="910">
        <f t="shared" si="33"/>
        <v>0.69540000000000002</v>
      </c>
      <c r="L117" s="910">
        <f t="shared" si="33"/>
        <v>0.69540000000000002</v>
      </c>
      <c r="M117" s="911">
        <f t="shared" si="33"/>
        <v>0.69540000000000002</v>
      </c>
    </row>
    <row r="118" spans="1:13" ht="13.5" thickBot="1">
      <c r="A118" s="714" t="s">
        <v>2864</v>
      </c>
      <c r="B118" s="912">
        <f>ROUND(0.7275-0.01*B113,4)</f>
        <v>0.67930000000000001</v>
      </c>
      <c r="C118" s="912">
        <f>B118</f>
        <v>0.67930000000000001</v>
      </c>
      <c r="D118" s="912">
        <f>ROUND(0.7043-0.012*B113,4)</f>
        <v>0.64649999999999996</v>
      </c>
      <c r="E118" s="912">
        <f>D118</f>
        <v>0.64649999999999996</v>
      </c>
      <c r="F118" s="912">
        <f>E118</f>
        <v>0.64649999999999996</v>
      </c>
      <c r="G118" s="912">
        <f>ROUND(0.6299-0.0122*B113,4)</f>
        <v>0.57110000000000005</v>
      </c>
      <c r="H118" s="912">
        <f>G118</f>
        <v>0.57110000000000005</v>
      </c>
      <c r="I118" s="912">
        <f>ROUND(0.5667-0.0136*B113,4)</f>
        <v>0.50109999999999999</v>
      </c>
      <c r="J118" s="912">
        <f t="shared" si="33"/>
        <v>0.50109999999999999</v>
      </c>
      <c r="K118" s="912">
        <f t="shared" si="33"/>
        <v>0.50109999999999999</v>
      </c>
      <c r="L118" s="912">
        <f t="shared" si="33"/>
        <v>0.50109999999999999</v>
      </c>
      <c r="M118" s="913">
        <f t="shared" si="33"/>
        <v>0.50109999999999999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8" t="s">
        <v>1399</v>
      </c>
      <c r="C6" s="1299">
        <f ca="1">ROUND(F6*F8*F7*(1-F9),0)</f>
        <v>0</v>
      </c>
      <c r="D6" s="164" t="s">
        <v>3011</v>
      </c>
      <c r="E6" s="347" t="s">
        <v>1401</v>
      </c>
      <c r="F6" s="348">
        <f ca="1">INDIRECT("'数据-取费表'!u"&amp;$G$1)</f>
        <v>0</v>
      </c>
      <c r="G6" s="1854"/>
      <c r="H6" s="1294" t="s">
        <v>1032</v>
      </c>
      <c r="I6" s="3168" t="s">
        <v>1399</v>
      </c>
      <c r="J6" s="346">
        <f ca="1">ROUND(M6*M8*M7*(1-M9),0)</f>
        <v>0</v>
      </c>
      <c r="K6" s="1837" t="s">
        <v>3012</v>
      </c>
      <c r="L6" s="347" t="s">
        <v>1401</v>
      </c>
      <c r="M6" s="348">
        <f ca="1">INDIRECT("'数据-取费表'!z"&amp;$G$1)</f>
        <v>0</v>
      </c>
    </row>
    <row r="7" spans="1:37" ht="18" customHeight="1">
      <c r="A7" s="1298"/>
      <c r="B7" s="3169"/>
      <c r="C7" s="1300"/>
      <c r="D7" s="352"/>
      <c r="E7" s="1301" t="s">
        <v>1402</v>
      </c>
      <c r="F7" s="348">
        <f ca="1">IF(INDIRECT("'数据-取费表'!ah"&amp;$G$1)="",INDIRECT("'数据-取费表'!k"&amp;$G$1),INDIRECT("'数据-取费表'!ah"&amp;$G$1))</f>
        <v>0</v>
      </c>
      <c r="G7" s="1854"/>
      <c r="H7" s="349"/>
      <c r="I7" s="3169"/>
      <c r="J7" s="351"/>
      <c r="K7" s="352"/>
      <c r="L7" s="347" t="s">
        <v>1402</v>
      </c>
      <c r="M7" s="348">
        <f ca="1">F7</f>
        <v>0</v>
      </c>
    </row>
    <row r="8" spans="1:37" ht="18" customHeight="1">
      <c r="A8" s="349"/>
      <c r="B8" s="3169"/>
      <c r="C8" s="351"/>
      <c r="D8" s="352"/>
      <c r="E8" s="347" t="s">
        <v>1403</v>
      </c>
      <c r="F8" s="348">
        <f ca="1">INDIRECT("'数据-取费表'!ai"&amp;$G$1)</f>
        <v>0</v>
      </c>
      <c r="G8" s="1854"/>
      <c r="H8" s="349"/>
      <c r="I8" s="3169"/>
      <c r="J8" s="351"/>
      <c r="K8" s="352"/>
      <c r="L8" s="347" t="s">
        <v>1403</v>
      </c>
      <c r="M8" s="348">
        <f ca="1">INDIRECT("'数据-取费表'!ai"&amp;$G$1)</f>
        <v>0</v>
      </c>
    </row>
    <row r="9" spans="1:37" ht="18" customHeight="1">
      <c r="A9" s="349"/>
      <c r="B9" s="3170"/>
      <c r="C9" s="351"/>
      <c r="D9" s="352"/>
      <c r="E9" s="347" t="s">
        <v>1404</v>
      </c>
      <c r="F9" s="357">
        <f ca="1">INDIRECT("'数据-取费表'!w"&amp;$G$1)</f>
        <v>0</v>
      </c>
      <c r="G9" s="1854"/>
      <c r="H9" s="349"/>
      <c r="I9" s="317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3022</v>
      </c>
      <c r="E10" s="358" t="s">
        <v>1406</v>
      </c>
      <c r="F10" s="1369"/>
      <c r="G10" s="1854"/>
      <c r="H10" s="1294" t="s">
        <v>1036</v>
      </c>
      <c r="I10" s="1826" t="s">
        <v>1405</v>
      </c>
      <c r="J10" s="346">
        <f ca="1">ROUND(IF(M10="押一",J6/12*M11,IF(M10="押二",J6/12*2*M11,IF(M10="押三",J6/12*3*M11,J11*M11))),0)</f>
        <v>0</v>
      </c>
      <c r="K10" s="1838" t="s">
        <v>3024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3025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1" t="s">
        <v>1544</v>
      </c>
      <c r="L53" s="317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2508</v>
      </c>
      <c r="B1" s="2562"/>
      <c r="C1" s="2562"/>
      <c r="D1" s="2562"/>
      <c r="E1" s="2563"/>
    </row>
    <row r="2" spans="1:6" ht="15.75">
      <c r="A2" s="2564" t="s">
        <v>2309</v>
      </c>
      <c r="B2" s="2565">
        <f ca="1">SUMIF(B6:B13,"&lt;&gt;#ref!",B6:B13)</f>
        <v>65533</v>
      </c>
      <c r="C2" s="2566" t="s">
        <v>2501</v>
      </c>
      <c r="D2" s="2567" t="s">
        <v>2502</v>
      </c>
      <c r="E2" s="2568">
        <f>SUM(E6:E13)</f>
        <v>26146.04</v>
      </c>
    </row>
    <row r="3" spans="1:6" ht="15.75">
      <c r="A3" s="2564" t="s">
        <v>1391</v>
      </c>
      <c r="B3" s="2565">
        <f ca="1">ROUND(B2*10000/E2,0)</f>
        <v>25064</v>
      </c>
      <c r="C3" s="2566" t="s">
        <v>2509</v>
      </c>
      <c r="D3" s="2569"/>
      <c r="E3" s="2570"/>
    </row>
    <row r="4" spans="1:6" ht="15.75">
      <c r="A4" s="2571"/>
      <c r="B4" s="2569"/>
      <c r="C4" s="2569"/>
      <c r="D4" s="2569"/>
      <c r="E4" s="2570"/>
    </row>
    <row r="5" spans="1:6" ht="15">
      <c r="A5" s="2572" t="s">
        <v>2503</v>
      </c>
      <c r="B5" s="3173" t="s">
        <v>2504</v>
      </c>
      <c r="C5" s="3173"/>
      <c r="D5" s="2573"/>
      <c r="E5" s="2574" t="s">
        <v>2505</v>
      </c>
      <c r="F5" s="2575" t="s">
        <v>2506</v>
      </c>
    </row>
    <row r="6" spans="1:6">
      <c r="A6" s="2576" t="str">
        <f>'数据-取费表'!AN6</f>
        <v>收益法</v>
      </c>
      <c r="B6" s="2575">
        <f ca="1">IF(F6="是",'数据-取费表'!AO6,0)</f>
        <v>65533</v>
      </c>
      <c r="C6" s="2566" t="s">
        <v>2501</v>
      </c>
      <c r="D6" s="2569"/>
      <c r="E6" s="2577">
        <f>IF(OR(A6=0,F6="否"),0,'数据-取费表'!K6+'数据-取费表'!S6)</f>
        <v>26146.04</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0" t="s">
        <v>1073</v>
      </c>
      <c r="B1" s="3191"/>
      <c r="C1" s="3192"/>
      <c r="D1" s="3193">
        <f>SUM(I10,I15,I20,I21,I23)</f>
        <v>0</v>
      </c>
      <c r="E1" s="3193"/>
      <c r="F1" s="3193"/>
      <c r="G1" s="3193"/>
      <c r="H1" s="3193"/>
      <c r="I1" s="3194"/>
    </row>
    <row r="2" spans="1:9">
      <c r="A2" s="3180" t="s">
        <v>1074</v>
      </c>
      <c r="B2" s="3181" t="s">
        <v>1075</v>
      </c>
      <c r="C2" s="3181"/>
      <c r="D2" s="1304" t="s">
        <v>1076</v>
      </c>
      <c r="E2" s="1304" t="s">
        <v>1077</v>
      </c>
      <c r="F2" s="1304" t="s">
        <v>1078</v>
      </c>
      <c r="G2" s="1304" t="s">
        <v>1079</v>
      </c>
      <c r="H2" s="1304" t="s">
        <v>1080</v>
      </c>
      <c r="I2" s="1305" t="s">
        <v>1081</v>
      </c>
    </row>
    <row r="3" spans="1:9">
      <c r="A3" s="3180"/>
      <c r="B3" s="3181" t="s">
        <v>1082</v>
      </c>
      <c r="C3" s="3181"/>
      <c r="D3" s="1306"/>
      <c r="E3" s="1304"/>
      <c r="F3" s="1307"/>
      <c r="G3" s="1307"/>
      <c r="H3" s="1308"/>
      <c r="I3" s="1309">
        <f>ROUND(D3*E3*F3*G3*H3/10000,0)</f>
        <v>0</v>
      </c>
    </row>
    <row r="4" spans="1:9">
      <c r="A4" s="3180"/>
      <c r="B4" s="3181" t="s">
        <v>1083</v>
      </c>
      <c r="C4" s="3181"/>
      <c r="D4" s="1306"/>
      <c r="E4" s="1304"/>
      <c r="F4" s="1307"/>
      <c r="G4" s="1307"/>
      <c r="H4" s="1308"/>
      <c r="I4" s="1309">
        <f t="shared" ref="I4:I9" si="0">ROUND(D4*E4*F4*G4*H4/10000,0)</f>
        <v>0</v>
      </c>
    </row>
    <row r="5" spans="1:9">
      <c r="A5" s="3180"/>
      <c r="B5" s="3181" t="s">
        <v>1084</v>
      </c>
      <c r="C5" s="3181"/>
      <c r="D5" s="1306"/>
      <c r="E5" s="1304"/>
      <c r="F5" s="1307"/>
      <c r="G5" s="1307"/>
      <c r="H5" s="1308"/>
      <c r="I5" s="1309">
        <f t="shared" si="0"/>
        <v>0</v>
      </c>
    </row>
    <row r="6" spans="1:9">
      <c r="A6" s="3180"/>
      <c r="B6" s="3181" t="s">
        <v>1085</v>
      </c>
      <c r="C6" s="3181"/>
      <c r="D6" s="1306"/>
      <c r="E6" s="1304"/>
      <c r="F6" s="1307"/>
      <c r="G6" s="1307"/>
      <c r="H6" s="1308"/>
      <c r="I6" s="1309">
        <f t="shared" si="0"/>
        <v>0</v>
      </c>
    </row>
    <row r="7" spans="1:9">
      <c r="A7" s="3180"/>
      <c r="B7" s="3181" t="s">
        <v>1086</v>
      </c>
      <c r="C7" s="3181"/>
      <c r="D7" s="1306"/>
      <c r="E7" s="1304"/>
      <c r="F7" s="1307"/>
      <c r="G7" s="1307"/>
      <c r="H7" s="1308"/>
      <c r="I7" s="1309">
        <f t="shared" si="0"/>
        <v>0</v>
      </c>
    </row>
    <row r="8" spans="1:9">
      <c r="A8" s="3180"/>
      <c r="B8" s="3181" t="s">
        <v>1087</v>
      </c>
      <c r="C8" s="3181"/>
      <c r="D8" s="1306"/>
      <c r="E8" s="1304"/>
      <c r="F8" s="1307"/>
      <c r="G8" s="1307"/>
      <c r="H8" s="1308"/>
      <c r="I8" s="1309">
        <f t="shared" si="0"/>
        <v>0</v>
      </c>
    </row>
    <row r="9" spans="1:9">
      <c r="A9" s="3180"/>
      <c r="B9" s="3181" t="s">
        <v>1088</v>
      </c>
      <c r="C9" s="3181"/>
      <c r="D9" s="1306"/>
      <c r="E9" s="1304"/>
      <c r="F9" s="1307"/>
      <c r="G9" s="1307"/>
      <c r="H9" s="1308"/>
      <c r="I9" s="1309">
        <f t="shared" si="0"/>
        <v>0</v>
      </c>
    </row>
    <row r="10" spans="1:9">
      <c r="A10" s="3180"/>
      <c r="B10" s="3182" t="s">
        <v>1089</v>
      </c>
      <c r="C10" s="3182"/>
      <c r="D10" s="1310"/>
      <c r="E10" s="1310" t="e">
        <f>ROUND(D1*10000/D10/H9,0)</f>
        <v>#DIV/0!</v>
      </c>
      <c r="F10" s="1311"/>
      <c r="G10" s="1311"/>
      <c r="H10" s="1312"/>
      <c r="I10" s="1313">
        <f>SUM(I3:I9)</f>
        <v>0</v>
      </c>
    </row>
    <row r="11" spans="1:9" ht="14.25">
      <c r="A11" s="3180" t="s">
        <v>1090</v>
      </c>
      <c r="B11" s="3181" t="s">
        <v>1091</v>
      </c>
      <c r="C11" s="3181"/>
      <c r="D11" s="1306" t="s">
        <v>1092</v>
      </c>
      <c r="E11" s="1306" t="s">
        <v>1093</v>
      </c>
      <c r="F11" s="1307" t="s">
        <v>1094</v>
      </c>
      <c r="G11" s="1307" t="s">
        <v>1080</v>
      </c>
      <c r="H11" s="1314" t="s">
        <v>1095</v>
      </c>
      <c r="I11" s="1305" t="s">
        <v>1081</v>
      </c>
    </row>
    <row r="12" spans="1:9">
      <c r="A12" s="3180"/>
      <c r="B12" s="3181" t="s">
        <v>1096</v>
      </c>
      <c r="C12" s="3181"/>
      <c r="D12" s="1306"/>
      <c r="E12" s="1306"/>
      <c r="F12" s="1307"/>
      <c r="G12" s="1308"/>
      <c r="H12" s="1315"/>
      <c r="I12" s="1305">
        <f>ROUND(D12*E12*F12*G12/10000,0)</f>
        <v>0</v>
      </c>
    </row>
    <row r="13" spans="1:9">
      <c r="A13" s="3180"/>
      <c r="B13" s="3181" t="s">
        <v>1097</v>
      </c>
      <c r="C13" s="3181"/>
      <c r="D13" s="1306"/>
      <c r="E13" s="1306"/>
      <c r="F13" s="1307"/>
      <c r="G13" s="1308"/>
      <c r="H13" s="1315"/>
      <c r="I13" s="1305">
        <f>ROUND(D13*E13*F13*G13/10000,0)</f>
        <v>0</v>
      </c>
    </row>
    <row r="14" spans="1:9">
      <c r="A14" s="3180"/>
      <c r="B14" s="3181" t="s">
        <v>1098</v>
      </c>
      <c r="C14" s="3181"/>
      <c r="D14" s="1306"/>
      <c r="E14" s="1306"/>
      <c r="F14" s="1307"/>
      <c r="G14" s="1308"/>
      <c r="H14" s="1315"/>
      <c r="I14" s="1305">
        <f>ROUND(D14*E14*F14*G14/10000,0)</f>
        <v>0</v>
      </c>
    </row>
    <row r="15" spans="1:9">
      <c r="A15" s="3180"/>
      <c r="B15" s="3182" t="s">
        <v>1089</v>
      </c>
      <c r="C15" s="3182"/>
      <c r="D15" s="1310"/>
      <c r="E15" s="1310">
        <f>SUM(E12:E14)</f>
        <v>0</v>
      </c>
      <c r="F15" s="1311"/>
      <c r="G15" s="1308"/>
      <c r="H15" s="1315"/>
      <c r="I15" s="1316">
        <f>SUM(I12:I14)</f>
        <v>0</v>
      </c>
    </row>
    <row r="16" spans="1:9" ht="24">
      <c r="A16" s="3180" t="s">
        <v>1099</v>
      </c>
      <c r="B16" s="3181" t="s">
        <v>1100</v>
      </c>
      <c r="C16" s="3181"/>
      <c r="D16" s="1306" t="s">
        <v>1076</v>
      </c>
      <c r="E16" s="1317" t="s">
        <v>1101</v>
      </c>
      <c r="F16" s="1307" t="s">
        <v>1102</v>
      </c>
      <c r="G16" s="1308" t="s">
        <v>1080</v>
      </c>
      <c r="H16" s="1314" t="s">
        <v>1095</v>
      </c>
      <c r="I16" s="1305" t="s">
        <v>1081</v>
      </c>
    </row>
    <row r="17" spans="1:9" ht="14.25">
      <c r="A17" s="3180"/>
      <c r="B17" s="3181" t="s">
        <v>1103</v>
      </c>
      <c r="C17" s="3181"/>
      <c r="D17" s="1306"/>
      <c r="E17" s="1306"/>
      <c r="F17" s="1307"/>
      <c r="G17" s="1308"/>
      <c r="H17" s="1318"/>
      <c r="I17" s="1319">
        <f>ROUND(D17*E17*F17*G17/10000,0)</f>
        <v>0</v>
      </c>
    </row>
    <row r="18" spans="1:9" ht="14.25">
      <c r="A18" s="3180"/>
      <c r="B18" s="3181" t="s">
        <v>1104</v>
      </c>
      <c r="C18" s="3181"/>
      <c r="D18" s="1306"/>
      <c r="E18" s="1306"/>
      <c r="F18" s="1307"/>
      <c r="G18" s="1308"/>
      <c r="H18" s="1318"/>
      <c r="I18" s="1319">
        <f>ROUND(D18*E18*F18*G18/10000,0)</f>
        <v>0</v>
      </c>
    </row>
    <row r="19" spans="1:9" ht="14.25">
      <c r="A19" s="3180"/>
      <c r="B19" s="3181" t="s">
        <v>1105</v>
      </c>
      <c r="C19" s="3181"/>
      <c r="D19" s="1306"/>
      <c r="E19" s="1306"/>
      <c r="F19" s="1307"/>
      <c r="G19" s="1308"/>
      <c r="H19" s="1318"/>
      <c r="I19" s="1319">
        <f>ROUND(D19*E19*F19*G19/10000,0)</f>
        <v>0</v>
      </c>
    </row>
    <row r="20" spans="1:9">
      <c r="A20" s="3180"/>
      <c r="B20" s="3182" t="s">
        <v>1089</v>
      </c>
      <c r="C20" s="3182"/>
      <c r="D20" s="1310">
        <f>SUM(D17:D19)</f>
        <v>0</v>
      </c>
      <c r="E20" s="1310"/>
      <c r="F20" s="1311"/>
      <c r="G20" s="1308"/>
      <c r="H20" s="1315"/>
      <c r="I20" s="1316">
        <f>SUM(I17:I19)</f>
        <v>0</v>
      </c>
    </row>
    <row r="21" spans="1:9">
      <c r="A21" s="3180" t="s">
        <v>1106</v>
      </c>
      <c r="B21" s="3183"/>
      <c r="C21" s="3183"/>
      <c r="D21" s="3183"/>
      <c r="E21" s="3183"/>
      <c r="F21" s="3183"/>
      <c r="G21" s="3183"/>
      <c r="H21" s="1768">
        <v>0.1</v>
      </c>
      <c r="I21" s="1313">
        <f>ROUND(I10*H21,0)</f>
        <v>0</v>
      </c>
    </row>
    <row r="22" spans="1:9" ht="14.25">
      <c r="A22" s="3184" t="s">
        <v>1107</v>
      </c>
      <c r="B22" s="3185"/>
      <c r="C22" s="3186"/>
      <c r="D22" s="1320" t="s">
        <v>1108</v>
      </c>
      <c r="E22" s="1320" t="s">
        <v>1109</v>
      </c>
      <c r="F22" s="1321" t="s">
        <v>1110</v>
      </c>
      <c r="G22" s="1321" t="s">
        <v>1111</v>
      </c>
      <c r="H22" s="1314" t="s">
        <v>1112</v>
      </c>
      <c r="I22" s="1305" t="s">
        <v>1113</v>
      </c>
    </row>
    <row r="23" spans="1:9" ht="14.25" thickBot="1">
      <c r="A23" s="3187"/>
      <c r="B23" s="3188"/>
      <c r="C23" s="3189"/>
      <c r="D23" s="1322"/>
      <c r="E23" s="1322"/>
      <c r="F23" s="1322"/>
      <c r="G23" s="1323"/>
      <c r="H23" s="1324"/>
      <c r="I23" s="1325">
        <f>ROUND(E23*D23*F23*(1-G23)/10000,0)</f>
        <v>0</v>
      </c>
    </row>
    <row r="26" spans="1:9">
      <c r="A26" s="1326" t="s">
        <v>1114</v>
      </c>
      <c r="B26" s="1326"/>
      <c r="C26" s="1326"/>
      <c r="D26" s="1326"/>
      <c r="E26" s="3177">
        <f>C27-C30-C31-C32</f>
        <v>0</v>
      </c>
      <c r="F26" s="3177"/>
      <c r="G26" s="3177"/>
      <c r="H26" s="1740" t="s">
        <v>1336</v>
      </c>
    </row>
    <row r="27" spans="1:9">
      <c r="A27" s="1327">
        <v>1</v>
      </c>
      <c r="B27" s="1328" t="s">
        <v>1115</v>
      </c>
      <c r="C27" s="1328">
        <f>C28+C29</f>
        <v>0</v>
      </c>
      <c r="D27" s="1328"/>
      <c r="E27" s="3178"/>
      <c r="F27" s="3178"/>
      <c r="G27" s="3178"/>
    </row>
    <row r="28" spans="1:9">
      <c r="A28" s="1329" t="s">
        <v>1116</v>
      </c>
      <c r="B28" s="1328" t="s">
        <v>1117</v>
      </c>
      <c r="C28" s="1328"/>
      <c r="D28" s="1328"/>
      <c r="E28" s="3178"/>
      <c r="F28" s="3178"/>
      <c r="G28" s="317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9"/>
      <c r="F32" s="3179"/>
      <c r="G32" s="3179"/>
    </row>
    <row r="33" spans="1:7" hidden="1">
      <c r="A33" s="3174" t="s">
        <v>1126</v>
      </c>
      <c r="B33" s="3175"/>
      <c r="C33" s="3175"/>
      <c r="D33" s="3176"/>
      <c r="E33" s="3177"/>
      <c r="F33" s="3177"/>
      <c r="G33" s="3177"/>
    </row>
    <row r="34" spans="1:7" hidden="1">
      <c r="A34" s="1331">
        <v>1</v>
      </c>
      <c r="B34" s="1328" t="s">
        <v>1127</v>
      </c>
      <c r="C34" s="1328"/>
      <c r="D34" s="1328"/>
      <c r="E34" s="3178"/>
      <c r="F34" s="3178"/>
      <c r="G34" s="3178"/>
    </row>
    <row r="35" spans="1:7" hidden="1">
      <c r="A35" s="1331">
        <v>2</v>
      </c>
      <c r="B35" s="1328" t="s">
        <v>1128</v>
      </c>
      <c r="C35" s="1328"/>
      <c r="D35" s="1328"/>
      <c r="E35" s="3178"/>
      <c r="F35" s="3178"/>
      <c r="G35" s="3178"/>
    </row>
    <row r="36" spans="1:7" hidden="1">
      <c r="A36" s="1331">
        <v>3</v>
      </c>
      <c r="B36" s="1328" t="s">
        <v>1129</v>
      </c>
      <c r="C36" s="1328"/>
      <c r="D36" s="1328"/>
      <c r="E36" s="3178"/>
      <c r="F36" s="3178"/>
      <c r="G36" s="3178"/>
    </row>
    <row r="37" spans="1:7" hidden="1">
      <c r="A37" s="1331">
        <v>4</v>
      </c>
      <c r="B37" s="1328" t="s">
        <v>1130</v>
      </c>
      <c r="C37" s="1328"/>
      <c r="D37" s="1328"/>
      <c r="E37" s="3178"/>
      <c r="F37" s="3178"/>
      <c r="G37" s="3178"/>
    </row>
    <row r="38" spans="1:7" hidden="1">
      <c r="A38" s="3174" t="s">
        <v>1131</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2" t="s">
        <v>2511</v>
      </c>
      <c r="C1" s="1637" t="s">
        <v>2512</v>
      </c>
      <c r="D1" s="1624"/>
      <c r="E1" s="2583"/>
      <c r="F1" s="2584" t="s">
        <v>2513</v>
      </c>
      <c r="G1" s="1634" t="s">
        <v>2514</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6"/>
      <c r="D2" s="1368" t="e">
        <f ca="1">SUMIF(INDIRECT("'"&amp;F2&amp;"'"&amp;"!A:A"),"承租人权益价值",INDIRECT("'"&amp;F2&amp;"'"&amp;"!c:c"))</f>
        <v>#REF!</v>
      </c>
      <c r="E2" s="2587" t="s">
        <v>2515</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2516</v>
      </c>
      <c r="D3" s="399">
        <f>IF(D1="",'数据-汇总表'!E3,SUMIF('数据-汇总表'!$C19:$C33,D1,'数据-汇总表'!$E19:$E33))</f>
        <v>26146.04</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2517</v>
      </c>
      <c r="B4" s="402"/>
      <c r="C4" s="3213" t="s">
        <v>2518</v>
      </c>
      <c r="D4" s="3214"/>
      <c r="E4" s="3215" t="s">
        <v>2519</v>
      </c>
      <c r="F4" s="3216"/>
      <c r="G4" s="3213" t="s">
        <v>2520</v>
      </c>
      <c r="H4" s="3214"/>
      <c r="I4" s="3213" t="s">
        <v>2521</v>
      </c>
      <c r="J4" s="3214"/>
      <c r="K4" s="2596" t="s">
        <v>2522</v>
      </c>
      <c r="L4" s="1133"/>
      <c r="M4" s="1134"/>
      <c r="N4" s="1134"/>
      <c r="O4" s="1134"/>
      <c r="P4" s="3217" t="s">
        <v>2523</v>
      </c>
      <c r="Q4" s="3218"/>
      <c r="R4" s="3223" t="s">
        <v>2519</v>
      </c>
      <c r="S4" s="3224"/>
      <c r="T4" s="3223" t="s">
        <v>2520</v>
      </c>
      <c r="U4" s="3224"/>
      <c r="V4" s="3229" t="s">
        <v>2521</v>
      </c>
      <c r="W4" s="3229"/>
      <c r="X4" s="1816"/>
      <c r="Y4" s="3223" t="s">
        <v>2523</v>
      </c>
      <c r="Z4" s="3224"/>
      <c r="AA4" s="3210" t="s">
        <v>2519</v>
      </c>
      <c r="AB4" s="3210" t="s">
        <v>2520</v>
      </c>
      <c r="AC4" s="3210" t="s">
        <v>2521</v>
      </c>
    </row>
    <row r="5" spans="1:29" ht="15">
      <c r="A5" s="404"/>
      <c r="B5" s="405"/>
      <c r="C5" s="3232" t="s">
        <v>2524</v>
      </c>
      <c r="D5" s="3233"/>
      <c r="E5" s="3239" t="s">
        <v>2525</v>
      </c>
      <c r="F5" s="3240"/>
      <c r="G5" s="3232" t="s">
        <v>2526</v>
      </c>
      <c r="H5" s="3233"/>
      <c r="I5" s="3232" t="s">
        <v>2527</v>
      </c>
      <c r="J5" s="3233"/>
      <c r="K5" s="2597"/>
      <c r="L5" s="1133"/>
      <c r="M5" s="1134"/>
      <c r="N5" s="1134"/>
      <c r="O5" s="1134"/>
      <c r="P5" s="3219"/>
      <c r="Q5" s="3220"/>
      <c r="R5" s="3225"/>
      <c r="S5" s="3226"/>
      <c r="T5" s="3225"/>
      <c r="U5" s="3226"/>
      <c r="V5" s="3229"/>
      <c r="W5" s="3229"/>
      <c r="X5" s="1816"/>
      <c r="Y5" s="3225"/>
      <c r="Z5" s="3226"/>
      <c r="AA5" s="3211"/>
      <c r="AB5" s="3211"/>
      <c r="AC5" s="3211"/>
    </row>
    <row r="6" spans="1:29" ht="15.75" thickBot="1">
      <c r="A6" s="406"/>
      <c r="B6" s="407"/>
      <c r="C6" s="3230" t="s">
        <v>2528</v>
      </c>
      <c r="D6" s="3231"/>
      <c r="E6" s="3237" t="s">
        <v>2528</v>
      </c>
      <c r="F6" s="3238"/>
      <c r="G6" s="3230" t="s">
        <v>2528</v>
      </c>
      <c r="H6" s="3231"/>
      <c r="I6" s="3230" t="s">
        <v>2528</v>
      </c>
      <c r="J6" s="3231"/>
      <c r="K6" s="2597" t="s">
        <v>2529</v>
      </c>
      <c r="L6" s="1133"/>
      <c r="M6" s="1134"/>
      <c r="N6" s="1134"/>
      <c r="O6" s="1134"/>
      <c r="P6" s="3221"/>
      <c r="Q6" s="3222"/>
      <c r="R6" s="3225"/>
      <c r="S6" s="3226"/>
      <c r="T6" s="3227"/>
      <c r="U6" s="3228"/>
      <c r="V6" s="3229"/>
      <c r="W6" s="3229"/>
      <c r="X6" s="1816"/>
      <c r="Y6" s="3227"/>
      <c r="Z6" s="3228"/>
      <c r="AA6" s="3212"/>
      <c r="AB6" s="3212"/>
      <c r="AC6" s="3212"/>
    </row>
    <row r="7" spans="1:29" s="117" customFormat="1" ht="15.75" thickBot="1">
      <c r="A7" s="408" t="s">
        <v>2530</v>
      </c>
      <c r="B7" s="409"/>
      <c r="C7" s="410">
        <f>'数据-取费表'!B2</f>
        <v>43485</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34" t="s">
        <v>2531</v>
      </c>
      <c r="Q7" s="3236"/>
      <c r="R7" s="770" t="s">
        <v>23</v>
      </c>
      <c r="S7" s="771">
        <f t="shared" ref="S7:S15" si="0">F7</f>
        <v>0</v>
      </c>
      <c r="T7" s="770" t="s">
        <v>23</v>
      </c>
      <c r="U7" s="771">
        <f t="shared" ref="U7:U15" si="1">H7</f>
        <v>0</v>
      </c>
      <c r="V7" s="770" t="s">
        <v>23</v>
      </c>
      <c r="W7" s="771">
        <f t="shared" ref="W7:W15" si="2">J7</f>
        <v>0</v>
      </c>
      <c r="X7" s="772"/>
      <c r="Y7" s="3234" t="s">
        <v>2531</v>
      </c>
      <c r="Z7" s="3235"/>
      <c r="AA7" s="773" t="e">
        <f>D7/F7</f>
        <v>#DIV/0!</v>
      </c>
      <c r="AB7" s="773" t="e">
        <f>D7/H7</f>
        <v>#DIV/0!</v>
      </c>
      <c r="AC7" s="773"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34" t="s">
        <v>2534</v>
      </c>
      <c r="Q8" s="3235"/>
      <c r="R8" s="770" t="s">
        <v>23</v>
      </c>
      <c r="S8" s="771">
        <f t="shared" si="0"/>
        <v>0</v>
      </c>
      <c r="T8" s="770" t="s">
        <v>23</v>
      </c>
      <c r="U8" s="771">
        <f t="shared" si="1"/>
        <v>0</v>
      </c>
      <c r="V8" s="770" t="s">
        <v>23</v>
      </c>
      <c r="W8" s="771">
        <f t="shared" si="2"/>
        <v>0</v>
      </c>
      <c r="X8" s="772"/>
      <c r="Y8" s="3234" t="s">
        <v>2534</v>
      </c>
      <c r="Z8" s="3235"/>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9"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8"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9"/>
      <c r="Q12" s="1798">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9"/>
      <c r="Q13" s="1798">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9"/>
      <c r="Q14" s="1798">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15">
      <c r="A15" s="440" t="s">
        <v>2541</v>
      </c>
      <c r="B15" s="69" t="s">
        <v>2078</v>
      </c>
      <c r="C15" s="2603"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7" t="s">
        <v>2542</v>
      </c>
      <c r="Q15" s="1813" t="str">
        <f t="shared" si="6"/>
        <v>居住社区成熟度</v>
      </c>
      <c r="R15" s="774" t="s">
        <v>21</v>
      </c>
      <c r="S15" s="775">
        <f t="shared" si="0"/>
        <v>100</v>
      </c>
      <c r="T15" s="774" t="s">
        <v>21</v>
      </c>
      <c r="U15" s="775">
        <f t="shared" si="1"/>
        <v>100</v>
      </c>
      <c r="V15" s="774" t="s">
        <v>21</v>
      </c>
      <c r="W15" s="775">
        <f t="shared" si="2"/>
        <v>100</v>
      </c>
      <c r="X15" s="1816"/>
      <c r="Y15" s="3200" t="s">
        <v>2542</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08"/>
      <c r="Q16" s="1813"/>
      <c r="R16" s="774"/>
      <c r="S16" s="775"/>
      <c r="T16" s="774"/>
      <c r="U16" s="775"/>
      <c r="V16" s="774"/>
      <c r="W16" s="775"/>
      <c r="X16" s="1816"/>
      <c r="Y16" s="3201"/>
      <c r="Z16" s="1817"/>
      <c r="AA16" s="1814">
        <v>1</v>
      </c>
      <c r="AB16" s="1814">
        <v>1</v>
      </c>
      <c r="AC16" s="1814">
        <v>1</v>
      </c>
    </row>
    <row r="17" spans="1:29" ht="15">
      <c r="A17" s="428"/>
      <c r="B17" s="451" t="s">
        <v>2084</v>
      </c>
      <c r="C17" s="260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8"/>
      <c r="Q17" s="1813" t="str">
        <f>B17</f>
        <v>交通便捷度</v>
      </c>
      <c r="R17" s="774" t="s">
        <v>21</v>
      </c>
      <c r="S17" s="775">
        <f>F17</f>
        <v>100</v>
      </c>
      <c r="T17" s="774" t="s">
        <v>21</v>
      </c>
      <c r="U17" s="775">
        <f>H17</f>
        <v>100</v>
      </c>
      <c r="V17" s="774" t="s">
        <v>21</v>
      </c>
      <c r="W17" s="775">
        <f>J17</f>
        <v>100</v>
      </c>
      <c r="X17" s="1816"/>
      <c r="Y17" s="3201"/>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08"/>
      <c r="Q18" s="1813"/>
      <c r="R18" s="774"/>
      <c r="S18" s="775"/>
      <c r="T18" s="774"/>
      <c r="U18" s="775"/>
      <c r="V18" s="774"/>
      <c r="W18" s="775"/>
      <c r="X18" s="1816"/>
      <c r="Y18" s="3201"/>
      <c r="Z18" s="1817"/>
      <c r="AA18" s="1814">
        <v>1</v>
      </c>
      <c r="AB18" s="1814">
        <v>1</v>
      </c>
      <c r="AC18" s="1814">
        <v>1</v>
      </c>
    </row>
    <row r="19" spans="1:29" ht="15">
      <c r="A19" s="428"/>
      <c r="B19" s="451" t="s">
        <v>2083</v>
      </c>
      <c r="C19" s="260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8"/>
      <c r="Q19" s="1813" t="str">
        <f>B19</f>
        <v>公共配套设施</v>
      </c>
      <c r="R19" s="774" t="s">
        <v>21</v>
      </c>
      <c r="S19" s="775">
        <f>F19</f>
        <v>100</v>
      </c>
      <c r="T19" s="774" t="s">
        <v>21</v>
      </c>
      <c r="U19" s="775">
        <f>H19</f>
        <v>100</v>
      </c>
      <c r="V19" s="774" t="s">
        <v>21</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08"/>
      <c r="Q20" s="1813"/>
      <c r="R20" s="774"/>
      <c r="S20" s="775"/>
      <c r="T20" s="774"/>
      <c r="U20" s="775"/>
      <c r="V20" s="774"/>
      <c r="W20" s="775"/>
      <c r="X20" s="1816"/>
      <c r="Y20" s="3201"/>
      <c r="Z20" s="1817"/>
      <c r="AA20" s="1814">
        <v>1</v>
      </c>
      <c r="AB20" s="1814">
        <v>1</v>
      </c>
      <c r="AC20" s="1814">
        <v>1</v>
      </c>
    </row>
    <row r="21" spans="1:29" ht="15">
      <c r="A21" s="428"/>
      <c r="B21" s="1387" t="s">
        <v>2085</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D21/F21</f>
        <v>1</v>
      </c>
      <c r="AB21" s="1814">
        <f>D21/H21</f>
        <v>1</v>
      </c>
      <c r="AC21" s="1814">
        <f>D21/J21</f>
        <v>1</v>
      </c>
    </row>
    <row r="22" spans="1:29" ht="15">
      <c r="A22" s="428"/>
      <c r="B22" s="1387"/>
      <c r="C22" s="2608"/>
      <c r="D22" s="448"/>
      <c r="E22" s="447"/>
      <c r="F22" s="448"/>
      <c r="G22" s="2611"/>
      <c r="H22" s="448"/>
      <c r="I22" s="447"/>
      <c r="J22" s="448"/>
      <c r="K22" s="2612"/>
      <c r="L22" s="1143"/>
      <c r="M22" s="1134"/>
      <c r="N22" s="1134"/>
      <c r="O22" s="1134"/>
      <c r="P22" s="3208"/>
      <c r="Q22" s="1813"/>
      <c r="R22" s="774"/>
      <c r="S22" s="775"/>
      <c r="T22" s="774"/>
      <c r="U22" s="775"/>
      <c r="V22" s="774"/>
      <c r="W22" s="775"/>
      <c r="X22" s="1816"/>
      <c r="Y22" s="3201"/>
      <c r="Z22" s="1817"/>
      <c r="AA22" s="1814">
        <v>1</v>
      </c>
      <c r="AB22" s="1814">
        <v>1</v>
      </c>
      <c r="AC22" s="1814">
        <v>1</v>
      </c>
    </row>
    <row r="23" spans="1:29" ht="15">
      <c r="A23" s="428"/>
      <c r="B23" s="451" t="s">
        <v>2087</v>
      </c>
      <c r="C23" s="260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8"/>
      <c r="Q23" s="1813" t="str">
        <f>B23</f>
        <v>自然及人文环境</v>
      </c>
      <c r="R23" s="774" t="s">
        <v>21</v>
      </c>
      <c r="S23" s="775">
        <f>F23</f>
        <v>100</v>
      </c>
      <c r="T23" s="774" t="s">
        <v>21</v>
      </c>
      <c r="U23" s="775">
        <f>H23</f>
        <v>100</v>
      </c>
      <c r="V23" s="774" t="s">
        <v>21</v>
      </c>
      <c r="W23" s="775">
        <f>J23</f>
        <v>100</v>
      </c>
      <c r="X23" s="1816"/>
      <c r="Y23" s="3201"/>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08"/>
      <c r="Q24" s="1813"/>
      <c r="R24" s="774"/>
      <c r="S24" s="775"/>
      <c r="T24" s="774"/>
      <c r="U24" s="775"/>
      <c r="V24" s="774"/>
      <c r="W24" s="775"/>
      <c r="X24" s="1816"/>
      <c r="Y24" s="3201"/>
      <c r="Z24" s="1817"/>
      <c r="AA24" s="1814">
        <v>1</v>
      </c>
      <c r="AB24" s="1814">
        <v>1</v>
      </c>
      <c r="AC24" s="1814">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8"/>
      <c r="Q25" s="1813" t="str">
        <f t="shared" ref="Q25:Q46" si="8">B25</f>
        <v>楼层-1</v>
      </c>
      <c r="R25" s="774" t="s">
        <v>21</v>
      </c>
      <c r="S25" s="775">
        <f t="shared" ref="S25:S46" si="9">F25</f>
        <v>100</v>
      </c>
      <c r="T25" s="774" t="s">
        <v>21</v>
      </c>
      <c r="U25" s="775">
        <f t="shared" ref="U25:U46" si="10">H25</f>
        <v>100</v>
      </c>
      <c r="V25" s="774" t="s">
        <v>21</v>
      </c>
      <c r="W25" s="775">
        <f t="shared" ref="W25:W46" si="11">J25</f>
        <v>100</v>
      </c>
      <c r="X25" s="1816"/>
      <c r="Y25" s="3201"/>
      <c r="Z25" s="1817" t="str">
        <f>Q25</f>
        <v>楼层-1</v>
      </c>
      <c r="AA25" s="1814">
        <f t="shared" ref="AA25:AA46" si="12">D25/F25</f>
        <v>1</v>
      </c>
      <c r="AB25" s="1814">
        <f t="shared" ref="AB25:AB46" si="13">D25/H25</f>
        <v>1</v>
      </c>
      <c r="AC25" s="1814">
        <f t="shared" ref="AC25:AC46" si="14">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8"/>
      <c r="Q26" s="1813" t="str">
        <f t="shared" si="8"/>
        <v>朝向</v>
      </c>
      <c r="R26" s="774" t="s">
        <v>21</v>
      </c>
      <c r="S26" s="775">
        <f t="shared" si="9"/>
        <v>100</v>
      </c>
      <c r="T26" s="774" t="s">
        <v>21</v>
      </c>
      <c r="U26" s="775">
        <f t="shared" si="10"/>
        <v>100</v>
      </c>
      <c r="V26" s="774" t="s">
        <v>21</v>
      </c>
      <c r="W26" s="775">
        <f t="shared" si="11"/>
        <v>100</v>
      </c>
      <c r="X26" s="1816"/>
      <c r="Y26" s="3201"/>
      <c r="Z26" s="1817" t="str">
        <f>Q26</f>
        <v>朝向</v>
      </c>
      <c r="AA26" s="1814">
        <f t="shared" si="12"/>
        <v>1</v>
      </c>
      <c r="AB26" s="1814">
        <f t="shared" si="13"/>
        <v>1</v>
      </c>
      <c r="AC26" s="1814">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8"/>
      <c r="Q27" s="1798">
        <f t="shared" si="8"/>
        <v>111</v>
      </c>
      <c r="R27" s="770" t="s">
        <v>21</v>
      </c>
      <c r="S27" s="771">
        <f t="shared" si="9"/>
        <v>100</v>
      </c>
      <c r="T27" s="770" t="s">
        <v>21</v>
      </c>
      <c r="U27" s="771">
        <f t="shared" si="10"/>
        <v>100</v>
      </c>
      <c r="V27" s="770" t="s">
        <v>21</v>
      </c>
      <c r="W27" s="771">
        <f t="shared" si="11"/>
        <v>100</v>
      </c>
      <c r="X27" s="772"/>
      <c r="Y27" s="3201"/>
      <c r="Z27" s="55">
        <f>Q27</f>
        <v>111</v>
      </c>
      <c r="AA27" s="1814">
        <f t="shared" si="12"/>
        <v>1</v>
      </c>
      <c r="AB27" s="1814">
        <f t="shared" si="13"/>
        <v>1</v>
      </c>
      <c r="AC27" s="1814">
        <f t="shared" si="14"/>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8"/>
      <c r="Q28" s="1813">
        <f t="shared" si="8"/>
        <v>111</v>
      </c>
      <c r="R28" s="774" t="s">
        <v>21</v>
      </c>
      <c r="S28" s="775">
        <f t="shared" si="9"/>
        <v>100</v>
      </c>
      <c r="T28" s="774" t="s">
        <v>21</v>
      </c>
      <c r="U28" s="775">
        <f t="shared" si="10"/>
        <v>100</v>
      </c>
      <c r="V28" s="774" t="s">
        <v>21</v>
      </c>
      <c r="W28" s="775">
        <f t="shared" si="11"/>
        <v>100</v>
      </c>
      <c r="X28" s="1816"/>
      <c r="Y28" s="3201"/>
      <c r="Z28" s="1817">
        <f t="shared" ref="Z28:Z46" si="15">Q28</f>
        <v>111</v>
      </c>
      <c r="AA28" s="1814">
        <f t="shared" si="12"/>
        <v>1</v>
      </c>
      <c r="AB28" s="1814">
        <f t="shared" si="13"/>
        <v>1</v>
      </c>
      <c r="AC28" s="1814">
        <f t="shared" si="14"/>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8"/>
      <c r="Q29" s="1813">
        <f t="shared" si="8"/>
        <v>111</v>
      </c>
      <c r="R29" s="774" t="s">
        <v>21</v>
      </c>
      <c r="S29" s="775">
        <f t="shared" si="9"/>
        <v>100</v>
      </c>
      <c r="T29" s="774" t="s">
        <v>21</v>
      </c>
      <c r="U29" s="775">
        <f t="shared" si="10"/>
        <v>100</v>
      </c>
      <c r="V29" s="774" t="s">
        <v>21</v>
      </c>
      <c r="W29" s="775">
        <f t="shared" si="11"/>
        <v>100</v>
      </c>
      <c r="X29" s="1816"/>
      <c r="Y29" s="3201"/>
      <c r="Z29" s="1817">
        <f t="shared" si="15"/>
        <v>111</v>
      </c>
      <c r="AA29" s="1814">
        <f t="shared" si="12"/>
        <v>1</v>
      </c>
      <c r="AB29" s="1814">
        <f t="shared" si="13"/>
        <v>1</v>
      </c>
      <c r="AC29" s="1814">
        <f t="shared" si="14"/>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8"/>
      <c r="Q30" s="1813">
        <f t="shared" si="8"/>
        <v>111</v>
      </c>
      <c r="R30" s="774" t="s">
        <v>21</v>
      </c>
      <c r="S30" s="775">
        <f t="shared" si="9"/>
        <v>100</v>
      </c>
      <c r="T30" s="774" t="s">
        <v>21</v>
      </c>
      <c r="U30" s="775">
        <f t="shared" si="10"/>
        <v>100</v>
      </c>
      <c r="V30" s="774" t="s">
        <v>21</v>
      </c>
      <c r="W30" s="775">
        <f t="shared" si="11"/>
        <v>100</v>
      </c>
      <c r="X30" s="1816"/>
      <c r="Y30" s="3201"/>
      <c r="Z30" s="1817">
        <f t="shared" si="15"/>
        <v>111</v>
      </c>
      <c r="AA30" s="1814">
        <f t="shared" si="12"/>
        <v>1</v>
      </c>
      <c r="AB30" s="1814">
        <f t="shared" si="13"/>
        <v>1</v>
      </c>
      <c r="AC30" s="1814">
        <f t="shared" si="14"/>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8"/>
      <c r="Q31" s="1813">
        <f t="shared" si="8"/>
        <v>111</v>
      </c>
      <c r="R31" s="774" t="s">
        <v>21</v>
      </c>
      <c r="S31" s="775">
        <f t="shared" si="9"/>
        <v>100</v>
      </c>
      <c r="T31" s="774" t="s">
        <v>21</v>
      </c>
      <c r="U31" s="775">
        <f t="shared" si="10"/>
        <v>100</v>
      </c>
      <c r="V31" s="774" t="s">
        <v>21</v>
      </c>
      <c r="W31" s="775">
        <f t="shared" si="11"/>
        <v>100</v>
      </c>
      <c r="X31" s="1816"/>
      <c r="Y31" s="3201"/>
      <c r="Z31" s="1817">
        <f t="shared" si="15"/>
        <v>111</v>
      </c>
      <c r="AA31" s="1814">
        <f t="shared" si="12"/>
        <v>1</v>
      </c>
      <c r="AB31" s="1814">
        <f t="shared" si="13"/>
        <v>1</v>
      </c>
      <c r="AC31" s="1814">
        <f t="shared" si="14"/>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02" t="s">
        <v>2547</v>
      </c>
      <c r="Q32" s="1813" t="str">
        <f t="shared" si="8"/>
        <v>建筑类型</v>
      </c>
      <c r="R32" s="774" t="s">
        <v>21</v>
      </c>
      <c r="S32" s="775">
        <f t="shared" si="9"/>
        <v>100</v>
      </c>
      <c r="T32" s="774" t="s">
        <v>21</v>
      </c>
      <c r="U32" s="775">
        <f t="shared" si="10"/>
        <v>100</v>
      </c>
      <c r="V32" s="774" t="s">
        <v>21</v>
      </c>
      <c r="W32" s="775">
        <f t="shared" si="11"/>
        <v>100</v>
      </c>
      <c r="X32" s="1816"/>
      <c r="Y32" s="3205" t="s">
        <v>2547</v>
      </c>
      <c r="Z32" s="1817" t="str">
        <f t="shared" si="15"/>
        <v>建筑类型</v>
      </c>
      <c r="AA32" s="1814">
        <f t="shared" si="12"/>
        <v>1</v>
      </c>
      <c r="AB32" s="1814">
        <f t="shared" si="13"/>
        <v>1</v>
      </c>
      <c r="AC32" s="1814">
        <f t="shared" si="14"/>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03"/>
      <c r="Q33" s="776" t="str">
        <f t="shared" si="8"/>
        <v>项目建筑规模</v>
      </c>
      <c r="R33" s="777" t="s">
        <v>21</v>
      </c>
      <c r="S33" s="778" t="e">
        <f t="shared" si="9"/>
        <v>#N/A</v>
      </c>
      <c r="T33" s="777" t="s">
        <v>21</v>
      </c>
      <c r="U33" s="778" t="e">
        <f t="shared" si="10"/>
        <v>#N/A</v>
      </c>
      <c r="V33" s="777" t="s">
        <v>21</v>
      </c>
      <c r="W33" s="778" t="e">
        <f t="shared" si="11"/>
        <v>#N/A</v>
      </c>
      <c r="X33" s="779"/>
      <c r="Y33" s="3205"/>
      <c r="Z33" s="780" t="str">
        <f t="shared" si="15"/>
        <v>项目建筑规模</v>
      </c>
      <c r="AA33" s="1814" t="e">
        <f t="shared" si="12"/>
        <v>#N/A</v>
      </c>
      <c r="AB33" s="1814" t="e">
        <f t="shared" si="13"/>
        <v>#N/A</v>
      </c>
      <c r="AC33" s="1814" t="e">
        <f t="shared" si="14"/>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03"/>
      <c r="Q34" s="1813" t="str">
        <f t="shared" si="8"/>
        <v>建筑结构</v>
      </c>
      <c r="R34" s="774" t="s">
        <v>21</v>
      </c>
      <c r="S34" s="775">
        <f t="shared" si="9"/>
        <v>100</v>
      </c>
      <c r="T34" s="774" t="s">
        <v>21</v>
      </c>
      <c r="U34" s="775">
        <f t="shared" si="10"/>
        <v>100</v>
      </c>
      <c r="V34" s="774" t="s">
        <v>21</v>
      </c>
      <c r="W34" s="775">
        <f t="shared" si="11"/>
        <v>100</v>
      </c>
      <c r="X34" s="1816"/>
      <c r="Y34" s="3205"/>
      <c r="Z34" s="1817" t="str">
        <f t="shared" si="15"/>
        <v>建筑结构</v>
      </c>
      <c r="AA34" s="1814">
        <f t="shared" si="12"/>
        <v>1</v>
      </c>
      <c r="AB34" s="1814">
        <f t="shared" si="13"/>
        <v>1</v>
      </c>
      <c r="AC34" s="1814">
        <f t="shared" si="14"/>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03"/>
      <c r="Q35" s="1813" t="str">
        <f t="shared" si="8"/>
        <v>建筑品质</v>
      </c>
      <c r="R35" s="774" t="s">
        <v>21</v>
      </c>
      <c r="S35" s="775">
        <f t="shared" si="9"/>
        <v>100</v>
      </c>
      <c r="T35" s="774" t="s">
        <v>21</v>
      </c>
      <c r="U35" s="775">
        <f t="shared" si="10"/>
        <v>100</v>
      </c>
      <c r="V35" s="774" t="s">
        <v>21</v>
      </c>
      <c r="W35" s="775">
        <f t="shared" si="11"/>
        <v>100</v>
      </c>
      <c r="X35" s="1816"/>
      <c r="Y35" s="3205"/>
      <c r="Z35" s="1817" t="str">
        <f t="shared" si="15"/>
        <v>建筑品质</v>
      </c>
      <c r="AA35" s="1814">
        <f t="shared" si="12"/>
        <v>1</v>
      </c>
      <c r="AB35" s="1814">
        <f t="shared" si="13"/>
        <v>1</v>
      </c>
      <c r="AC35" s="1814">
        <f t="shared" si="14"/>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03"/>
      <c r="Q36" s="1813" t="str">
        <f t="shared" si="8"/>
        <v>公共部分装修</v>
      </c>
      <c r="R36" s="774" t="s">
        <v>21</v>
      </c>
      <c r="S36" s="775">
        <f t="shared" si="9"/>
        <v>100</v>
      </c>
      <c r="T36" s="774" t="s">
        <v>21</v>
      </c>
      <c r="U36" s="775">
        <f t="shared" si="10"/>
        <v>100</v>
      </c>
      <c r="V36" s="774" t="s">
        <v>21</v>
      </c>
      <c r="W36" s="775">
        <f t="shared" si="11"/>
        <v>100</v>
      </c>
      <c r="X36" s="1816"/>
      <c r="Y36" s="3205"/>
      <c r="Z36" s="1817" t="str">
        <f t="shared" si="15"/>
        <v>公共部分装修</v>
      </c>
      <c r="AA36" s="1814">
        <f t="shared" si="12"/>
        <v>1</v>
      </c>
      <c r="AB36" s="1814">
        <f t="shared" si="13"/>
        <v>1</v>
      </c>
      <c r="AC36" s="1814">
        <f t="shared" si="14"/>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3"/>
      <c r="Q37" s="1798" t="str">
        <f t="shared" si="8"/>
        <v>成新度</v>
      </c>
      <c r="R37" s="770" t="s">
        <v>21</v>
      </c>
      <c r="S37" s="771" t="e">
        <f t="shared" si="9"/>
        <v>#N/A</v>
      </c>
      <c r="T37" s="770" t="s">
        <v>21</v>
      </c>
      <c r="U37" s="771" t="e">
        <f t="shared" si="10"/>
        <v>#N/A</v>
      </c>
      <c r="V37" s="770" t="s">
        <v>21</v>
      </c>
      <c r="W37" s="771" t="e">
        <f t="shared" si="11"/>
        <v>#N/A</v>
      </c>
      <c r="X37" s="772"/>
      <c r="Y37" s="3205"/>
      <c r="Z37" s="55" t="str">
        <f t="shared" si="15"/>
        <v>成新度</v>
      </c>
      <c r="AA37" s="773" t="e">
        <f t="shared" si="12"/>
        <v>#N/A</v>
      </c>
      <c r="AB37" s="773" t="e">
        <f t="shared" si="13"/>
        <v>#N/A</v>
      </c>
      <c r="AC37" s="773" t="e">
        <f t="shared" si="14"/>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03" t="s">
        <v>2547</v>
      </c>
      <c r="Q38" s="1813" t="str">
        <f t="shared" si="8"/>
        <v>物业管理</v>
      </c>
      <c r="R38" s="774" t="s">
        <v>21</v>
      </c>
      <c r="S38" s="775">
        <f t="shared" si="9"/>
        <v>100</v>
      </c>
      <c r="T38" s="774" t="s">
        <v>21</v>
      </c>
      <c r="U38" s="775">
        <f t="shared" si="10"/>
        <v>100</v>
      </c>
      <c r="V38" s="774" t="s">
        <v>21</v>
      </c>
      <c r="W38" s="775">
        <f t="shared" si="11"/>
        <v>100</v>
      </c>
      <c r="X38" s="1816"/>
      <c r="Y38" s="3205" t="s">
        <v>2547</v>
      </c>
      <c r="Z38" s="1817" t="str">
        <f t="shared" si="15"/>
        <v>物业管理</v>
      </c>
      <c r="AA38" s="1814">
        <f t="shared" si="12"/>
        <v>1</v>
      </c>
      <c r="AB38" s="1814">
        <f t="shared" si="13"/>
        <v>1</v>
      </c>
      <c r="AC38" s="1814">
        <f t="shared" si="14"/>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03"/>
      <c r="Q39" s="1813" t="str">
        <f t="shared" si="8"/>
        <v>市政基础设施</v>
      </c>
      <c r="R39" s="774" t="s">
        <v>21</v>
      </c>
      <c r="S39" s="775">
        <f t="shared" si="9"/>
        <v>100</v>
      </c>
      <c r="T39" s="774" t="s">
        <v>21</v>
      </c>
      <c r="U39" s="775">
        <f t="shared" si="10"/>
        <v>100</v>
      </c>
      <c r="V39" s="774" t="s">
        <v>21</v>
      </c>
      <c r="W39" s="775">
        <f t="shared" si="11"/>
        <v>100</v>
      </c>
      <c r="X39" s="1816"/>
      <c r="Y39" s="3205"/>
      <c r="Z39" s="1817" t="str">
        <f t="shared" si="15"/>
        <v>市政基础设施</v>
      </c>
      <c r="AA39" s="1814">
        <f t="shared" si="12"/>
        <v>1</v>
      </c>
      <c r="AB39" s="1814">
        <f t="shared" si="13"/>
        <v>1</v>
      </c>
      <c r="AC39" s="1814">
        <f t="shared" si="14"/>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03"/>
      <c r="Q40" s="1813" t="str">
        <f t="shared" si="8"/>
        <v>房型</v>
      </c>
      <c r="R40" s="774" t="s">
        <v>21</v>
      </c>
      <c r="S40" s="775">
        <f t="shared" si="9"/>
        <v>100</v>
      </c>
      <c r="T40" s="774" t="s">
        <v>21</v>
      </c>
      <c r="U40" s="775">
        <f t="shared" si="10"/>
        <v>100</v>
      </c>
      <c r="V40" s="774" t="s">
        <v>21</v>
      </c>
      <c r="W40" s="775">
        <f t="shared" si="11"/>
        <v>100</v>
      </c>
      <c r="X40" s="1816"/>
      <c r="Y40" s="3205"/>
      <c r="Z40" s="1817" t="str">
        <f t="shared" si="15"/>
        <v>房型</v>
      </c>
      <c r="AA40" s="1814">
        <f t="shared" si="12"/>
        <v>1</v>
      </c>
      <c r="AB40" s="1814">
        <f t="shared" si="13"/>
        <v>1</v>
      </c>
      <c r="AC40" s="1814">
        <f t="shared" si="14"/>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3"/>
      <c r="Q41" s="776" t="str">
        <f t="shared" si="8"/>
        <v>单套/主力户型建筑面积</v>
      </c>
      <c r="R41" s="777" t="s">
        <v>21</v>
      </c>
      <c r="S41" s="778">
        <f t="shared" si="9"/>
        <v>100</v>
      </c>
      <c r="T41" s="777" t="s">
        <v>21</v>
      </c>
      <c r="U41" s="778">
        <f t="shared" si="10"/>
        <v>100</v>
      </c>
      <c r="V41" s="777" t="s">
        <v>21</v>
      </c>
      <c r="W41" s="778">
        <f t="shared" si="11"/>
        <v>100</v>
      </c>
      <c r="X41" s="779"/>
      <c r="Y41" s="3205"/>
      <c r="Z41" s="780" t="str">
        <f t="shared" si="15"/>
        <v>单套/主力户型建筑面积</v>
      </c>
      <c r="AA41" s="1814">
        <f t="shared" si="12"/>
        <v>1</v>
      </c>
      <c r="AB41" s="1814">
        <f t="shared" si="13"/>
        <v>1</v>
      </c>
      <c r="AC41" s="1814">
        <f t="shared" si="14"/>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03"/>
      <c r="Q42" s="1813" t="str">
        <f t="shared" si="8"/>
        <v>内部装修</v>
      </c>
      <c r="R42" s="774" t="s">
        <v>21</v>
      </c>
      <c r="S42" s="775">
        <f t="shared" si="9"/>
        <v>100</v>
      </c>
      <c r="T42" s="774" t="s">
        <v>21</v>
      </c>
      <c r="U42" s="775">
        <f t="shared" si="10"/>
        <v>100</v>
      </c>
      <c r="V42" s="774" t="s">
        <v>21</v>
      </c>
      <c r="W42" s="775">
        <f t="shared" si="11"/>
        <v>100</v>
      </c>
      <c r="X42" s="1816"/>
      <c r="Y42" s="3205"/>
      <c r="Z42" s="1817" t="str">
        <f t="shared" si="15"/>
        <v>内部装修</v>
      </c>
      <c r="AA42" s="1814">
        <f t="shared" si="12"/>
        <v>1</v>
      </c>
      <c r="AB42" s="1814">
        <f t="shared" si="13"/>
        <v>1</v>
      </c>
      <c r="AC42" s="1814">
        <f t="shared" si="14"/>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03"/>
      <c r="Q43" s="1813" t="str">
        <f t="shared" si="8"/>
        <v>内部装修维护情况</v>
      </c>
      <c r="R43" s="774" t="s">
        <v>21</v>
      </c>
      <c r="S43" s="775">
        <f t="shared" si="9"/>
        <v>100</v>
      </c>
      <c r="T43" s="774" t="s">
        <v>21</v>
      </c>
      <c r="U43" s="775">
        <f t="shared" si="10"/>
        <v>100</v>
      </c>
      <c r="V43" s="774" t="s">
        <v>21</v>
      </c>
      <c r="W43" s="775">
        <f t="shared" si="11"/>
        <v>100</v>
      </c>
      <c r="X43" s="1816"/>
      <c r="Y43" s="3205"/>
      <c r="Z43" s="1817" t="str">
        <f t="shared" si="15"/>
        <v>内部装修维护情况</v>
      </c>
      <c r="AA43" s="1814">
        <f t="shared" si="12"/>
        <v>1</v>
      </c>
      <c r="AB43" s="1814">
        <f t="shared" si="13"/>
        <v>1</v>
      </c>
      <c r="AC43" s="1814">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3"/>
      <c r="Q44" s="1798">
        <f t="shared" si="8"/>
        <v>111</v>
      </c>
      <c r="R44" s="770" t="s">
        <v>21</v>
      </c>
      <c r="S44" s="771">
        <f t="shared" si="9"/>
        <v>100</v>
      </c>
      <c r="T44" s="770" t="s">
        <v>21</v>
      </c>
      <c r="U44" s="771">
        <f t="shared" si="10"/>
        <v>100</v>
      </c>
      <c r="V44" s="770" t="s">
        <v>21</v>
      </c>
      <c r="W44" s="771">
        <f t="shared" si="11"/>
        <v>100</v>
      </c>
      <c r="X44" s="772"/>
      <c r="Y44" s="3205"/>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3"/>
      <c r="Q45" s="1813">
        <f t="shared" si="8"/>
        <v>111</v>
      </c>
      <c r="R45" s="774" t="s">
        <v>21</v>
      </c>
      <c r="S45" s="775">
        <f t="shared" si="9"/>
        <v>100</v>
      </c>
      <c r="T45" s="774" t="s">
        <v>21</v>
      </c>
      <c r="U45" s="775">
        <f t="shared" si="10"/>
        <v>100</v>
      </c>
      <c r="V45" s="774" t="s">
        <v>21</v>
      </c>
      <c r="W45" s="775">
        <f t="shared" si="11"/>
        <v>100</v>
      </c>
      <c r="X45" s="1816"/>
      <c r="Y45" s="3205"/>
      <c r="Z45" s="1817">
        <f t="shared" si="15"/>
        <v>111</v>
      </c>
      <c r="AA45" s="1814">
        <f t="shared" si="12"/>
        <v>1</v>
      </c>
      <c r="AB45" s="1814">
        <f t="shared" si="13"/>
        <v>1</v>
      </c>
      <c r="AC45" s="1814">
        <f t="shared" si="14"/>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4"/>
      <c r="Q46" s="1813">
        <f t="shared" si="8"/>
        <v>111</v>
      </c>
      <c r="R46" s="774" t="s">
        <v>20</v>
      </c>
      <c r="S46" s="775">
        <f t="shared" si="9"/>
        <v>100</v>
      </c>
      <c r="T46" s="774" t="s">
        <v>20</v>
      </c>
      <c r="U46" s="775">
        <f t="shared" si="10"/>
        <v>100</v>
      </c>
      <c r="V46" s="774" t="s">
        <v>20</v>
      </c>
      <c r="W46" s="775">
        <f t="shared" si="11"/>
        <v>100</v>
      </c>
      <c r="X46" s="1816"/>
      <c r="Y46" s="3206"/>
      <c r="Z46" s="1817">
        <f t="shared" si="15"/>
        <v>111</v>
      </c>
      <c r="AA46" s="1814">
        <f t="shared" si="12"/>
        <v>1</v>
      </c>
      <c r="AB46" s="1814">
        <f t="shared" si="13"/>
        <v>1</v>
      </c>
      <c r="AC46" s="1814">
        <f t="shared" si="14"/>
        <v>1</v>
      </c>
    </row>
    <row r="47" spans="1:29" ht="15">
      <c r="A47" s="479" t="s">
        <v>2559</v>
      </c>
      <c r="B47" s="480"/>
      <c r="C47" s="1410" t="s">
        <v>19</v>
      </c>
      <c r="D47" s="1411"/>
      <c r="E47" s="1412"/>
      <c r="F47" s="1413"/>
      <c r="G47" s="1414"/>
      <c r="H47" s="1415"/>
      <c r="I47" s="1412"/>
      <c r="J47" s="1415"/>
      <c r="K47" s="2621"/>
      <c r="L47" s="1146"/>
      <c r="M47" s="1147"/>
      <c r="N47" s="1134"/>
      <c r="O47" s="1147"/>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75" thickBot="1">
      <c r="A48" s="486" t="s">
        <v>2560</v>
      </c>
      <c r="B48" s="487"/>
      <c r="C48" s="1416" t="e">
        <f>R49</f>
        <v>#DIV/0!</v>
      </c>
      <c r="D48" s="1417"/>
      <c r="E48" s="1418" t="e">
        <f>R48</f>
        <v>#DIV/0!</v>
      </c>
      <c r="F48" s="1418"/>
      <c r="G48" s="1416" t="e">
        <f>T48</f>
        <v>#DIV/0!</v>
      </c>
      <c r="H48" s="1417"/>
      <c r="I48" s="1418" t="e">
        <f>V48</f>
        <v>#DIV/0!</v>
      </c>
      <c r="J48" s="1417"/>
      <c r="K48" s="2622"/>
      <c r="L48" s="1146"/>
      <c r="M48" s="1147"/>
      <c r="N48" s="1147"/>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2561</v>
      </c>
      <c r="B49" s="493"/>
      <c r="C49" s="1419" t="e">
        <f>R49</f>
        <v>#DIV/0!</v>
      </c>
      <c r="D49" s="1420"/>
      <c r="E49" s="1420"/>
      <c r="F49" s="1420"/>
      <c r="G49" s="1420"/>
      <c r="H49" s="1420"/>
      <c r="I49" s="1420"/>
      <c r="J49" s="1420"/>
      <c r="K49" s="2623"/>
      <c r="L49" s="1146"/>
      <c r="M49" s="1147"/>
      <c r="N49" s="1147"/>
      <c r="O49" s="1147"/>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2565</v>
      </c>
      <c r="B57" s="759"/>
      <c r="C57" s="764"/>
      <c r="D57" s="764"/>
      <c r="E57" s="764"/>
      <c r="F57" s="765"/>
      <c r="G57" s="765"/>
      <c r="H57" s="764"/>
      <c r="I57" s="764"/>
      <c r="J57" s="764"/>
      <c r="K57" s="1163"/>
      <c r="L57" s="1164"/>
      <c r="M57" s="1162"/>
      <c r="N57" s="1162"/>
      <c r="O57" s="1162"/>
      <c r="P57" s="2626"/>
      <c r="Q57" s="504"/>
    </row>
    <row r="58" spans="1:29" s="508" customFormat="1" ht="15">
      <c r="A58" s="505" t="s">
        <v>2566</v>
      </c>
      <c r="B58" s="506"/>
      <c r="C58" s="1579" t="str">
        <f>YEAR(C7)&amp;"-"&amp;MONTH(C7)</f>
        <v>2019-1</v>
      </c>
      <c r="D58" s="1578">
        <f>EDATE(C58,-1)</f>
        <v>43435</v>
      </c>
      <c r="E58" s="1578">
        <f>EDATE(D58,-1)</f>
        <v>43405</v>
      </c>
      <c r="F58" s="1578">
        <f t="shared" ref="F58:O58" si="16">EDATE(E58,-1)</f>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 t="shared" si="16"/>
        <v>43101</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2570</v>
      </c>
      <c r="B63" s="528" t="s">
        <v>2536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0"/>
      <c r="Q66" s="504"/>
    </row>
    <row r="67" spans="1:17" ht="15.75" thickTop="1">
      <c r="A67" s="534"/>
      <c r="B67" s="546" t="s">
        <v>2540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2085</v>
      </c>
      <c r="C82" s="539" t="s">
        <v>2586</v>
      </c>
      <c r="D82" s="539" t="s">
        <v>2587</v>
      </c>
      <c r="E82" s="539" t="s">
        <v>2588</v>
      </c>
      <c r="F82" s="539" t="s">
        <v>2589</v>
      </c>
      <c r="G82" s="539" t="s">
        <v>2590</v>
      </c>
      <c r="H82" s="539"/>
      <c r="I82" s="539"/>
      <c r="J82" s="539"/>
      <c r="K82" s="539"/>
      <c r="L82" s="539"/>
      <c r="M82" s="1385"/>
      <c r="N82" s="1156"/>
      <c r="O82" s="1156"/>
      <c r="P82" s="263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2592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
        <v>2593</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2545</v>
      </c>
      <c r="B100" s="528" t="s">
        <v>2594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2596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0"/>
      <c r="Q106" s="504"/>
    </row>
    <row r="107" spans="1:17" ht="15" thickTop="1">
      <c r="A107" s="599"/>
      <c r="B107" s="538" t="s">
        <v>2597</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0"/>
      <c r="Q108" s="504"/>
    </row>
    <row r="109" spans="1:17" ht="15" thickTop="1">
      <c r="A109" s="599"/>
      <c r="B109" s="538" t="s">
        <v>2598</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0"/>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2599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0"/>
      <c r="Q115" s="504"/>
    </row>
    <row r="116" spans="1:17" ht="15" thickTop="1">
      <c r="A116" s="599"/>
      <c r="B116" s="538" t="s">
        <v>2600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2601</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0"/>
      <c r="Q119" s="504"/>
    </row>
    <row r="120" spans="1:17" s="471" customFormat="1" ht="28.5" thickTop="1">
      <c r="A120" s="593"/>
      <c r="B120" s="538" t="s">
        <v>2556</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7">
        <v>6</v>
      </c>
      <c r="C139" s="1088">
        <v>96</v>
      </c>
      <c r="D139" s="2648" t="s">
        <v>2613</v>
      </c>
      <c r="E139" s="1089">
        <v>100</v>
      </c>
      <c r="F139" s="1090">
        <v>102.5</v>
      </c>
      <c r="G139" s="2648" t="s">
        <v>2613</v>
      </c>
      <c r="H139" s="1091">
        <v>105</v>
      </c>
      <c r="I139" s="2649" t="s">
        <v>2614</v>
      </c>
      <c r="J139" s="1088">
        <v>20</v>
      </c>
      <c r="K139" s="1092">
        <f>C145/(J139-2)</f>
        <v>4.0555555555555553E-3</v>
      </c>
    </row>
    <row r="140" spans="1:17" ht="15">
      <c r="B140" s="1093">
        <v>5</v>
      </c>
      <c r="C140" s="1094">
        <v>100</v>
      </c>
      <c r="D140" s="1094"/>
      <c r="E140" s="1095"/>
      <c r="F140" s="1096">
        <v>102</v>
      </c>
      <c r="G140" s="1094"/>
      <c r="H140" s="1097"/>
      <c r="I140" s="2650" t="s">
        <v>2615</v>
      </c>
      <c r="J140" s="315">
        <f>ROUNDUP((J139-1)/2,0)</f>
        <v>10</v>
      </c>
      <c r="K140" s="1098">
        <v>100</v>
      </c>
    </row>
    <row r="141" spans="1:17" ht="15">
      <c r="B141" s="1093">
        <v>4</v>
      </c>
      <c r="C141" s="1094">
        <v>102</v>
      </c>
      <c r="D141" s="1094"/>
      <c r="E141" s="1095"/>
      <c r="F141" s="1096">
        <v>101.5</v>
      </c>
      <c r="G141" s="1094"/>
      <c r="H141" s="1097"/>
      <c r="I141" s="2650" t="s">
        <v>2616</v>
      </c>
      <c r="J141" s="315">
        <v>1</v>
      </c>
      <c r="K141" s="1099">
        <f>ROUND(100+(J141-J140)*K139*100,1)</f>
        <v>96.4</v>
      </c>
    </row>
    <row r="142" spans="1:17" ht="15">
      <c r="B142" s="1093">
        <v>3</v>
      </c>
      <c r="C142" s="1094">
        <v>103</v>
      </c>
      <c r="D142" s="1094"/>
      <c r="E142" s="1095"/>
      <c r="F142" s="1096">
        <v>101</v>
      </c>
      <c r="G142" s="1094"/>
      <c r="H142" s="1097"/>
      <c r="I142" s="2650" t="s">
        <v>2617</v>
      </c>
      <c r="J142" s="315">
        <f>J139</f>
        <v>20</v>
      </c>
      <c r="K142" s="1100">
        <v>95</v>
      </c>
    </row>
    <row r="143" spans="1:17" ht="15">
      <c r="B143" s="1093">
        <v>2</v>
      </c>
      <c r="C143" s="1094">
        <v>100</v>
      </c>
      <c r="D143" s="1094"/>
      <c r="E143" s="1095"/>
      <c r="F143" s="1096">
        <v>100.5</v>
      </c>
      <c r="G143" s="1094"/>
      <c r="H143" s="1097"/>
      <c r="I143" s="2650" t="s">
        <v>2618</v>
      </c>
      <c r="J143" s="1094">
        <v>15</v>
      </c>
      <c r="K143" s="1099">
        <f>ROUND(100+(J143-J140)*K139*100,1)</f>
        <v>102</v>
      </c>
    </row>
    <row r="144" spans="1:17" ht="15">
      <c r="B144" s="1093">
        <v>1</v>
      </c>
      <c r="C144" s="1094">
        <v>98</v>
      </c>
      <c r="D144" s="2651" t="s">
        <v>2619</v>
      </c>
      <c r="E144" s="1095">
        <v>102</v>
      </c>
      <c r="F144" s="1101">
        <v>100</v>
      </c>
      <c r="G144" s="2651" t="s">
        <v>2619</v>
      </c>
      <c r="H144" s="1097">
        <v>105</v>
      </c>
      <c r="I144" s="2650" t="s">
        <v>2618</v>
      </c>
      <c r="J144" s="1094">
        <v>18</v>
      </c>
      <c r="K144" s="1099">
        <f>ROUND(100+(J144-J140)*K139*100,1)</f>
        <v>103.2</v>
      </c>
    </row>
    <row r="145" spans="2:11" ht="15.75" thickBot="1">
      <c r="B145" s="2652" t="s">
        <v>2620</v>
      </c>
      <c r="C145" s="1102">
        <f>ROUND(MAX(C139:C144)/MIN(C139:C144)-1,3)</f>
        <v>7.2999999999999995E-2</v>
      </c>
      <c r="D145" s="1103"/>
      <c r="E145" s="1103"/>
      <c r="F145" s="2653" t="s">
        <v>2621</v>
      </c>
      <c r="G145" s="2654"/>
      <c r="H145" s="2655"/>
      <c r="I145" s="2656" t="s">
        <v>2618</v>
      </c>
      <c r="J145" s="1104">
        <v>8</v>
      </c>
      <c r="K145" s="1105">
        <f>ROUND(100+(J145-J140)*K139*100,1)</f>
        <v>99.2</v>
      </c>
    </row>
    <row r="147" spans="2:11">
      <c r="B147" s="2637" t="s">
        <v>2622</v>
      </c>
    </row>
    <row r="148" spans="2:11">
      <c r="B148" s="2637"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2" t="s">
        <v>2624</v>
      </c>
      <c r="C1" s="1637" t="s">
        <v>2512</v>
      </c>
      <c r="D1" s="1624"/>
      <c r="E1" s="2657"/>
      <c r="F1" s="2584"/>
      <c r="G1" s="1634" t="s">
        <v>2625</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2309</v>
      </c>
      <c r="B2" s="1421" t="e">
        <f ca="1">IF(C2="——",ROUND(C49*D3/10000,0),ROUND(C49*D3/10000,0)-D2)</f>
        <v>#DIV/0!</v>
      </c>
      <c r="C2" s="2586"/>
      <c r="D2" s="1368" t="e">
        <f ca="1">SUMIF(INDIRECT("'"&amp;F2&amp;"'"&amp;"!A:A"),"承租人权益价值",INDIRECT("'"&amp;F2&amp;"'"&amp;"!c:c"))</f>
        <v>#REF!</v>
      </c>
      <c r="E2" s="2587" t="s">
        <v>2310</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2311</v>
      </c>
      <c r="B3" s="609" t="e">
        <f ca="1">IF(C2="——",C49,ROUND(B2*10000/D3,0))</f>
        <v>#DIV/0!</v>
      </c>
      <c r="C3" s="400" t="s">
        <v>2626</v>
      </c>
      <c r="D3" s="399">
        <f>IF(D1="",'数据-汇总表'!E3,SUMIF('数据-汇总表'!$C19:$C33,D1,'数据-汇总表'!$E19:$E33))</f>
        <v>26146.04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29" t="s">
        <v>2630</v>
      </c>
      <c r="AC4" s="3210" t="s">
        <v>2631</v>
      </c>
    </row>
    <row r="5" spans="1:29"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29"/>
      <c r="AC5" s="3211"/>
    </row>
    <row r="6" spans="1:29" ht="15.75" thickBot="1">
      <c r="A6" s="406"/>
      <c r="B6" s="407"/>
      <c r="C6" s="3230" t="s">
        <v>2528</v>
      </c>
      <c r="D6" s="3231"/>
      <c r="E6" s="3237" t="s">
        <v>2528</v>
      </c>
      <c r="F6" s="3238"/>
      <c r="G6" s="3230" t="s">
        <v>2528</v>
      </c>
      <c r="H6" s="3231"/>
      <c r="I6" s="3230" t="s">
        <v>2528</v>
      </c>
      <c r="J6" s="3231"/>
      <c r="K6" s="610" t="s">
        <v>2529</v>
      </c>
      <c r="L6" s="1133"/>
      <c r="M6" s="1134"/>
      <c r="N6" s="1134"/>
      <c r="O6" s="1134"/>
      <c r="P6" s="3221"/>
      <c r="Q6" s="3222"/>
      <c r="R6" s="3225"/>
      <c r="S6" s="3226"/>
      <c r="T6" s="3227"/>
      <c r="U6" s="3228"/>
      <c r="V6" s="3229"/>
      <c r="W6" s="3229"/>
      <c r="X6" s="1816"/>
      <c r="Y6" s="3227"/>
      <c r="Z6" s="3228"/>
      <c r="AA6" s="3212"/>
      <c r="AB6" s="3229"/>
      <c r="AC6" s="3212"/>
    </row>
    <row r="7" spans="1:29" s="117" customFormat="1" ht="15.75" thickBot="1">
      <c r="A7" s="408" t="s">
        <v>2530</v>
      </c>
      <c r="B7" s="409"/>
      <c r="C7" s="410">
        <f>'数据-取费表'!B2</f>
        <v>43485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4" t="s">
        <v>2531</v>
      </c>
      <c r="Q7" s="3236"/>
      <c r="R7" s="770" t="s">
        <v>17</v>
      </c>
      <c r="S7" s="771">
        <f t="shared" ref="S7:S15" si="0">F7</f>
        <v>0</v>
      </c>
      <c r="T7" s="770" t="s">
        <v>17</v>
      </c>
      <c r="U7" s="771">
        <f t="shared" ref="U7:U15" si="1">H7</f>
        <v>0</v>
      </c>
      <c r="V7" s="770" t="s">
        <v>17</v>
      </c>
      <c r="W7" s="771">
        <f t="shared" ref="W7:W15" si="2">J7</f>
        <v>0</v>
      </c>
      <c r="X7" s="772"/>
      <c r="Y7" s="3234" t="s">
        <v>2531</v>
      </c>
      <c r="Z7" s="3235"/>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15">
      <c r="A15" s="440" t="s">
        <v>2541</v>
      </c>
      <c r="B15" s="69" t="s">
        <v>2635</v>
      </c>
      <c r="C15" s="2603"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7" t="s">
        <v>2542</v>
      </c>
      <c r="Q15" s="1813" t="str">
        <f t="shared" si="6"/>
        <v>商业繁华度</v>
      </c>
      <c r="R15" s="774" t="s">
        <v>17</v>
      </c>
      <c r="S15" s="775">
        <f t="shared" si="0"/>
        <v>100</v>
      </c>
      <c r="T15" s="774" t="s">
        <v>17</v>
      </c>
      <c r="U15" s="775">
        <f t="shared" si="1"/>
        <v>100</v>
      </c>
      <c r="V15" s="774" t="s">
        <v>17</v>
      </c>
      <c r="W15" s="775">
        <f t="shared" si="2"/>
        <v>100</v>
      </c>
      <c r="X15" s="1816"/>
      <c r="Y15" s="3200" t="s">
        <v>2542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8"/>
      <c r="Q16" s="1813"/>
      <c r="R16" s="774"/>
      <c r="S16" s="775"/>
      <c r="T16" s="774"/>
      <c r="U16" s="775"/>
      <c r="V16" s="774"/>
      <c r="W16" s="775"/>
      <c r="X16" s="1816"/>
      <c r="Y16" s="3201"/>
      <c r="Z16" s="1817"/>
      <c r="AA16" s="1814">
        <v>1</v>
      </c>
      <c r="AB16" s="1814">
        <v>1</v>
      </c>
      <c r="AC16" s="1814">
        <v>1</v>
      </c>
    </row>
    <row r="17" spans="1:29" ht="15">
      <c r="A17" s="428"/>
      <c r="B17" s="451" t="s">
        <v>2084</v>
      </c>
      <c r="C17" s="260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8"/>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08"/>
      <c r="Q18" s="1813"/>
      <c r="R18" s="774"/>
      <c r="S18" s="775"/>
      <c r="T18" s="774"/>
      <c r="U18" s="775"/>
      <c r="V18" s="774"/>
      <c r="W18" s="775"/>
      <c r="X18" s="1816"/>
      <c r="Y18" s="3201"/>
      <c r="Z18" s="1817"/>
      <c r="AA18" s="1814">
        <v>1</v>
      </c>
      <c r="AB18" s="1814">
        <v>1</v>
      </c>
      <c r="AC18" s="1814">
        <v>1</v>
      </c>
    </row>
    <row r="19" spans="1:29" ht="15">
      <c r="A19" s="428"/>
      <c r="B19" s="451" t="s">
        <v>2636</v>
      </c>
      <c r="C19" s="260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08"/>
      <c r="Q20" s="1813"/>
      <c r="R20" s="774"/>
      <c r="S20" s="775"/>
      <c r="T20" s="774"/>
      <c r="U20" s="775"/>
      <c r="V20" s="774"/>
      <c r="W20" s="775"/>
      <c r="X20" s="1816"/>
      <c r="Y20" s="3201"/>
      <c r="Z20" s="1817"/>
      <c r="AA20" s="1814">
        <v>1</v>
      </c>
      <c r="AB20" s="1814">
        <v>1</v>
      </c>
      <c r="AC20" s="1814">
        <v>1</v>
      </c>
    </row>
    <row r="21" spans="1:29" ht="15">
      <c r="A21" s="428"/>
      <c r="B21" s="1387" t="s">
        <v>2637</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D21/F21</f>
        <v>1</v>
      </c>
      <c r="AB21" s="1814">
        <f>D21/H21</f>
        <v>1</v>
      </c>
      <c r="AC21" s="1814">
        <f>D21/J21</f>
        <v>1</v>
      </c>
    </row>
    <row r="22" spans="1:29" ht="15">
      <c r="A22" s="428"/>
      <c r="B22" s="1387"/>
      <c r="C22" s="2608"/>
      <c r="D22" s="448"/>
      <c r="E22" s="447"/>
      <c r="F22" s="449"/>
      <c r="G22" s="447"/>
      <c r="H22" s="448"/>
      <c r="I22" s="447"/>
      <c r="J22" s="448"/>
      <c r="K22" s="1386"/>
      <c r="L22" s="1143"/>
      <c r="M22" s="1134"/>
      <c r="N22" s="1134"/>
      <c r="O22" s="1134"/>
      <c r="P22" s="3208"/>
      <c r="Q22" s="1813"/>
      <c r="R22" s="774"/>
      <c r="S22" s="775"/>
      <c r="T22" s="774"/>
      <c r="U22" s="775"/>
      <c r="V22" s="774"/>
      <c r="W22" s="775"/>
      <c r="X22" s="1816"/>
      <c r="Y22" s="3201"/>
      <c r="Z22" s="1817"/>
      <c r="AA22" s="1814">
        <v>1</v>
      </c>
      <c r="AB22" s="1814">
        <v>1</v>
      </c>
      <c r="AC22" s="1814">
        <v>1</v>
      </c>
    </row>
    <row r="23" spans="1:29" ht="15">
      <c r="A23" s="428"/>
      <c r="B23" s="451" t="s">
        <v>2087</v>
      </c>
      <c r="C23" s="266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8"/>
      <c r="Q23" s="1813" t="str">
        <f>B23</f>
        <v>自然及人文环境</v>
      </c>
      <c r="R23" s="774" t="s">
        <v>17</v>
      </c>
      <c r="S23" s="775">
        <f>F23</f>
        <v>100</v>
      </c>
      <c r="T23" s="774" t="s">
        <v>17</v>
      </c>
      <c r="U23" s="775">
        <f>H23</f>
        <v>100</v>
      </c>
      <c r="V23" s="774" t="s">
        <v>17</v>
      </c>
      <c r="W23" s="775">
        <f>J23</f>
        <v>100</v>
      </c>
      <c r="X23" s="1816"/>
      <c r="Y23" s="3201"/>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08"/>
      <c r="Q24" s="1813"/>
      <c r="R24" s="774"/>
      <c r="S24" s="775"/>
      <c r="T24" s="774"/>
      <c r="U24" s="775"/>
      <c r="V24" s="774"/>
      <c r="W24" s="775"/>
      <c r="X24" s="1816"/>
      <c r="Y24" s="3201"/>
      <c r="Z24" s="1817"/>
      <c r="AA24" s="1814">
        <v>1</v>
      </c>
      <c r="AB24" s="1814">
        <v>1</v>
      </c>
      <c r="AC24" s="1814">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8"/>
      <c r="Q25" s="1813" t="str">
        <f t="shared" ref="Q25:Q46" si="8">B25</f>
        <v>临街状况</v>
      </c>
      <c r="R25" s="774" t="s">
        <v>17</v>
      </c>
      <c r="S25" s="775">
        <f>F25</f>
        <v>100</v>
      </c>
      <c r="T25" s="774" t="s">
        <v>17</v>
      </c>
      <c r="U25" s="775">
        <f>H25</f>
        <v>100</v>
      </c>
      <c r="V25" s="774" t="s">
        <v>17</v>
      </c>
      <c r="W25" s="775">
        <f>J25</f>
        <v>100</v>
      </c>
      <c r="X25" s="1816"/>
      <c r="Y25" s="3201"/>
      <c r="Z25" s="1817" t="str">
        <f>Q25</f>
        <v>临街状况</v>
      </c>
      <c r="AA25" s="1814">
        <f t="shared" si="3"/>
        <v>1</v>
      </c>
      <c r="AB25" s="1814">
        <f t="shared" si="4"/>
        <v>1</v>
      </c>
      <c r="AC25" s="1814">
        <f t="shared" si="5"/>
        <v>1</v>
      </c>
    </row>
    <row r="26" spans="1:29" ht="15">
      <c r="A26" s="428"/>
      <c r="B26" s="1389" t="s">
        <v>2639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8"/>
      <c r="Q26" s="1813" t="str">
        <f t="shared" si="8"/>
        <v>平面位置/可视性</v>
      </c>
      <c r="R26" s="774" t="s">
        <v>17</v>
      </c>
      <c r="S26" s="775">
        <f>F26</f>
        <v>100</v>
      </c>
      <c r="T26" s="774" t="s">
        <v>17</v>
      </c>
      <c r="U26" s="775">
        <f>H26</f>
        <v>100</v>
      </c>
      <c r="V26" s="774" t="s">
        <v>17</v>
      </c>
      <c r="W26" s="775">
        <f>J26</f>
        <v>100</v>
      </c>
      <c r="X26" s="1816"/>
      <c r="Y26" s="3201"/>
      <c r="Z26" s="1817" t="str">
        <f>Q26</f>
        <v>平面位置/可视性</v>
      </c>
      <c r="AA26" s="1814">
        <f t="shared" si="3"/>
        <v>1</v>
      </c>
      <c r="AB26" s="1814">
        <f t="shared" si="4"/>
        <v>1</v>
      </c>
      <c r="AC26" s="1814">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08"/>
      <c r="Q27" s="1798" t="str">
        <f t="shared" si="8"/>
        <v>人流量</v>
      </c>
      <c r="R27" s="770" t="s">
        <v>17</v>
      </c>
      <c r="S27" s="771">
        <f>F27</f>
        <v>100</v>
      </c>
      <c r="T27" s="770" t="s">
        <v>17</v>
      </c>
      <c r="U27" s="771">
        <f>H27</f>
        <v>100</v>
      </c>
      <c r="V27" s="770" t="s">
        <v>17</v>
      </c>
      <c r="W27" s="771">
        <f>J27</f>
        <v>100</v>
      </c>
      <c r="X27" s="772"/>
      <c r="Y27" s="3201"/>
      <c r="Z27" s="55" t="str">
        <f>Q27</f>
        <v>人流量</v>
      </c>
      <c r="AA27" s="1814">
        <f>D27/F27</f>
        <v>1</v>
      </c>
      <c r="AB27" s="1814">
        <f>D27/H27</f>
        <v>1</v>
      </c>
      <c r="AC27" s="1814">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8"/>
      <c r="Q28" s="1813" t="str">
        <f t="shared" si="8"/>
        <v>楼层</v>
      </c>
      <c r="R28" s="774" t="s">
        <v>17</v>
      </c>
      <c r="S28" s="775">
        <f t="shared" ref="S28:S46" si="9">F28</f>
        <v>100</v>
      </c>
      <c r="T28" s="774" t="s">
        <v>17</v>
      </c>
      <c r="U28" s="775">
        <f t="shared" ref="U28:U46" si="10">H28</f>
        <v>100</v>
      </c>
      <c r="V28" s="774" t="s">
        <v>17</v>
      </c>
      <c r="W28" s="775">
        <f t="shared" ref="W28:W46" si="11">J28</f>
        <v>100</v>
      </c>
      <c r="X28" s="1816"/>
      <c r="Y28" s="3201"/>
      <c r="Z28" s="1817" t="str">
        <f t="shared" ref="Z28:Z46" si="12">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8"/>
      <c r="Q29" s="1813">
        <f t="shared" si="8"/>
        <v>111</v>
      </c>
      <c r="R29" s="774" t="s">
        <v>17</v>
      </c>
      <c r="S29" s="775">
        <f t="shared" si="9"/>
        <v>100</v>
      </c>
      <c r="T29" s="774" t="s">
        <v>17</v>
      </c>
      <c r="U29" s="775">
        <f t="shared" si="10"/>
        <v>100</v>
      </c>
      <c r="V29" s="774" t="s">
        <v>17</v>
      </c>
      <c r="W29" s="775">
        <f t="shared" si="11"/>
        <v>100</v>
      </c>
      <c r="X29" s="1816"/>
      <c r="Y29" s="3201"/>
      <c r="Z29" s="1817">
        <f t="shared" si="12"/>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8"/>
      <c r="Q30" s="1813">
        <f t="shared" si="8"/>
        <v>111</v>
      </c>
      <c r="R30" s="774" t="s">
        <v>17</v>
      </c>
      <c r="S30" s="775">
        <f t="shared" si="9"/>
        <v>100</v>
      </c>
      <c r="T30" s="774" t="s">
        <v>17</v>
      </c>
      <c r="U30" s="775">
        <f t="shared" si="10"/>
        <v>100</v>
      </c>
      <c r="V30" s="774" t="s">
        <v>17</v>
      </c>
      <c r="W30" s="775">
        <f t="shared" si="11"/>
        <v>100</v>
      </c>
      <c r="X30" s="1816"/>
      <c r="Y30" s="3201"/>
      <c r="Z30" s="1817">
        <f t="shared" si="12"/>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8"/>
      <c r="Q31" s="1813">
        <f t="shared" si="8"/>
        <v>111</v>
      </c>
      <c r="R31" s="774" t="s">
        <v>17</v>
      </c>
      <c r="S31" s="775">
        <f t="shared" si="9"/>
        <v>100</v>
      </c>
      <c r="T31" s="774" t="s">
        <v>17</v>
      </c>
      <c r="U31" s="775">
        <f t="shared" si="10"/>
        <v>100</v>
      </c>
      <c r="V31" s="774" t="s">
        <v>17</v>
      </c>
      <c r="W31" s="775">
        <f t="shared" si="11"/>
        <v>100</v>
      </c>
      <c r="X31" s="1816"/>
      <c r="Y31" s="3201"/>
      <c r="Z31" s="1817">
        <f t="shared" si="12"/>
        <v>111</v>
      </c>
      <c r="AA31" s="1814">
        <f t="shared" si="3"/>
        <v>1</v>
      </c>
      <c r="AB31" s="1814">
        <f t="shared" si="4"/>
        <v>1</v>
      </c>
      <c r="AC31" s="1814">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2" t="s">
        <v>2547</v>
      </c>
      <c r="Q32" s="1813" t="str">
        <f t="shared" si="8"/>
        <v>商业类型</v>
      </c>
      <c r="R32" s="774" t="s">
        <v>17</v>
      </c>
      <c r="S32" s="775">
        <f t="shared" si="9"/>
        <v>100</v>
      </c>
      <c r="T32" s="774" t="s">
        <v>17</v>
      </c>
      <c r="U32" s="775">
        <f t="shared" si="10"/>
        <v>100</v>
      </c>
      <c r="V32" s="774" t="s">
        <v>17</v>
      </c>
      <c r="W32" s="775">
        <f t="shared" si="11"/>
        <v>100</v>
      </c>
      <c r="X32" s="1816"/>
      <c r="Y32" s="3205" t="s">
        <v>2547</v>
      </c>
      <c r="Z32" s="1817" t="str">
        <f t="shared" si="12"/>
        <v>商业类型</v>
      </c>
      <c r="AA32" s="1814">
        <f t="shared" si="3"/>
        <v>1</v>
      </c>
      <c r="AB32" s="1814">
        <f t="shared" si="4"/>
        <v>1</v>
      </c>
      <c r="AC32" s="1814">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3"/>
      <c r="Q33" s="776" t="str">
        <f t="shared" si="8"/>
        <v>项目建筑规模</v>
      </c>
      <c r="R33" s="777" t="s">
        <v>17</v>
      </c>
      <c r="S33" s="778" t="e">
        <f t="shared" si="9"/>
        <v>#N/A</v>
      </c>
      <c r="T33" s="777" t="s">
        <v>17</v>
      </c>
      <c r="U33" s="778" t="e">
        <f t="shared" si="10"/>
        <v>#N/A</v>
      </c>
      <c r="V33" s="777" t="s">
        <v>17</v>
      </c>
      <c r="W33" s="778" t="e">
        <f t="shared" si="11"/>
        <v>#N/A</v>
      </c>
      <c r="X33" s="779"/>
      <c r="Y33" s="3205"/>
      <c r="Z33" s="780" t="str">
        <f t="shared" si="12"/>
        <v>项目建筑规模</v>
      </c>
      <c r="AA33" s="1814" t="e">
        <f t="shared" si="3"/>
        <v>#N/A</v>
      </c>
      <c r="AB33" s="1814" t="e">
        <f t="shared" si="4"/>
        <v>#N/A</v>
      </c>
      <c r="AC33" s="1814"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03"/>
      <c r="Q34" s="1813" t="str">
        <f t="shared" si="8"/>
        <v>建筑结构</v>
      </c>
      <c r="R34" s="774" t="s">
        <v>17</v>
      </c>
      <c r="S34" s="775">
        <f t="shared" si="9"/>
        <v>100</v>
      </c>
      <c r="T34" s="774" t="s">
        <v>17</v>
      </c>
      <c r="U34" s="775">
        <f t="shared" si="10"/>
        <v>100</v>
      </c>
      <c r="V34" s="774" t="s">
        <v>17</v>
      </c>
      <c r="W34" s="775">
        <f t="shared" si="11"/>
        <v>100</v>
      </c>
      <c r="X34" s="1816"/>
      <c r="Y34" s="3205"/>
      <c r="Z34" s="1817" t="str">
        <f t="shared" si="12"/>
        <v>建筑结构</v>
      </c>
      <c r="AA34" s="1814">
        <f t="shared" si="3"/>
        <v>1</v>
      </c>
      <c r="AB34" s="1814">
        <f t="shared" si="4"/>
        <v>1</v>
      </c>
      <c r="AC34" s="1814">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3"/>
      <c r="Q35" s="1813" t="str">
        <f t="shared" si="8"/>
        <v>公共部分装修</v>
      </c>
      <c r="R35" s="774" t="s">
        <v>17</v>
      </c>
      <c r="S35" s="775">
        <f t="shared" si="9"/>
        <v>100</v>
      </c>
      <c r="T35" s="774" t="s">
        <v>17</v>
      </c>
      <c r="U35" s="775">
        <f t="shared" si="10"/>
        <v>100</v>
      </c>
      <c r="V35" s="774" t="s">
        <v>17</v>
      </c>
      <c r="W35" s="775">
        <f t="shared" si="11"/>
        <v>100</v>
      </c>
      <c r="X35" s="1816"/>
      <c r="Y35" s="3205"/>
      <c r="Z35" s="1817" t="str">
        <f t="shared" si="12"/>
        <v>公共部分装修</v>
      </c>
      <c r="AA35" s="1814">
        <f t="shared" si="3"/>
        <v>1</v>
      </c>
      <c r="AB35" s="1814">
        <f t="shared" si="4"/>
        <v>1</v>
      </c>
      <c r="AC35" s="1814">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3"/>
      <c r="Q36" s="1813" t="str">
        <f t="shared" si="8"/>
        <v>成新度</v>
      </c>
      <c r="R36" s="774" t="s">
        <v>17</v>
      </c>
      <c r="S36" s="775" t="e">
        <f t="shared" si="9"/>
        <v>#N/A</v>
      </c>
      <c r="T36" s="774" t="s">
        <v>17</v>
      </c>
      <c r="U36" s="775" t="e">
        <f t="shared" si="10"/>
        <v>#N/A</v>
      </c>
      <c r="V36" s="774" t="s">
        <v>17</v>
      </c>
      <c r="W36" s="775" t="e">
        <f t="shared" si="11"/>
        <v>#N/A</v>
      </c>
      <c r="X36" s="1816"/>
      <c r="Y36" s="3205"/>
      <c r="Z36" s="1817" t="str">
        <f t="shared" si="12"/>
        <v>成新度</v>
      </c>
      <c r="AA36" s="1814" t="e">
        <f t="shared" si="3"/>
        <v>#N/A</v>
      </c>
      <c r="AB36" s="1814" t="e">
        <f t="shared" si="4"/>
        <v>#N/A</v>
      </c>
      <c r="AC36" s="1814"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3"/>
      <c r="Q37" s="1798" t="str">
        <f t="shared" si="8"/>
        <v>市政基础设施</v>
      </c>
      <c r="R37" s="770" t="s">
        <v>17</v>
      </c>
      <c r="S37" s="771">
        <f t="shared" si="9"/>
        <v>100</v>
      </c>
      <c r="T37" s="770" t="s">
        <v>17</v>
      </c>
      <c r="U37" s="771">
        <f t="shared" si="10"/>
        <v>100</v>
      </c>
      <c r="V37" s="770" t="s">
        <v>17</v>
      </c>
      <c r="W37" s="771">
        <f t="shared" si="11"/>
        <v>100</v>
      </c>
      <c r="X37" s="772"/>
      <c r="Y37" s="3205"/>
      <c r="Z37" s="55" t="str">
        <f t="shared" si="12"/>
        <v>市政基础设施</v>
      </c>
      <c r="AA37" s="773">
        <f t="shared" si="3"/>
        <v>1</v>
      </c>
      <c r="AB37" s="773">
        <f t="shared" si="4"/>
        <v>1</v>
      </c>
      <c r="AC37" s="773">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3" t="s">
        <v>2547</v>
      </c>
      <c r="Q38" s="1813" t="str">
        <f t="shared" si="8"/>
        <v>业态</v>
      </c>
      <c r="R38" s="774" t="s">
        <v>17</v>
      </c>
      <c r="S38" s="775">
        <f t="shared" si="9"/>
        <v>100</v>
      </c>
      <c r="T38" s="774" t="s">
        <v>17</v>
      </c>
      <c r="U38" s="775">
        <f t="shared" si="10"/>
        <v>100</v>
      </c>
      <c r="V38" s="774" t="s">
        <v>17</v>
      </c>
      <c r="W38" s="775">
        <f t="shared" si="11"/>
        <v>100</v>
      </c>
      <c r="X38" s="1816"/>
      <c r="Y38" s="3205" t="s">
        <v>2547</v>
      </c>
      <c r="Z38" s="1817" t="str">
        <f t="shared" si="12"/>
        <v>业态</v>
      </c>
      <c r="AA38" s="1814">
        <f t="shared" si="3"/>
        <v>1</v>
      </c>
      <c r="AB38" s="1814">
        <f t="shared" si="4"/>
        <v>1</v>
      </c>
      <c r="AC38" s="1814">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3"/>
      <c r="Q39" s="1813" t="str">
        <f t="shared" si="8"/>
        <v>层高</v>
      </c>
      <c r="R39" s="774" t="s">
        <v>17</v>
      </c>
      <c r="S39" s="775">
        <f t="shared" si="9"/>
        <v>100</v>
      </c>
      <c r="T39" s="774" t="s">
        <v>17</v>
      </c>
      <c r="U39" s="775">
        <f t="shared" si="10"/>
        <v>100</v>
      </c>
      <c r="V39" s="774" t="s">
        <v>17</v>
      </c>
      <c r="W39" s="775">
        <f t="shared" si="11"/>
        <v>100</v>
      </c>
      <c r="X39" s="1816"/>
      <c r="Y39" s="3205"/>
      <c r="Z39" s="1817" t="str">
        <f t="shared" si="12"/>
        <v>层高</v>
      </c>
      <c r="AA39" s="1814">
        <f t="shared" si="3"/>
        <v>1</v>
      </c>
      <c r="AB39" s="1814">
        <f t="shared" si="4"/>
        <v>1</v>
      </c>
      <c r="AC39" s="1814">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3"/>
      <c r="Q40" s="1813" t="str">
        <f t="shared" si="8"/>
        <v>单套建筑面积</v>
      </c>
      <c r="R40" s="774" t="s">
        <v>17</v>
      </c>
      <c r="S40" s="775">
        <f t="shared" si="9"/>
        <v>100</v>
      </c>
      <c r="T40" s="774" t="s">
        <v>17</v>
      </c>
      <c r="U40" s="775">
        <f t="shared" si="10"/>
        <v>100</v>
      </c>
      <c r="V40" s="774" t="s">
        <v>17</v>
      </c>
      <c r="W40" s="775">
        <f t="shared" si="11"/>
        <v>100</v>
      </c>
      <c r="X40" s="1816"/>
      <c r="Y40" s="3205"/>
      <c r="Z40" s="1817" t="str">
        <f t="shared" si="12"/>
        <v>单套建筑面积</v>
      </c>
      <c r="AA40" s="1814">
        <f t="shared" si="3"/>
        <v>1</v>
      </c>
      <c r="AB40" s="1814">
        <f t="shared" si="4"/>
        <v>1</v>
      </c>
      <c r="AC40" s="1814">
        <f t="shared" si="5"/>
        <v>1</v>
      </c>
    </row>
    <row r="41" spans="1:29" s="471" customFormat="1" ht="15">
      <c r="A41" s="468"/>
      <c r="B41" s="1815"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3"/>
      <c r="Q41" s="776" t="str">
        <f t="shared" si="8"/>
        <v>进深比</v>
      </c>
      <c r="R41" s="777" t="s">
        <v>17</v>
      </c>
      <c r="S41" s="778">
        <f t="shared" si="9"/>
        <v>100</v>
      </c>
      <c r="T41" s="777" t="s">
        <v>17</v>
      </c>
      <c r="U41" s="778">
        <f t="shared" si="10"/>
        <v>100</v>
      </c>
      <c r="V41" s="777" t="s">
        <v>17</v>
      </c>
      <c r="W41" s="778">
        <f t="shared" si="11"/>
        <v>100</v>
      </c>
      <c r="X41" s="779"/>
      <c r="Y41" s="3205"/>
      <c r="Z41" s="780" t="str">
        <f t="shared" si="12"/>
        <v>进深比</v>
      </c>
      <c r="AA41" s="1814">
        <f t="shared" si="3"/>
        <v>1</v>
      </c>
      <c r="AB41" s="1814">
        <f t="shared" si="4"/>
        <v>1</v>
      </c>
      <c r="AC41" s="1814">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3"/>
      <c r="Q42" s="1813" t="str">
        <f t="shared" si="8"/>
        <v>内部装修</v>
      </c>
      <c r="R42" s="774" t="s">
        <v>17</v>
      </c>
      <c r="S42" s="775">
        <f t="shared" si="9"/>
        <v>100</v>
      </c>
      <c r="T42" s="774" t="s">
        <v>17</v>
      </c>
      <c r="U42" s="775">
        <f t="shared" si="10"/>
        <v>100</v>
      </c>
      <c r="V42" s="774" t="s">
        <v>17</v>
      </c>
      <c r="W42" s="775">
        <f t="shared" si="11"/>
        <v>100</v>
      </c>
      <c r="X42" s="1816"/>
      <c r="Y42" s="3205"/>
      <c r="Z42" s="1817" t="str">
        <f t="shared" si="12"/>
        <v>内部装修</v>
      </c>
      <c r="AA42" s="1814">
        <f t="shared" si="3"/>
        <v>1</v>
      </c>
      <c r="AB42" s="1814">
        <f t="shared" si="4"/>
        <v>1</v>
      </c>
      <c r="AC42" s="1814">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3"/>
      <c r="Q43" s="1813" t="str">
        <f t="shared" si="8"/>
        <v>内部装修维护情况</v>
      </c>
      <c r="R43" s="774" t="s">
        <v>17</v>
      </c>
      <c r="S43" s="775">
        <f t="shared" si="9"/>
        <v>100</v>
      </c>
      <c r="T43" s="774" t="s">
        <v>17</v>
      </c>
      <c r="U43" s="775">
        <f t="shared" si="10"/>
        <v>100</v>
      </c>
      <c r="V43" s="774" t="s">
        <v>17</v>
      </c>
      <c r="W43" s="775">
        <f t="shared" si="11"/>
        <v>100</v>
      </c>
      <c r="X43" s="1816"/>
      <c r="Y43" s="3205"/>
      <c r="Z43" s="1817" t="str">
        <f t="shared" si="12"/>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3"/>
      <c r="Q44" s="1798">
        <f t="shared" si="8"/>
        <v>111</v>
      </c>
      <c r="R44" s="770" t="s">
        <v>17</v>
      </c>
      <c r="S44" s="771">
        <f t="shared" si="9"/>
        <v>100</v>
      </c>
      <c r="T44" s="770" t="s">
        <v>17</v>
      </c>
      <c r="U44" s="771">
        <f t="shared" si="10"/>
        <v>100</v>
      </c>
      <c r="V44" s="770" t="s">
        <v>17</v>
      </c>
      <c r="W44" s="771">
        <f t="shared" si="11"/>
        <v>100</v>
      </c>
      <c r="X44" s="772"/>
      <c r="Y44" s="3205"/>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3"/>
      <c r="Q45" s="1813">
        <f t="shared" si="8"/>
        <v>111</v>
      </c>
      <c r="R45" s="774" t="s">
        <v>17</v>
      </c>
      <c r="S45" s="775">
        <f t="shared" si="9"/>
        <v>100</v>
      </c>
      <c r="T45" s="774" t="s">
        <v>17</v>
      </c>
      <c r="U45" s="775">
        <f t="shared" si="10"/>
        <v>100</v>
      </c>
      <c r="V45" s="774" t="s">
        <v>17</v>
      </c>
      <c r="W45" s="775">
        <f t="shared" si="11"/>
        <v>100</v>
      </c>
      <c r="X45" s="1816"/>
      <c r="Y45" s="3205"/>
      <c r="Z45" s="1817">
        <f t="shared" si="12"/>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4"/>
      <c r="Q46" s="1813">
        <f t="shared" si="8"/>
        <v>111</v>
      </c>
      <c r="R46" s="774" t="s">
        <v>17</v>
      </c>
      <c r="S46" s="775">
        <f t="shared" si="9"/>
        <v>100</v>
      </c>
      <c r="T46" s="774" t="s">
        <v>17</v>
      </c>
      <c r="U46" s="775">
        <f t="shared" si="10"/>
        <v>100</v>
      </c>
      <c r="V46" s="774" t="s">
        <v>17</v>
      </c>
      <c r="W46" s="775">
        <f t="shared" si="11"/>
        <v>100</v>
      </c>
      <c r="X46" s="1816"/>
      <c r="Y46" s="3206"/>
      <c r="Z46" s="1817">
        <f t="shared" si="12"/>
        <v>111</v>
      </c>
      <c r="AA46" s="1814">
        <f t="shared" si="3"/>
        <v>1</v>
      </c>
      <c r="AB46" s="1814">
        <f t="shared" si="4"/>
        <v>1</v>
      </c>
      <c r="AC46" s="1814">
        <f t="shared" si="5"/>
        <v>1</v>
      </c>
    </row>
    <row r="47" spans="1:29" ht="15">
      <c r="A47" s="479" t="s">
        <v>2559</v>
      </c>
      <c r="B47" s="480"/>
      <c r="C47" s="1410" t="s">
        <v>1</v>
      </c>
      <c r="D47" s="1411"/>
      <c r="E47" s="1412"/>
      <c r="F47" s="1413"/>
      <c r="G47" s="1414"/>
      <c r="H47" s="1415"/>
      <c r="I47" s="1412"/>
      <c r="J47" s="1415"/>
      <c r="K47" s="783"/>
      <c r="L47" s="1146"/>
      <c r="M47" s="1147"/>
      <c r="N47" s="1134"/>
      <c r="O47" s="1147"/>
      <c r="P47" s="3198" t="str">
        <f>A47</f>
        <v>成交单价（元/平方米）</v>
      </c>
      <c r="Q47" s="3198"/>
      <c r="R47" s="3229">
        <f>E47</f>
        <v>0</v>
      </c>
      <c r="S47" s="3229"/>
      <c r="T47" s="3229">
        <f>G47</f>
        <v>0</v>
      </c>
      <c r="U47" s="3229"/>
      <c r="V47" s="3229">
        <f>I47</f>
        <v>0</v>
      </c>
      <c r="W47" s="3229"/>
      <c r="X47" s="759"/>
      <c r="Y47" s="781"/>
      <c r="Z47" s="759"/>
      <c r="AA47" s="759"/>
      <c r="AB47" s="759"/>
      <c r="AC47" s="759"/>
    </row>
    <row r="48" spans="1:29" ht="15.75" thickBot="1">
      <c r="A48" s="486" t="s">
        <v>2651</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2652</v>
      </c>
      <c r="B49" s="493"/>
      <c r="C49" s="1420" t="e">
        <f>R49</f>
        <v>#DIV/0!</v>
      </c>
      <c r="D49" s="1420"/>
      <c r="E49" s="1420"/>
      <c r="F49" s="1420"/>
      <c r="G49" s="1420"/>
      <c r="H49" s="1420"/>
      <c r="I49" s="1420"/>
      <c r="J49" s="1420"/>
      <c r="K49" s="785"/>
      <c r="L49" s="1146"/>
      <c r="M49" s="1147"/>
      <c r="N49" s="1134"/>
      <c r="O49" s="1147"/>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2530</v>
      </c>
      <c r="B58" s="506"/>
      <c r="C58" s="1577" t="str">
        <f>YEAR(C7)&amp;"-"&amp;MONTH(C7)</f>
        <v>2019-1</v>
      </c>
      <c r="D58" s="1578">
        <f>EDATE(C58,-1)</f>
        <v>43435</v>
      </c>
      <c r="E58" s="1578">
        <f t="shared" ref="E58:N58" si="13">EDATE(D58,-1)</f>
        <v>43405</v>
      </c>
      <c r="F58" s="1578">
        <f t="shared" si="13"/>
        <v>43374</v>
      </c>
      <c r="G58" s="1578">
        <f t="shared" si="13"/>
        <v>43344</v>
      </c>
      <c r="H58" s="1578">
        <f t="shared" si="13"/>
        <v>43313</v>
      </c>
      <c r="I58" s="1578">
        <f t="shared" si="13"/>
        <v>43282</v>
      </c>
      <c r="J58" s="1578">
        <f t="shared" si="13"/>
        <v>43252</v>
      </c>
      <c r="K58" s="1578">
        <f t="shared" si="13"/>
        <v>43221</v>
      </c>
      <c r="L58" s="1578">
        <f t="shared" si="13"/>
        <v>43191</v>
      </c>
      <c r="M58" s="1578">
        <f t="shared" si="13"/>
        <v>43160</v>
      </c>
      <c r="N58" s="1578">
        <f t="shared" si="13"/>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2570</v>
      </c>
      <c r="B63" s="528" t="s">
        <v>2536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5"/>
      <c r="N82" s="1156"/>
      <c r="O82" s="1156"/>
      <c r="P82" s="263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2545</v>
      </c>
      <c r="B100" s="528" t="s">
        <v>2663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0"/>
      <c r="Q101" s="504"/>
    </row>
    <row r="102" spans="1:17" ht="15.75" thickTop="1">
      <c r="A102" s="534"/>
      <c r="B102" s="538" t="s">
        <v>2595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2596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0"/>
      <c r="Q106" s="504"/>
    </row>
    <row r="107" spans="1:17" ht="15" thickTop="1">
      <c r="A107" s="599"/>
      <c r="B107" s="538" t="s">
        <v>2598</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0"/>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0"/>
      <c r="Q111" s="504"/>
    </row>
    <row r="112" spans="1:17" s="471" customFormat="1" ht="15" thickTop="1">
      <c r="A112" s="593"/>
      <c r="B112" s="538" t="s">
        <v>2600</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1"/>
      <c r="Q113" s="559"/>
    </row>
    <row r="114" spans="1:17" ht="15" thickTop="1">
      <c r="A114" s="599"/>
      <c r="B114" s="538" t="s">
        <v>2664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0"/>
      <c r="Q115" s="504"/>
    </row>
    <row r="116" spans="1:17" ht="15" thickTop="1">
      <c r="A116" s="599"/>
      <c r="B116" s="538" t="s">
        <v>2665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2666</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2667</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1"/>
      <c r="Q121" s="559"/>
    </row>
    <row r="122" spans="1:17" ht="15" thickTop="1">
      <c r="A122" s="599"/>
      <c r="B122" s="538" t="s">
        <v>2602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69" t="s">
        <v>2668</v>
      </c>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IF(C2="——",ROUND(C50*D3/10000,0),ROUND(C50*D3/10000,0)-D2)</f>
        <v>#DIV/0!</v>
      </c>
      <c r="C2" s="2586"/>
      <c r="D2" s="1368" t="e">
        <f ca="1">SUMIF(INDIRECT("'"&amp;F2&amp;"'"&amp;"!A:A"),"承租人权益价值",INDIRECT("'"&amp;F2&amp;"'"&amp;"!c:c"))</f>
        <v>#REF!</v>
      </c>
      <c r="E2" s="2587" t="s">
        <v>2310</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 ca="1">IF(C2="——",C50,ROUND(B2*10000/D3,0))</f>
        <v>#DIV/0!</v>
      </c>
      <c r="C3" s="400" t="s">
        <v>2626</v>
      </c>
      <c r="D3" s="399">
        <f>IF(D1="",'数据-汇总表'!E3,SUMIF('数据-汇总表'!$C19:$C33,D1,'数据-汇总表'!$E19:$E33))</f>
        <v>26146.04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47" t="s">
        <v>2633</v>
      </c>
      <c r="Q4" s="3248"/>
      <c r="R4" s="3251" t="s">
        <v>2629</v>
      </c>
      <c r="S4" s="3252"/>
      <c r="T4" s="3251" t="s">
        <v>2630</v>
      </c>
      <c r="U4" s="3252"/>
      <c r="V4" s="3253" t="s">
        <v>2631</v>
      </c>
      <c r="W4" s="3253"/>
      <c r="X4" s="2670"/>
      <c r="Y4" s="3251" t="s">
        <v>2633</v>
      </c>
      <c r="Z4" s="3252"/>
      <c r="AA4" s="3255" t="s">
        <v>2629</v>
      </c>
      <c r="AB4" s="3255" t="s">
        <v>2630</v>
      </c>
      <c r="AC4" s="3244" t="s">
        <v>2631</v>
      </c>
    </row>
    <row r="5" spans="1:29" ht="15">
      <c r="A5" s="404"/>
      <c r="B5" s="405"/>
      <c r="C5" s="3232" t="s">
        <v>2524</v>
      </c>
      <c r="D5" s="3233"/>
      <c r="E5" s="3239" t="s">
        <v>2525</v>
      </c>
      <c r="F5" s="3240"/>
      <c r="G5" s="3232" t="s">
        <v>2526</v>
      </c>
      <c r="H5" s="3233"/>
      <c r="I5" s="3232" t="s">
        <v>2527</v>
      </c>
      <c r="J5" s="3233"/>
      <c r="K5" s="610"/>
      <c r="L5" s="1133"/>
      <c r="M5" s="1134"/>
      <c r="N5" s="1134"/>
      <c r="O5" s="1134"/>
      <c r="P5" s="3249"/>
      <c r="Q5" s="3220"/>
      <c r="R5" s="3225"/>
      <c r="S5" s="3226"/>
      <c r="T5" s="3225"/>
      <c r="U5" s="3226"/>
      <c r="V5" s="3229"/>
      <c r="W5" s="3229"/>
      <c r="X5" s="1816"/>
      <c r="Y5" s="3225"/>
      <c r="Z5" s="3226"/>
      <c r="AA5" s="3211"/>
      <c r="AB5" s="3211"/>
      <c r="AC5" s="3245"/>
    </row>
    <row r="6" spans="1:29" ht="15.75" thickBot="1">
      <c r="A6" s="406"/>
      <c r="B6" s="407"/>
      <c r="C6" s="3230" t="s">
        <v>2528</v>
      </c>
      <c r="D6" s="3231"/>
      <c r="E6" s="3237" t="s">
        <v>2528</v>
      </c>
      <c r="F6" s="3238"/>
      <c r="G6" s="3230" t="s">
        <v>2528</v>
      </c>
      <c r="H6" s="3231"/>
      <c r="I6" s="3230" t="s">
        <v>2528</v>
      </c>
      <c r="J6" s="3231"/>
      <c r="K6" s="610" t="s">
        <v>2529</v>
      </c>
      <c r="L6" s="1133"/>
      <c r="M6" s="1134"/>
      <c r="N6" s="1134"/>
      <c r="O6" s="1134"/>
      <c r="P6" s="3250"/>
      <c r="Q6" s="3222"/>
      <c r="R6" s="3225"/>
      <c r="S6" s="3226"/>
      <c r="T6" s="3227"/>
      <c r="U6" s="3228"/>
      <c r="V6" s="3229"/>
      <c r="W6" s="3229"/>
      <c r="X6" s="1816"/>
      <c r="Y6" s="3227"/>
      <c r="Z6" s="3228"/>
      <c r="AA6" s="3212"/>
      <c r="AB6" s="3212"/>
      <c r="AC6" s="3246"/>
    </row>
    <row r="7" spans="1:29" s="117" customFormat="1" ht="15.75" thickBot="1">
      <c r="A7" s="408" t="s">
        <v>2530</v>
      </c>
      <c r="B7" s="409"/>
      <c r="C7" s="410">
        <f>'数据-取费表'!B2</f>
        <v>43485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2531</v>
      </c>
      <c r="Q7" s="3236"/>
      <c r="R7" s="770" t="s">
        <v>17</v>
      </c>
      <c r="S7" s="771">
        <f t="shared" ref="S7:S15" si="0">F7</f>
        <v>0</v>
      </c>
      <c r="T7" s="770" t="s">
        <v>17</v>
      </c>
      <c r="U7" s="771">
        <f t="shared" ref="U7:U15" si="1">H7</f>
        <v>0</v>
      </c>
      <c r="V7" s="770" t="s">
        <v>17</v>
      </c>
      <c r="W7" s="771">
        <f t="shared" ref="W7:W15" si="2">J7</f>
        <v>0</v>
      </c>
      <c r="X7" s="772"/>
      <c r="Y7" s="3234" t="s">
        <v>2531</v>
      </c>
      <c r="Z7" s="3235"/>
      <c r="AA7" s="773" t="e">
        <f>D7/F7</f>
        <v>#DIV/0!</v>
      </c>
      <c r="AB7" s="773"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2534</v>
      </c>
      <c r="Q8" s="3235"/>
      <c r="R8" s="770" t="s">
        <v>17</v>
      </c>
      <c r="S8" s="771">
        <f t="shared" si="0"/>
        <v>0</v>
      </c>
      <c r="T8" s="770" t="s">
        <v>17</v>
      </c>
      <c r="U8" s="771">
        <f t="shared" si="1"/>
        <v>0</v>
      </c>
      <c r="V8" s="770" t="s">
        <v>17</v>
      </c>
      <c r="W8" s="771">
        <f t="shared" si="2"/>
        <v>0</v>
      </c>
      <c r="X8" s="772"/>
      <c r="Y8" s="3234" t="s">
        <v>2534</v>
      </c>
      <c r="Z8" s="3235"/>
      <c r="AA8" s="773" t="e">
        <f t="shared" ref="AA8:AA47" si="3">D8/F8</f>
        <v>#DIV/0!</v>
      </c>
      <c r="AB8" s="773"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9"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9"/>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9"/>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1">
        <f t="shared" si="5"/>
        <v>1</v>
      </c>
    </row>
    <row r="15" spans="1:29" ht="15">
      <c r="A15" s="440" t="s">
        <v>2541</v>
      </c>
      <c r="B15" s="629" t="s">
        <v>2669</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7" t="s">
        <v>2542</v>
      </c>
      <c r="Q15" s="1813" t="str">
        <f t="shared" si="6"/>
        <v>办公集聚程度</v>
      </c>
      <c r="R15" s="774" t="s">
        <v>17</v>
      </c>
      <c r="S15" s="775">
        <f t="shared" si="0"/>
        <v>100</v>
      </c>
      <c r="T15" s="774" t="s">
        <v>17</v>
      </c>
      <c r="U15" s="775">
        <f t="shared" si="1"/>
        <v>100</v>
      </c>
      <c r="V15" s="774" t="s">
        <v>17</v>
      </c>
      <c r="W15" s="775">
        <f t="shared" si="2"/>
        <v>100</v>
      </c>
      <c r="X15" s="1816"/>
      <c r="Y15" s="3200" t="s">
        <v>2542</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08"/>
      <c r="Q16" s="1813"/>
      <c r="R16" s="774"/>
      <c r="S16" s="775"/>
      <c r="T16" s="774"/>
      <c r="U16" s="775"/>
      <c r="V16" s="774"/>
      <c r="W16" s="775"/>
      <c r="X16" s="1816"/>
      <c r="Y16" s="3201"/>
      <c r="Z16" s="1817"/>
      <c r="AA16" s="1814">
        <v>1</v>
      </c>
      <c r="AB16" s="1814">
        <v>1</v>
      </c>
      <c r="AC16" s="2674">
        <v>1</v>
      </c>
    </row>
    <row r="17" spans="1:29" ht="15">
      <c r="A17" s="428"/>
      <c r="B17" s="631" t="s">
        <v>2084</v>
      </c>
      <c r="C17" s="267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8"/>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08"/>
      <c r="Q18" s="1813"/>
      <c r="R18" s="774"/>
      <c r="S18" s="775"/>
      <c r="T18" s="774"/>
      <c r="U18" s="775"/>
      <c r="V18" s="774"/>
      <c r="W18" s="775"/>
      <c r="X18" s="1816"/>
      <c r="Y18" s="3201"/>
      <c r="Z18" s="1817"/>
      <c r="AA18" s="1814">
        <v>1</v>
      </c>
      <c r="AB18" s="1814">
        <v>1</v>
      </c>
      <c r="AC18" s="2674">
        <v>1</v>
      </c>
    </row>
    <row r="19" spans="1:29" ht="15">
      <c r="A19" s="428"/>
      <c r="B19" s="631" t="s">
        <v>2670</v>
      </c>
      <c r="C19" s="267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08"/>
      <c r="Q20" s="1813"/>
      <c r="R20" s="774"/>
      <c r="S20" s="775"/>
      <c r="T20" s="774"/>
      <c r="U20" s="775"/>
      <c r="V20" s="774"/>
      <c r="W20" s="775"/>
      <c r="X20" s="1816"/>
      <c r="Y20" s="3201"/>
      <c r="Z20" s="1817"/>
      <c r="AA20" s="1814">
        <v>1</v>
      </c>
      <c r="AB20" s="1814">
        <v>1</v>
      </c>
      <c r="AC20" s="2674">
        <v>1</v>
      </c>
    </row>
    <row r="21" spans="1:29" ht="15">
      <c r="A21" s="428"/>
      <c r="B21" s="633" t="s">
        <v>2671</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D21/F21</f>
        <v>1</v>
      </c>
      <c r="AB21" s="1814">
        <f>D21/H21</f>
        <v>1</v>
      </c>
      <c r="AC21" s="2674">
        <f>D21/J21</f>
        <v>1</v>
      </c>
    </row>
    <row r="22" spans="1:29" ht="15">
      <c r="A22" s="428"/>
      <c r="B22" s="633"/>
      <c r="C22" s="2676"/>
      <c r="D22" s="448"/>
      <c r="E22" s="447"/>
      <c r="F22" s="448"/>
      <c r="G22" s="2611"/>
      <c r="H22" s="448"/>
      <c r="I22" s="2611"/>
      <c r="J22" s="448"/>
      <c r="K22" s="1386"/>
      <c r="L22" s="1143"/>
      <c r="M22" s="1134"/>
      <c r="N22" s="1134"/>
      <c r="O22" s="1134"/>
      <c r="P22" s="3208"/>
      <c r="Q22" s="1813"/>
      <c r="R22" s="774"/>
      <c r="S22" s="775"/>
      <c r="T22" s="774"/>
      <c r="U22" s="775"/>
      <c r="V22" s="774"/>
      <c r="W22" s="775"/>
      <c r="X22" s="1816"/>
      <c r="Y22" s="3201"/>
      <c r="Z22" s="1817"/>
      <c r="AA22" s="1814">
        <v>1</v>
      </c>
      <c r="AB22" s="1814">
        <v>1</v>
      </c>
      <c r="AC22" s="2674">
        <v>1</v>
      </c>
    </row>
    <row r="23" spans="1:29" ht="15">
      <c r="A23" s="428"/>
      <c r="B23" s="631" t="s">
        <v>2672</v>
      </c>
      <c r="C23" s="267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8"/>
      <c r="Q23" s="1813" t="str">
        <f>B23</f>
        <v>环境质量</v>
      </c>
      <c r="R23" s="774" t="s">
        <v>17</v>
      </c>
      <c r="S23" s="775">
        <f>F23</f>
        <v>100</v>
      </c>
      <c r="T23" s="774" t="s">
        <v>17</v>
      </c>
      <c r="U23" s="775">
        <f>H23</f>
        <v>100</v>
      </c>
      <c r="V23" s="774" t="s">
        <v>17</v>
      </c>
      <c r="W23" s="775">
        <f>J23</f>
        <v>100</v>
      </c>
      <c r="X23" s="1816"/>
      <c r="Y23" s="3201"/>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08"/>
      <c r="Q24" s="1813"/>
      <c r="R24" s="774"/>
      <c r="S24" s="775"/>
      <c r="T24" s="774"/>
      <c r="U24" s="775"/>
      <c r="V24" s="774"/>
      <c r="W24" s="775"/>
      <c r="X24" s="1816"/>
      <c r="Y24" s="3201"/>
      <c r="Z24" s="1817"/>
      <c r="AA24" s="1814">
        <v>1</v>
      </c>
      <c r="AB24" s="1814">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8"/>
      <c r="Q25" s="1813" t="str">
        <f>B25</f>
        <v>毗邻道路的类型与等级</v>
      </c>
      <c r="R25" s="774" t="s">
        <v>17</v>
      </c>
      <c r="S25" s="775">
        <f>F25</f>
        <v>100</v>
      </c>
      <c r="T25" s="774" t="s">
        <v>17</v>
      </c>
      <c r="U25" s="775">
        <f>H25</f>
        <v>100</v>
      </c>
      <c r="V25" s="774" t="s">
        <v>17</v>
      </c>
      <c r="W25" s="775">
        <f>J25</f>
        <v>100</v>
      </c>
      <c r="X25" s="1816"/>
      <c r="Y25" s="3201"/>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08"/>
      <c r="Q26" s="1813"/>
      <c r="R26" s="774"/>
      <c r="S26" s="775"/>
      <c r="T26" s="774"/>
      <c r="U26" s="775"/>
      <c r="V26" s="774"/>
      <c r="W26" s="775"/>
      <c r="X26" s="1816"/>
      <c r="Y26" s="3201"/>
      <c r="Z26" s="1817"/>
      <c r="AA26" s="1814">
        <v>1</v>
      </c>
      <c r="AB26" s="1814">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8"/>
      <c r="Q27" s="1813" t="str">
        <f t="shared" ref="Q27:Q47" si="8">B27</f>
        <v>楼层</v>
      </c>
      <c r="R27" s="774" t="s">
        <v>17</v>
      </c>
      <c r="S27" s="775">
        <f>F27</f>
        <v>100</v>
      </c>
      <c r="T27" s="774" t="s">
        <v>17</v>
      </c>
      <c r="U27" s="775">
        <f>H27</f>
        <v>100</v>
      </c>
      <c r="V27" s="774" t="s">
        <v>17</v>
      </c>
      <c r="W27" s="775">
        <f>J27</f>
        <v>100</v>
      </c>
      <c r="X27" s="1816"/>
      <c r="Y27" s="3201"/>
      <c r="Z27" s="1817" t="str">
        <f>Q27</f>
        <v>楼层</v>
      </c>
      <c r="AA27" s="1814">
        <f t="shared" si="3"/>
        <v>1</v>
      </c>
      <c r="AB27" s="1814">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08"/>
      <c r="Q28" s="1798" t="str">
        <f t="shared" si="8"/>
        <v>朝向</v>
      </c>
      <c r="R28" s="770" t="s">
        <v>17</v>
      </c>
      <c r="S28" s="771">
        <f>F28</f>
        <v>100</v>
      </c>
      <c r="T28" s="770" t="s">
        <v>17</v>
      </c>
      <c r="U28" s="771">
        <f>H28</f>
        <v>100</v>
      </c>
      <c r="V28" s="770" t="s">
        <v>17</v>
      </c>
      <c r="W28" s="771">
        <f>J28</f>
        <v>100</v>
      </c>
      <c r="X28" s="772"/>
      <c r="Y28" s="3201"/>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08"/>
      <c r="Q29" s="1813">
        <f t="shared" si="8"/>
        <v>111</v>
      </c>
      <c r="R29" s="774" t="s">
        <v>17</v>
      </c>
      <c r="S29" s="775">
        <f t="shared" ref="S29:S47" si="9">F29</f>
        <v>100</v>
      </c>
      <c r="T29" s="774" t="s">
        <v>17</v>
      </c>
      <c r="U29" s="775">
        <f t="shared" ref="U29:U47" si="10">H29</f>
        <v>100</v>
      </c>
      <c r="V29" s="774" t="s">
        <v>17</v>
      </c>
      <c r="W29" s="775">
        <f t="shared" ref="W29:W47" si="11">J29</f>
        <v>100</v>
      </c>
      <c r="X29" s="1816"/>
      <c r="Y29" s="3201"/>
      <c r="Z29" s="1817">
        <f t="shared" ref="Z29:Z47" si="12">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08"/>
      <c r="Q30" s="1813">
        <f t="shared" si="8"/>
        <v>111</v>
      </c>
      <c r="R30" s="774" t="s">
        <v>17</v>
      </c>
      <c r="S30" s="775">
        <f t="shared" si="9"/>
        <v>100</v>
      </c>
      <c r="T30" s="774" t="s">
        <v>17</v>
      </c>
      <c r="U30" s="775">
        <f t="shared" si="10"/>
        <v>100</v>
      </c>
      <c r="V30" s="774" t="s">
        <v>17</v>
      </c>
      <c r="W30" s="775">
        <f t="shared" si="11"/>
        <v>100</v>
      </c>
      <c r="X30" s="1816"/>
      <c r="Y30" s="3201"/>
      <c r="Z30" s="1817">
        <f t="shared" si="12"/>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08"/>
      <c r="Q31" s="1813">
        <f t="shared" si="8"/>
        <v>111</v>
      </c>
      <c r="R31" s="774" t="s">
        <v>17</v>
      </c>
      <c r="S31" s="775">
        <f t="shared" si="9"/>
        <v>100</v>
      </c>
      <c r="T31" s="774" t="s">
        <v>17</v>
      </c>
      <c r="U31" s="775">
        <f t="shared" si="10"/>
        <v>100</v>
      </c>
      <c r="V31" s="774" t="s">
        <v>17</v>
      </c>
      <c r="W31" s="775">
        <f t="shared" si="11"/>
        <v>100</v>
      </c>
      <c r="X31" s="1816"/>
      <c r="Y31" s="3201"/>
      <c r="Z31" s="1817">
        <f t="shared" si="12"/>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08"/>
      <c r="Q32" s="1813">
        <f t="shared" si="8"/>
        <v>111</v>
      </c>
      <c r="R32" s="774" t="s">
        <v>17</v>
      </c>
      <c r="S32" s="775">
        <f t="shared" si="9"/>
        <v>100</v>
      </c>
      <c r="T32" s="774" t="s">
        <v>17</v>
      </c>
      <c r="U32" s="775">
        <f t="shared" si="10"/>
        <v>100</v>
      </c>
      <c r="V32" s="774" t="s">
        <v>17</v>
      </c>
      <c r="W32" s="775">
        <f t="shared" si="11"/>
        <v>100</v>
      </c>
      <c r="X32" s="1816"/>
      <c r="Y32" s="3201"/>
      <c r="Z32" s="1817">
        <f t="shared" si="12"/>
        <v>111</v>
      </c>
      <c r="AA32" s="1814">
        <f t="shared" si="3"/>
        <v>1</v>
      </c>
      <c r="AB32" s="1814">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02" t="s">
        <v>2547</v>
      </c>
      <c r="Q33" s="1813" t="str">
        <f t="shared" si="8"/>
        <v>建筑类型</v>
      </c>
      <c r="R33" s="774" t="s">
        <v>17</v>
      </c>
      <c r="S33" s="775">
        <f t="shared" si="9"/>
        <v>100</v>
      </c>
      <c r="T33" s="774" t="s">
        <v>17</v>
      </c>
      <c r="U33" s="775">
        <f t="shared" si="10"/>
        <v>100</v>
      </c>
      <c r="V33" s="774" t="s">
        <v>17</v>
      </c>
      <c r="W33" s="775">
        <f t="shared" si="11"/>
        <v>100</v>
      </c>
      <c r="X33" s="1816"/>
      <c r="Y33" s="3205" t="s">
        <v>2547</v>
      </c>
      <c r="Z33" s="1817" t="str">
        <f t="shared" si="12"/>
        <v>建筑类型</v>
      </c>
      <c r="AA33" s="1814">
        <f t="shared" si="3"/>
        <v>1</v>
      </c>
      <c r="AB33" s="1814">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3"/>
      <c r="Q34" s="776" t="str">
        <f t="shared" si="8"/>
        <v>项目建筑规模</v>
      </c>
      <c r="R34" s="777" t="s">
        <v>17</v>
      </c>
      <c r="S34" s="778" t="e">
        <f t="shared" si="9"/>
        <v>#N/A</v>
      </c>
      <c r="T34" s="777" t="s">
        <v>17</v>
      </c>
      <c r="U34" s="778" t="e">
        <f t="shared" si="10"/>
        <v>#N/A</v>
      </c>
      <c r="V34" s="777" t="s">
        <v>17</v>
      </c>
      <c r="W34" s="778" t="e">
        <f t="shared" si="11"/>
        <v>#N/A</v>
      </c>
      <c r="X34" s="779"/>
      <c r="Y34" s="3205"/>
      <c r="Z34" s="780" t="str">
        <f t="shared" si="12"/>
        <v>项目建筑规模</v>
      </c>
      <c r="AA34" s="1814" t="e">
        <f t="shared" si="3"/>
        <v>#N/A</v>
      </c>
      <c r="AB34" s="1814"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3"/>
      <c r="Q35" s="1813" t="str">
        <f t="shared" si="8"/>
        <v>建筑结构</v>
      </c>
      <c r="R35" s="774" t="s">
        <v>17</v>
      </c>
      <c r="S35" s="775">
        <f t="shared" si="9"/>
        <v>100</v>
      </c>
      <c r="T35" s="774" t="s">
        <v>17</v>
      </c>
      <c r="U35" s="775">
        <f t="shared" si="10"/>
        <v>100</v>
      </c>
      <c r="V35" s="774" t="s">
        <v>17</v>
      </c>
      <c r="W35" s="775">
        <f t="shared" si="11"/>
        <v>100</v>
      </c>
      <c r="X35" s="1816"/>
      <c r="Y35" s="3205"/>
      <c r="Z35" s="1817" t="str">
        <f t="shared" si="12"/>
        <v>建筑结构</v>
      </c>
      <c r="AA35" s="1814">
        <f t="shared" si="3"/>
        <v>1</v>
      </c>
      <c r="AB35" s="1814">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3"/>
      <c r="Q36" s="1813" t="str">
        <f t="shared" si="8"/>
        <v>公共部分装修</v>
      </c>
      <c r="R36" s="774" t="s">
        <v>17</v>
      </c>
      <c r="S36" s="775">
        <f t="shared" si="9"/>
        <v>100</v>
      </c>
      <c r="T36" s="774" t="s">
        <v>17</v>
      </c>
      <c r="U36" s="775">
        <f t="shared" si="10"/>
        <v>100</v>
      </c>
      <c r="V36" s="774" t="s">
        <v>17</v>
      </c>
      <c r="W36" s="775">
        <f t="shared" si="11"/>
        <v>100</v>
      </c>
      <c r="X36" s="1816"/>
      <c r="Y36" s="3205"/>
      <c r="Z36" s="1817" t="str">
        <f t="shared" si="12"/>
        <v>公共部分装修</v>
      </c>
      <c r="AA36" s="1814">
        <f t="shared" si="3"/>
        <v>1</v>
      </c>
      <c r="AB36" s="1814">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3"/>
      <c r="Q37" s="1813" t="str">
        <f t="shared" si="8"/>
        <v>成新度</v>
      </c>
      <c r="R37" s="774" t="s">
        <v>17</v>
      </c>
      <c r="S37" s="775" t="e">
        <f t="shared" si="9"/>
        <v>#N/A</v>
      </c>
      <c r="T37" s="774" t="s">
        <v>17</v>
      </c>
      <c r="U37" s="775" t="e">
        <f t="shared" si="10"/>
        <v>#N/A</v>
      </c>
      <c r="V37" s="774" t="s">
        <v>17</v>
      </c>
      <c r="W37" s="775" t="e">
        <f t="shared" si="11"/>
        <v>#N/A</v>
      </c>
      <c r="X37" s="1816"/>
      <c r="Y37" s="3205"/>
      <c r="Z37" s="1817" t="str">
        <f t="shared" si="12"/>
        <v>成新度</v>
      </c>
      <c r="AA37" s="1814" t="e">
        <f t="shared" si="3"/>
        <v>#N/A</v>
      </c>
      <c r="AB37" s="1814"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3"/>
      <c r="Q38" s="1798" t="str">
        <f t="shared" si="8"/>
        <v>写字楼等级</v>
      </c>
      <c r="R38" s="770" t="s">
        <v>17</v>
      </c>
      <c r="S38" s="771">
        <f t="shared" si="9"/>
        <v>100</v>
      </c>
      <c r="T38" s="770" t="s">
        <v>17</v>
      </c>
      <c r="U38" s="771">
        <f t="shared" si="10"/>
        <v>100</v>
      </c>
      <c r="V38" s="770" t="s">
        <v>17</v>
      </c>
      <c r="W38" s="771">
        <f t="shared" si="11"/>
        <v>100</v>
      </c>
      <c r="X38" s="772"/>
      <c r="Y38" s="3205"/>
      <c r="Z38" s="55" t="str">
        <f t="shared" si="12"/>
        <v>写字楼等级</v>
      </c>
      <c r="AA38" s="773">
        <f t="shared" si="3"/>
        <v>1</v>
      </c>
      <c r="AB38" s="773">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3" t="s">
        <v>2547</v>
      </c>
      <c r="Q39" s="1813" t="str">
        <f t="shared" si="8"/>
        <v>物业管理</v>
      </c>
      <c r="R39" s="774" t="s">
        <v>17</v>
      </c>
      <c r="S39" s="775">
        <f t="shared" si="9"/>
        <v>100</v>
      </c>
      <c r="T39" s="774" t="s">
        <v>17</v>
      </c>
      <c r="U39" s="775">
        <f t="shared" si="10"/>
        <v>100</v>
      </c>
      <c r="V39" s="774" t="s">
        <v>17</v>
      </c>
      <c r="W39" s="775">
        <f t="shared" si="11"/>
        <v>100</v>
      </c>
      <c r="X39" s="1816"/>
      <c r="Y39" s="3205" t="s">
        <v>2547</v>
      </c>
      <c r="Z39" s="1817" t="str">
        <f t="shared" si="12"/>
        <v>物业管理</v>
      </c>
      <c r="AA39" s="1814">
        <f t="shared" si="3"/>
        <v>1</v>
      </c>
      <c r="AB39" s="1814">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3"/>
      <c r="Q40" s="1813" t="str">
        <f t="shared" si="8"/>
        <v>市政基础设施</v>
      </c>
      <c r="R40" s="774" t="s">
        <v>17</v>
      </c>
      <c r="S40" s="775">
        <f t="shared" si="9"/>
        <v>100</v>
      </c>
      <c r="T40" s="774" t="s">
        <v>17</v>
      </c>
      <c r="U40" s="775">
        <f t="shared" si="10"/>
        <v>100</v>
      </c>
      <c r="V40" s="774" t="s">
        <v>17</v>
      </c>
      <c r="W40" s="775">
        <f t="shared" si="11"/>
        <v>100</v>
      </c>
      <c r="X40" s="1816"/>
      <c r="Y40" s="3205"/>
      <c r="Z40" s="1817" t="str">
        <f t="shared" si="12"/>
        <v>市政基础设施</v>
      </c>
      <c r="AA40" s="1814">
        <f t="shared" si="3"/>
        <v>1</v>
      </c>
      <c r="AB40" s="1814">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3"/>
      <c r="Q41" s="1813" t="str">
        <f t="shared" si="8"/>
        <v>层高</v>
      </c>
      <c r="R41" s="774" t="s">
        <v>17</v>
      </c>
      <c r="S41" s="775">
        <f t="shared" si="9"/>
        <v>100</v>
      </c>
      <c r="T41" s="774" t="s">
        <v>17</v>
      </c>
      <c r="U41" s="775">
        <f t="shared" si="10"/>
        <v>100</v>
      </c>
      <c r="V41" s="774" t="s">
        <v>17</v>
      </c>
      <c r="W41" s="775">
        <f t="shared" si="11"/>
        <v>100</v>
      </c>
      <c r="X41" s="1816"/>
      <c r="Y41" s="3205"/>
      <c r="Z41" s="1817" t="str">
        <f t="shared" si="12"/>
        <v>层高</v>
      </c>
      <c r="AA41" s="1814">
        <f t="shared" si="3"/>
        <v>1</v>
      </c>
      <c r="AB41" s="1814">
        <f t="shared" si="4"/>
        <v>1</v>
      </c>
      <c r="AC41" s="2674">
        <f t="shared" si="5"/>
        <v>1</v>
      </c>
    </row>
    <row r="42" spans="1:29" s="471" customFormat="1" ht="15">
      <c r="A42" s="468"/>
      <c r="B42" s="1815"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3"/>
      <c r="Q42" s="776" t="str">
        <f t="shared" si="8"/>
        <v>单套建筑面积</v>
      </c>
      <c r="R42" s="777" t="s">
        <v>17</v>
      </c>
      <c r="S42" s="778">
        <f t="shared" si="9"/>
        <v>100</v>
      </c>
      <c r="T42" s="777" t="s">
        <v>17</v>
      </c>
      <c r="U42" s="778">
        <f t="shared" si="10"/>
        <v>100</v>
      </c>
      <c r="V42" s="777" t="s">
        <v>17</v>
      </c>
      <c r="W42" s="778">
        <f t="shared" si="11"/>
        <v>100</v>
      </c>
      <c r="X42" s="779"/>
      <c r="Y42" s="3205"/>
      <c r="Z42" s="780" t="str">
        <f t="shared" si="12"/>
        <v>单套建筑面积</v>
      </c>
      <c r="AA42" s="1814">
        <f t="shared" si="3"/>
        <v>1</v>
      </c>
      <c r="AB42" s="1814">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3"/>
      <c r="Q43" s="1813" t="str">
        <f t="shared" si="8"/>
        <v>内部装修</v>
      </c>
      <c r="R43" s="774" t="s">
        <v>17</v>
      </c>
      <c r="S43" s="775">
        <f t="shared" si="9"/>
        <v>100</v>
      </c>
      <c r="T43" s="774" t="s">
        <v>17</v>
      </c>
      <c r="U43" s="775">
        <f t="shared" si="10"/>
        <v>100</v>
      </c>
      <c r="V43" s="774" t="s">
        <v>17</v>
      </c>
      <c r="W43" s="775">
        <f t="shared" si="11"/>
        <v>100</v>
      </c>
      <c r="X43" s="1816"/>
      <c r="Y43" s="3205"/>
      <c r="Z43" s="1817" t="str">
        <f t="shared" si="12"/>
        <v>内部装修</v>
      </c>
      <c r="AA43" s="1814">
        <f t="shared" si="3"/>
        <v>1</v>
      </c>
      <c r="AB43" s="1814">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3"/>
      <c r="Q44" s="1813" t="str">
        <f t="shared" si="8"/>
        <v>内部装修维护情况</v>
      </c>
      <c r="R44" s="774" t="s">
        <v>17</v>
      </c>
      <c r="S44" s="775">
        <f t="shared" si="9"/>
        <v>100</v>
      </c>
      <c r="T44" s="774" t="s">
        <v>17</v>
      </c>
      <c r="U44" s="775">
        <f t="shared" si="10"/>
        <v>100</v>
      </c>
      <c r="V44" s="774" t="s">
        <v>17</v>
      </c>
      <c r="W44" s="775">
        <f t="shared" si="11"/>
        <v>100</v>
      </c>
      <c r="X44" s="1816"/>
      <c r="Y44" s="3205"/>
      <c r="Z44" s="1817" t="str">
        <f t="shared" si="12"/>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3"/>
      <c r="Q45" s="1798">
        <f t="shared" si="8"/>
        <v>111</v>
      </c>
      <c r="R45" s="770" t="s">
        <v>17</v>
      </c>
      <c r="S45" s="771">
        <f t="shared" si="9"/>
        <v>100</v>
      </c>
      <c r="T45" s="770" t="s">
        <v>17</v>
      </c>
      <c r="U45" s="771">
        <f t="shared" si="10"/>
        <v>100</v>
      </c>
      <c r="V45" s="770" t="s">
        <v>17</v>
      </c>
      <c r="W45" s="771">
        <f t="shared" si="11"/>
        <v>100</v>
      </c>
      <c r="X45" s="772"/>
      <c r="Y45" s="3205"/>
      <c r="Z45" s="55">
        <f t="shared" si="12"/>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3"/>
      <c r="Q46" s="1813">
        <f t="shared" si="8"/>
        <v>111</v>
      </c>
      <c r="R46" s="774" t="s">
        <v>17</v>
      </c>
      <c r="S46" s="775">
        <f t="shared" si="9"/>
        <v>100</v>
      </c>
      <c r="T46" s="774" t="s">
        <v>17</v>
      </c>
      <c r="U46" s="775">
        <f t="shared" si="10"/>
        <v>100</v>
      </c>
      <c r="V46" s="774" t="s">
        <v>17</v>
      </c>
      <c r="W46" s="775">
        <f t="shared" si="11"/>
        <v>100</v>
      </c>
      <c r="X46" s="1816"/>
      <c r="Y46" s="3205"/>
      <c r="Z46" s="1817">
        <f t="shared" si="12"/>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4"/>
      <c r="Q47" s="1813">
        <f t="shared" si="8"/>
        <v>111</v>
      </c>
      <c r="R47" s="774" t="s">
        <v>17</v>
      </c>
      <c r="S47" s="775">
        <f t="shared" si="9"/>
        <v>100</v>
      </c>
      <c r="T47" s="774" t="s">
        <v>17</v>
      </c>
      <c r="U47" s="775">
        <f t="shared" si="10"/>
        <v>100</v>
      </c>
      <c r="V47" s="774" t="s">
        <v>17</v>
      </c>
      <c r="W47" s="775">
        <f t="shared" si="11"/>
        <v>100</v>
      </c>
      <c r="X47" s="1816"/>
      <c r="Y47" s="3206"/>
      <c r="Z47" s="1817">
        <f t="shared" si="12"/>
        <v>111</v>
      </c>
      <c r="AA47" s="1814">
        <f t="shared" si="3"/>
        <v>1</v>
      </c>
      <c r="AB47" s="1814">
        <f t="shared" si="4"/>
        <v>1</v>
      </c>
      <c r="AC47" s="2674">
        <f t="shared" si="5"/>
        <v>1</v>
      </c>
    </row>
    <row r="48" spans="1:29" ht="15">
      <c r="A48" s="479" t="s">
        <v>2559</v>
      </c>
      <c r="B48" s="480"/>
      <c r="C48" s="1410" t="s">
        <v>1</v>
      </c>
      <c r="D48" s="1411"/>
      <c r="E48" s="1412"/>
      <c r="F48" s="1413"/>
      <c r="G48" s="1414"/>
      <c r="H48" s="1415"/>
      <c r="I48" s="1412"/>
      <c r="J48" s="485"/>
      <c r="K48" s="783"/>
      <c r="L48" s="1146"/>
      <c r="M48" s="1134"/>
      <c r="N48" s="1134"/>
      <c r="O48" s="1134"/>
      <c r="P48" s="3209" t="str">
        <f>A48</f>
        <v>成交单价（元/平方米）</v>
      </c>
      <c r="Q48" s="3198"/>
      <c r="R48" s="3199">
        <f>E48</f>
        <v>0</v>
      </c>
      <c r="S48" s="3199"/>
      <c r="T48" s="3199">
        <f>G48</f>
        <v>0</v>
      </c>
      <c r="U48" s="3199"/>
      <c r="V48" s="3199">
        <f>I48</f>
        <v>0</v>
      </c>
      <c r="W48" s="3199"/>
      <c r="X48" s="446"/>
      <c r="Y48" s="781"/>
      <c r="Z48" s="446"/>
      <c r="AA48" s="446"/>
      <c r="AB48" s="446"/>
      <c r="AC48" s="630"/>
    </row>
    <row r="49" spans="1:29" ht="15.75" thickBot="1">
      <c r="A49" s="486" t="s">
        <v>2651</v>
      </c>
      <c r="B49" s="487"/>
      <c r="C49" s="1416" t="e">
        <f>R50</f>
        <v>#DIV/0!</v>
      </c>
      <c r="D49" s="1417"/>
      <c r="E49" s="1418" t="e">
        <f>R49</f>
        <v>#DIV/0!</v>
      </c>
      <c r="F49" s="1418"/>
      <c r="G49" s="1416" t="e">
        <f>T49</f>
        <v>#DIV/0!</v>
      </c>
      <c r="H49" s="1417"/>
      <c r="I49" s="1418" t="e">
        <f>V49</f>
        <v>#DIV/0!</v>
      </c>
      <c r="J49" s="489"/>
      <c r="K49" s="784"/>
      <c r="L49" s="1146"/>
      <c r="M49" s="1134"/>
      <c r="N49" s="1134"/>
      <c r="O49" s="1134"/>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2652</v>
      </c>
      <c r="B50" s="493"/>
      <c r="C50" s="1420" t="e">
        <f>R50</f>
        <v>#DIV/0!</v>
      </c>
      <c r="D50" s="1420"/>
      <c r="E50" s="1420"/>
      <c r="F50" s="1420"/>
      <c r="G50" s="1420"/>
      <c r="H50" s="1420"/>
      <c r="I50" s="1420"/>
      <c r="J50" s="494"/>
      <c r="K50" s="785"/>
      <c r="L50" s="1146"/>
      <c r="M50" s="1134"/>
      <c r="N50" s="1134"/>
      <c r="O50" s="1134"/>
      <c r="P50" s="3241" t="str">
        <f>A50</f>
        <v>估价对象XX用房的比较价值（楼面单价，元/平方米）</v>
      </c>
      <c r="Q50" s="3242"/>
      <c r="R50" s="3243" t="e">
        <f>IF(F1="售价",ROUND(AVERAGE(R49:V49),0),ROUND(AVERAGE(R49:V49),1))</f>
        <v>#DIV/0!</v>
      </c>
      <c r="S50" s="3243"/>
      <c r="T50" s="3243"/>
      <c r="U50" s="3243"/>
      <c r="V50" s="3243"/>
      <c r="W50" s="3243"/>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2656</v>
      </c>
      <c r="B58" s="759"/>
      <c r="C58" s="764"/>
      <c r="D58" s="764"/>
      <c r="E58" s="764"/>
      <c r="F58" s="765"/>
      <c r="G58" s="765"/>
      <c r="H58" s="764"/>
      <c r="I58" s="764"/>
      <c r="J58" s="764"/>
      <c r="K58" s="766"/>
      <c r="L58" s="1164"/>
      <c r="M58" s="1162"/>
      <c r="N58" s="1162"/>
      <c r="O58" s="1162"/>
      <c r="P58" s="2681"/>
      <c r="Q58" s="504"/>
    </row>
    <row r="59" spans="1:29" s="508" customFormat="1" ht="15">
      <c r="A59" s="505" t="s">
        <v>2530</v>
      </c>
      <c r="B59" s="506"/>
      <c r="C59" s="1577" t="str">
        <f>YEAR(C7)&amp;"-"&amp;MONTH(C7)</f>
        <v>2019-1</v>
      </c>
      <c r="D59" s="1578">
        <f>EDATE(C59,-1)</f>
        <v>43435</v>
      </c>
      <c r="E59" s="1578">
        <f>EDATE(D59,-1)</f>
        <v>43405</v>
      </c>
      <c r="F59" s="1578">
        <f t="shared" ref="F59:O59" si="13">EDATE(E59,-1)</f>
        <v>43374</v>
      </c>
      <c r="G59" s="1578">
        <f t="shared" si="13"/>
        <v>43344</v>
      </c>
      <c r="H59" s="1578">
        <f t="shared" si="13"/>
        <v>43313</v>
      </c>
      <c r="I59" s="1578">
        <f t="shared" si="13"/>
        <v>43282</v>
      </c>
      <c r="J59" s="1578">
        <f t="shared" si="13"/>
        <v>43252</v>
      </c>
      <c r="K59" s="1578">
        <f t="shared" si="13"/>
        <v>43221</v>
      </c>
      <c r="L59" s="1578">
        <f t="shared" si="13"/>
        <v>43191</v>
      </c>
      <c r="M59" s="1578">
        <f t="shared" si="13"/>
        <v>43160</v>
      </c>
      <c r="N59" s="1578">
        <f t="shared" si="13"/>
        <v>43132</v>
      </c>
      <c r="O59" s="1578">
        <f t="shared" si="13"/>
        <v>43101</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2570</v>
      </c>
      <c r="B64" s="528" t="s">
        <v>2536</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2681</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2545</v>
      </c>
      <c r="B101" s="528" t="s">
        <v>2594</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4"/>
      <c r="Q102" s="504"/>
    </row>
    <row r="103" spans="1:17" ht="15.75" thickTop="1">
      <c r="A103" s="534"/>
      <c r="B103" s="538" t="s">
        <v>2595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2596</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4"/>
      <c r="Q107" s="504"/>
    </row>
    <row r="108" spans="1:17" ht="15" thickTop="1">
      <c r="A108" s="599"/>
      <c r="B108" s="538" t="s">
        <v>2598</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4"/>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4"/>
      <c r="Q112" s="504"/>
    </row>
    <row r="113" spans="1:17" s="471" customFormat="1" ht="15" thickTop="1">
      <c r="A113" s="593"/>
      <c r="B113" s="538" t="s">
        <v>2682</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5"/>
      <c r="Q114" s="559"/>
    </row>
    <row r="115" spans="1:17" ht="15" thickTop="1">
      <c r="A115" s="599"/>
      <c r="B115" s="538" t="s">
        <v>2599</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4"/>
      <c r="Q116" s="504"/>
    </row>
    <row r="117" spans="1:17" ht="15" thickTop="1">
      <c r="A117" s="599"/>
      <c r="B117" s="538" t="s">
        <v>2600</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2683</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4"/>
      <c r="Q120" s="504"/>
    </row>
    <row r="121" spans="1:17" s="471" customFormat="1" ht="15" thickTop="1">
      <c r="A121" s="593"/>
      <c r="B121" s="538" t="s">
        <v>2666</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2602</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69" t="s">
        <v>2684</v>
      </c>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IF(C2="——",ROUND(C43*D3/10000,0),ROUND(C43*D3/10000,0)-D2)</f>
        <v>#DIV/0!</v>
      </c>
      <c r="C2" s="2586"/>
      <c r="D2" s="1127" t="e">
        <f ca="1">SUMIF(INDIRECT("'"&amp;F2&amp;"'"&amp;"!A:A"),"承租人权益价值",INDIRECT("'"&amp;F2&amp;"'"&amp;"!c:c"))</f>
        <v>#REF!</v>
      </c>
      <c r="E2" s="2587" t="s">
        <v>2310</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2311</v>
      </c>
      <c r="B3" s="609" t="e">
        <f ca="1">IF(C2="——",C43,ROUND(B2*10000/D3,0))</f>
        <v>#DIV/0!</v>
      </c>
      <c r="C3" s="400" t="s">
        <v>2626</v>
      </c>
      <c r="D3" s="399">
        <f>IF(D1="",'数据-汇总表'!E3,SUMIF('数据-汇总表'!$C19:$C33,D1,'数据-汇总表'!$E19:$E33))</f>
        <v>26146.04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11" t="s">
        <v>2630</v>
      </c>
      <c r="AC4" s="3210" t="s">
        <v>2631</v>
      </c>
    </row>
    <row r="5" spans="1:29"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11"/>
      <c r="AC5" s="3211"/>
    </row>
    <row r="6" spans="1:29" ht="15.75" thickBot="1">
      <c r="A6" s="406"/>
      <c r="B6" s="407"/>
      <c r="C6" s="3230" t="s">
        <v>2528</v>
      </c>
      <c r="D6" s="3231"/>
      <c r="E6" s="3237" t="s">
        <v>2528</v>
      </c>
      <c r="F6" s="3238"/>
      <c r="G6" s="3230" t="s">
        <v>2528</v>
      </c>
      <c r="H6" s="3231"/>
      <c r="I6" s="3230" t="s">
        <v>2528</v>
      </c>
      <c r="J6" s="3231"/>
      <c r="K6" s="610" t="s">
        <v>2529</v>
      </c>
      <c r="L6" s="1133"/>
      <c r="M6" s="1134"/>
      <c r="N6" s="1134"/>
      <c r="O6" s="1134"/>
      <c r="P6" s="3221"/>
      <c r="Q6" s="3222"/>
      <c r="R6" s="3225"/>
      <c r="S6" s="3226"/>
      <c r="T6" s="3227"/>
      <c r="U6" s="3228"/>
      <c r="V6" s="3229"/>
      <c r="W6" s="3229"/>
      <c r="X6" s="1816"/>
      <c r="Y6" s="3227"/>
      <c r="Z6" s="3228"/>
      <c r="AA6" s="3212"/>
      <c r="AB6" s="3212"/>
      <c r="AC6" s="3212"/>
    </row>
    <row r="7" spans="1:29" s="117" customFormat="1" ht="15.75" thickBot="1">
      <c r="A7" s="408" t="s">
        <v>2530</v>
      </c>
      <c r="B7" s="409"/>
      <c r="C7" s="410">
        <f>'数据-取费表'!B2</f>
        <v>43485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4" t="s">
        <v>2531</v>
      </c>
      <c r="Q7" s="3236"/>
      <c r="R7" s="770" t="s">
        <v>17</v>
      </c>
      <c r="S7" s="771">
        <f t="shared" ref="S7:S15" si="0">F7</f>
        <v>0</v>
      </c>
      <c r="T7" s="770" t="s">
        <v>17</v>
      </c>
      <c r="U7" s="771">
        <f t="shared" ref="U7:U15" si="1">H7</f>
        <v>0</v>
      </c>
      <c r="V7" s="770" t="s">
        <v>17</v>
      </c>
      <c r="W7" s="771">
        <f t="shared" ref="W7:W15" si="2">J7</f>
        <v>0</v>
      </c>
      <c r="X7" s="772"/>
      <c r="Y7" s="3234" t="s">
        <v>2531</v>
      </c>
      <c r="Z7" s="3235"/>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8"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15">
      <c r="A15" s="440" t="s">
        <v>2541</v>
      </c>
      <c r="B15" s="69" t="s">
        <v>2685</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2542</v>
      </c>
      <c r="Q15" s="1813" t="str">
        <f t="shared" si="6"/>
        <v>产业集聚程度</v>
      </c>
      <c r="R15" s="774" t="s">
        <v>17</v>
      </c>
      <c r="S15" s="775">
        <f t="shared" si="0"/>
        <v>100</v>
      </c>
      <c r="T15" s="774" t="s">
        <v>17</v>
      </c>
      <c r="U15" s="775">
        <f t="shared" si="1"/>
        <v>100</v>
      </c>
      <c r="V15" s="774" t="s">
        <v>17</v>
      </c>
      <c r="W15" s="775">
        <f t="shared" si="2"/>
        <v>100</v>
      </c>
      <c r="X15" s="1816"/>
      <c r="Y15" s="3200" t="s">
        <v>2542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1"/>
      <c r="Q16" s="1813"/>
      <c r="R16" s="774"/>
      <c r="S16" s="775"/>
      <c r="T16" s="774"/>
      <c r="U16" s="775"/>
      <c r="V16" s="774"/>
      <c r="W16" s="775"/>
      <c r="X16" s="1816"/>
      <c r="Y16" s="3201"/>
      <c r="Z16" s="1817"/>
      <c r="AA16" s="1814">
        <v>1</v>
      </c>
      <c r="AB16" s="1814">
        <v>1</v>
      </c>
      <c r="AC16" s="1814">
        <v>1</v>
      </c>
    </row>
    <row r="17" spans="1:29" ht="15">
      <c r="A17" s="428"/>
      <c r="B17" s="451" t="s">
        <v>2084</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201"/>
      <c r="Q18" s="1813"/>
      <c r="R18" s="774"/>
      <c r="S18" s="775"/>
      <c r="T18" s="774"/>
      <c r="U18" s="775"/>
      <c r="V18" s="774"/>
      <c r="W18" s="775"/>
      <c r="X18" s="1816"/>
      <c r="Y18" s="3201"/>
      <c r="Z18" s="1817"/>
      <c r="AA18" s="1814">
        <v>1</v>
      </c>
      <c r="AB18" s="1814">
        <v>1</v>
      </c>
      <c r="AC18" s="1814">
        <v>1</v>
      </c>
    </row>
    <row r="19" spans="1:29" ht="15">
      <c r="A19" s="428"/>
      <c r="B19" s="451" t="s">
        <v>2670</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201"/>
      <c r="Q20" s="1813"/>
      <c r="R20" s="774"/>
      <c r="S20" s="775"/>
      <c r="T20" s="774"/>
      <c r="U20" s="775"/>
      <c r="V20" s="774"/>
      <c r="W20" s="775"/>
      <c r="X20" s="1816"/>
      <c r="Y20" s="3201"/>
      <c r="Z20" s="1817"/>
      <c r="AA20" s="1814">
        <v>1</v>
      </c>
      <c r="AB20" s="1814">
        <v>1</v>
      </c>
      <c r="AC20" s="1814">
        <v>1</v>
      </c>
    </row>
    <row r="21" spans="1:29" ht="15">
      <c r="A21" s="428"/>
      <c r="B21" s="1387" t="s">
        <v>2671</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D21/F21</f>
        <v>1</v>
      </c>
      <c r="AB21" s="1814">
        <f>D21/H21</f>
        <v>1</v>
      </c>
      <c r="AC21" s="1814">
        <f>D21/J21</f>
        <v>1</v>
      </c>
    </row>
    <row r="22" spans="1:29" ht="15">
      <c r="A22" s="428"/>
      <c r="B22" s="1387"/>
      <c r="C22" s="2608"/>
      <c r="D22" s="448"/>
      <c r="E22" s="447"/>
      <c r="F22" s="449"/>
      <c r="G22" s="447"/>
      <c r="H22" s="448"/>
      <c r="I22" s="447"/>
      <c r="J22" s="448"/>
      <c r="K22" s="1386"/>
      <c r="L22" s="1143"/>
      <c r="M22" s="1134"/>
      <c r="N22" s="1134"/>
      <c r="O22" s="1142"/>
      <c r="P22" s="3201"/>
      <c r="Q22" s="1813"/>
      <c r="R22" s="774"/>
      <c r="S22" s="775"/>
      <c r="T22" s="774"/>
      <c r="U22" s="775"/>
      <c r="V22" s="774"/>
      <c r="W22" s="775"/>
      <c r="X22" s="1816"/>
      <c r="Y22" s="3201"/>
      <c r="Z22" s="1817"/>
      <c r="AA22" s="1814">
        <v>1</v>
      </c>
      <c r="AB22" s="1814">
        <v>1</v>
      </c>
      <c r="AC22" s="1814">
        <v>1</v>
      </c>
    </row>
    <row r="23" spans="1:29" ht="15">
      <c r="A23" s="428"/>
      <c r="B23" s="451" t="s">
        <v>2672</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3" t="str">
        <f>B23</f>
        <v>环境质量</v>
      </c>
      <c r="R23" s="774" t="s">
        <v>17</v>
      </c>
      <c r="S23" s="775">
        <f>F23</f>
        <v>100</v>
      </c>
      <c r="T23" s="774" t="s">
        <v>17</v>
      </c>
      <c r="U23" s="775">
        <f>H23</f>
        <v>100</v>
      </c>
      <c r="V23" s="774" t="s">
        <v>17</v>
      </c>
      <c r="W23" s="775">
        <f>J23</f>
        <v>100</v>
      </c>
      <c r="X23" s="1816"/>
      <c r="Y23" s="3201"/>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201"/>
      <c r="Q24" s="1813"/>
      <c r="R24" s="774"/>
      <c r="S24" s="775"/>
      <c r="T24" s="774"/>
      <c r="U24" s="775"/>
      <c r="V24" s="774"/>
      <c r="W24" s="775"/>
      <c r="X24" s="1816"/>
      <c r="Y24" s="320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3">
        <f>B25</f>
        <v>111</v>
      </c>
      <c r="R25" s="774" t="s">
        <v>17</v>
      </c>
      <c r="S25" s="775">
        <f>F25</f>
        <v>100</v>
      </c>
      <c r="T25" s="774" t="s">
        <v>17</v>
      </c>
      <c r="U25" s="775">
        <f>H25</f>
        <v>100</v>
      </c>
      <c r="V25" s="774" t="s">
        <v>17</v>
      </c>
      <c r="W25" s="775">
        <f>J25</f>
        <v>100</v>
      </c>
      <c r="X25" s="1816"/>
      <c r="Y25" s="320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3">
        <f t="shared" ref="Q26:Q40" si="8">B26</f>
        <v>111</v>
      </c>
      <c r="R26" s="774" t="s">
        <v>17</v>
      </c>
      <c r="S26" s="775">
        <f>F26</f>
        <v>100</v>
      </c>
      <c r="T26" s="774" t="s">
        <v>17</v>
      </c>
      <c r="U26" s="775">
        <f>H26</f>
        <v>100</v>
      </c>
      <c r="V26" s="774" t="s">
        <v>17</v>
      </c>
      <c r="W26" s="775">
        <f>J26</f>
        <v>100</v>
      </c>
      <c r="X26" s="1816"/>
      <c r="Y26" s="320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8">
        <f t="shared" si="8"/>
        <v>111</v>
      </c>
      <c r="R27" s="770" t="s">
        <v>17</v>
      </c>
      <c r="S27" s="771">
        <f>F27</f>
        <v>100</v>
      </c>
      <c r="T27" s="770" t="s">
        <v>17</v>
      </c>
      <c r="U27" s="771">
        <f>H27</f>
        <v>100</v>
      </c>
      <c r="V27" s="770" t="s">
        <v>17</v>
      </c>
      <c r="W27" s="771">
        <f>J27</f>
        <v>100</v>
      </c>
      <c r="X27" s="772"/>
      <c r="Y27" s="320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3">
        <f t="shared" si="8"/>
        <v>111</v>
      </c>
      <c r="R28" s="774" t="s">
        <v>17</v>
      </c>
      <c r="S28" s="775">
        <f t="shared" ref="S28:S40" si="9">F28</f>
        <v>100</v>
      </c>
      <c r="T28" s="774" t="s">
        <v>17</v>
      </c>
      <c r="U28" s="775">
        <f t="shared" ref="U28:U40" si="10">H28</f>
        <v>100</v>
      </c>
      <c r="V28" s="774" t="s">
        <v>17</v>
      </c>
      <c r="W28" s="775">
        <f t="shared" ref="W28:W40" si="11">J28</f>
        <v>100</v>
      </c>
      <c r="X28" s="1816"/>
      <c r="Y28" s="3201"/>
      <c r="Z28" s="1817">
        <f t="shared" ref="Z28:Z40" si="12">Q28</f>
        <v>111</v>
      </c>
      <c r="AA28" s="1814">
        <f t="shared" si="3"/>
        <v>1</v>
      </c>
      <c r="AB28" s="1814">
        <f t="shared" si="4"/>
        <v>1</v>
      </c>
      <c r="AC28" s="1814">
        <f t="shared" si="5"/>
        <v>1</v>
      </c>
    </row>
    <row r="29" spans="1:29" ht="28.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6" t="s">
        <v>2547</v>
      </c>
      <c r="Q29" s="1813" t="str">
        <f t="shared" si="8"/>
        <v>建筑类型</v>
      </c>
      <c r="R29" s="774" t="s">
        <v>17</v>
      </c>
      <c r="S29" s="775">
        <f t="shared" si="9"/>
        <v>100</v>
      </c>
      <c r="T29" s="774" t="s">
        <v>17</v>
      </c>
      <c r="U29" s="775">
        <f t="shared" si="10"/>
        <v>100</v>
      </c>
      <c r="V29" s="774" t="s">
        <v>17</v>
      </c>
      <c r="W29" s="775">
        <f t="shared" si="11"/>
        <v>100</v>
      </c>
      <c r="X29" s="1816"/>
      <c r="Y29" s="3205" t="s">
        <v>2547</v>
      </c>
      <c r="Z29" s="1817" t="str">
        <f t="shared" si="12"/>
        <v>建筑类型</v>
      </c>
      <c r="AA29" s="1814">
        <f t="shared" si="3"/>
        <v>1</v>
      </c>
      <c r="AB29" s="1814">
        <f t="shared" si="4"/>
        <v>1</v>
      </c>
      <c r="AC29" s="1814">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5"/>
      <c r="Q30" s="776" t="str">
        <f t="shared" si="8"/>
        <v>项目建筑规模</v>
      </c>
      <c r="R30" s="777" t="s">
        <v>17</v>
      </c>
      <c r="S30" s="778" t="e">
        <f t="shared" si="9"/>
        <v>#N/A</v>
      </c>
      <c r="T30" s="777" t="s">
        <v>17</v>
      </c>
      <c r="U30" s="778" t="e">
        <f t="shared" si="10"/>
        <v>#N/A</v>
      </c>
      <c r="V30" s="777" t="s">
        <v>17</v>
      </c>
      <c r="W30" s="778" t="e">
        <f t="shared" si="11"/>
        <v>#N/A</v>
      </c>
      <c r="X30" s="779"/>
      <c r="Y30" s="3205"/>
      <c r="Z30" s="780" t="str">
        <f t="shared" si="12"/>
        <v>项目建筑规模</v>
      </c>
      <c r="AA30" s="1814" t="e">
        <f t="shared" si="3"/>
        <v>#N/A</v>
      </c>
      <c r="AB30" s="1814" t="e">
        <f t="shared" si="4"/>
        <v>#N/A</v>
      </c>
      <c r="AC30" s="1814"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5"/>
      <c r="Q31" s="1813" t="str">
        <f t="shared" si="8"/>
        <v>建筑结构</v>
      </c>
      <c r="R31" s="774" t="s">
        <v>17</v>
      </c>
      <c r="S31" s="775">
        <f t="shared" si="9"/>
        <v>100</v>
      </c>
      <c r="T31" s="774" t="s">
        <v>17</v>
      </c>
      <c r="U31" s="775">
        <f t="shared" si="10"/>
        <v>100</v>
      </c>
      <c r="V31" s="774" t="s">
        <v>17</v>
      </c>
      <c r="W31" s="775">
        <f t="shared" si="11"/>
        <v>100</v>
      </c>
      <c r="X31" s="1816"/>
      <c r="Y31" s="3205"/>
      <c r="Z31" s="1817" t="str">
        <f t="shared" si="12"/>
        <v>建筑结构</v>
      </c>
      <c r="AA31" s="1814">
        <f t="shared" si="3"/>
        <v>1</v>
      </c>
      <c r="AB31" s="1814">
        <f t="shared" si="4"/>
        <v>1</v>
      </c>
      <c r="AC31" s="1814">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5"/>
      <c r="Q32" s="1813" t="str">
        <f t="shared" si="8"/>
        <v>公共部分装修</v>
      </c>
      <c r="R32" s="774" t="s">
        <v>17</v>
      </c>
      <c r="S32" s="775">
        <f t="shared" si="9"/>
        <v>100</v>
      </c>
      <c r="T32" s="774" t="s">
        <v>17</v>
      </c>
      <c r="U32" s="775">
        <f t="shared" si="10"/>
        <v>100</v>
      </c>
      <c r="V32" s="774" t="s">
        <v>17</v>
      </c>
      <c r="W32" s="775">
        <f t="shared" si="11"/>
        <v>100</v>
      </c>
      <c r="X32" s="1816"/>
      <c r="Y32" s="3205"/>
      <c r="Z32" s="1817" t="str">
        <f t="shared" si="12"/>
        <v>公共部分装修</v>
      </c>
      <c r="AA32" s="1814">
        <f t="shared" si="3"/>
        <v>1</v>
      </c>
      <c r="AB32" s="1814">
        <f t="shared" si="4"/>
        <v>1</v>
      </c>
      <c r="AC32" s="1814">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5"/>
      <c r="Q33" s="1813" t="str">
        <f t="shared" si="8"/>
        <v>成新度</v>
      </c>
      <c r="R33" s="774" t="s">
        <v>17</v>
      </c>
      <c r="S33" s="775" t="e">
        <f t="shared" si="9"/>
        <v>#N/A</v>
      </c>
      <c r="T33" s="774" t="s">
        <v>17</v>
      </c>
      <c r="U33" s="775" t="e">
        <f t="shared" si="10"/>
        <v>#N/A</v>
      </c>
      <c r="V33" s="774" t="s">
        <v>17</v>
      </c>
      <c r="W33" s="775" t="e">
        <f t="shared" si="11"/>
        <v>#N/A</v>
      </c>
      <c r="X33" s="1816"/>
      <c r="Y33" s="3205"/>
      <c r="Z33" s="1817" t="str">
        <f t="shared" si="12"/>
        <v>成新度</v>
      </c>
      <c r="AA33" s="1814" t="e">
        <f t="shared" si="3"/>
        <v>#N/A</v>
      </c>
      <c r="AB33" s="1814" t="e">
        <f t="shared" si="4"/>
        <v>#N/A</v>
      </c>
      <c r="AC33" s="1814"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5"/>
      <c r="Q34" s="1798" t="str">
        <f t="shared" si="8"/>
        <v>物业管理</v>
      </c>
      <c r="R34" s="770" t="s">
        <v>17</v>
      </c>
      <c r="S34" s="771">
        <f t="shared" si="9"/>
        <v>100</v>
      </c>
      <c r="T34" s="770" t="s">
        <v>17</v>
      </c>
      <c r="U34" s="771">
        <f t="shared" si="10"/>
        <v>100</v>
      </c>
      <c r="V34" s="770" t="s">
        <v>17</v>
      </c>
      <c r="W34" s="771">
        <f t="shared" si="11"/>
        <v>100</v>
      </c>
      <c r="X34" s="772"/>
      <c r="Y34" s="3205"/>
      <c r="Z34" s="55" t="str">
        <f t="shared" si="12"/>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5" t="s">
        <v>2547</v>
      </c>
      <c r="Q35" s="1813" t="str">
        <f t="shared" si="8"/>
        <v>市政基础设施</v>
      </c>
      <c r="R35" s="774" t="s">
        <v>17</v>
      </c>
      <c r="S35" s="775">
        <f t="shared" si="9"/>
        <v>100</v>
      </c>
      <c r="T35" s="774" t="s">
        <v>17</v>
      </c>
      <c r="U35" s="775">
        <f t="shared" si="10"/>
        <v>100</v>
      </c>
      <c r="V35" s="774" t="s">
        <v>17</v>
      </c>
      <c r="W35" s="775">
        <f t="shared" si="11"/>
        <v>100</v>
      </c>
      <c r="X35" s="1816"/>
      <c r="Y35" s="3205" t="s">
        <v>2547</v>
      </c>
      <c r="Z35" s="1817" t="str">
        <f t="shared" si="12"/>
        <v>市政基础设施</v>
      </c>
      <c r="AA35" s="1814">
        <f t="shared" si="3"/>
        <v>1</v>
      </c>
      <c r="AB35" s="1814">
        <f t="shared" si="4"/>
        <v>1</v>
      </c>
      <c r="AC35" s="1814">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5"/>
      <c r="Q36" s="1813" t="str">
        <f t="shared" si="8"/>
        <v>内部装修</v>
      </c>
      <c r="R36" s="774" t="s">
        <v>17</v>
      </c>
      <c r="S36" s="775">
        <f t="shared" si="9"/>
        <v>100</v>
      </c>
      <c r="T36" s="774" t="s">
        <v>17</v>
      </c>
      <c r="U36" s="775">
        <f t="shared" si="10"/>
        <v>100</v>
      </c>
      <c r="V36" s="774" t="s">
        <v>17</v>
      </c>
      <c r="W36" s="775">
        <f t="shared" si="11"/>
        <v>100</v>
      </c>
      <c r="X36" s="1816"/>
      <c r="Y36" s="3205"/>
      <c r="Z36" s="1817" t="str">
        <f t="shared" si="12"/>
        <v>内部装修</v>
      </c>
      <c r="AA36" s="1814">
        <f t="shared" si="3"/>
        <v>1</v>
      </c>
      <c r="AB36" s="1814">
        <f t="shared" si="4"/>
        <v>1</v>
      </c>
      <c r="AC36" s="1814">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5"/>
      <c r="Q37" s="1813" t="str">
        <f t="shared" si="8"/>
        <v>内部装修状况</v>
      </c>
      <c r="R37" s="774" t="s">
        <v>17</v>
      </c>
      <c r="S37" s="775">
        <f t="shared" si="9"/>
        <v>100</v>
      </c>
      <c r="T37" s="774" t="s">
        <v>17</v>
      </c>
      <c r="U37" s="775">
        <f t="shared" si="10"/>
        <v>100</v>
      </c>
      <c r="V37" s="774" t="s">
        <v>17</v>
      </c>
      <c r="W37" s="775">
        <f t="shared" si="11"/>
        <v>100</v>
      </c>
      <c r="X37" s="1816"/>
      <c r="Y37" s="3205"/>
      <c r="Z37" s="1817" t="str">
        <f t="shared" si="12"/>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5"/>
      <c r="Q38" s="776">
        <f t="shared" si="8"/>
        <v>111</v>
      </c>
      <c r="R38" s="777" t="s">
        <v>17</v>
      </c>
      <c r="S38" s="778">
        <f t="shared" si="9"/>
        <v>100</v>
      </c>
      <c r="T38" s="777" t="s">
        <v>17</v>
      </c>
      <c r="U38" s="778">
        <f t="shared" si="10"/>
        <v>100</v>
      </c>
      <c r="V38" s="777" t="s">
        <v>17</v>
      </c>
      <c r="W38" s="778">
        <f t="shared" si="11"/>
        <v>100</v>
      </c>
      <c r="X38" s="779"/>
      <c r="Y38" s="3205"/>
      <c r="Z38" s="780">
        <f t="shared" si="12"/>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5"/>
      <c r="Q39" s="1813">
        <f t="shared" si="8"/>
        <v>111</v>
      </c>
      <c r="R39" s="774" t="s">
        <v>17</v>
      </c>
      <c r="S39" s="775">
        <f t="shared" si="9"/>
        <v>100</v>
      </c>
      <c r="T39" s="774" t="s">
        <v>17</v>
      </c>
      <c r="U39" s="775">
        <f t="shared" si="10"/>
        <v>100</v>
      </c>
      <c r="V39" s="774" t="s">
        <v>17</v>
      </c>
      <c r="W39" s="775">
        <f t="shared" si="11"/>
        <v>100</v>
      </c>
      <c r="X39" s="1816"/>
      <c r="Y39" s="3205"/>
      <c r="Z39" s="1817">
        <f t="shared" si="12"/>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6"/>
      <c r="Q40" s="1813">
        <f t="shared" si="8"/>
        <v>111</v>
      </c>
      <c r="R40" s="774" t="s">
        <v>17</v>
      </c>
      <c r="S40" s="775">
        <f t="shared" si="9"/>
        <v>100</v>
      </c>
      <c r="T40" s="774" t="s">
        <v>17</v>
      </c>
      <c r="U40" s="775">
        <f t="shared" si="10"/>
        <v>100</v>
      </c>
      <c r="V40" s="774" t="s">
        <v>17</v>
      </c>
      <c r="W40" s="775">
        <f t="shared" si="11"/>
        <v>100</v>
      </c>
      <c r="X40" s="1816"/>
      <c r="Y40" s="3206"/>
      <c r="Z40" s="1817">
        <f t="shared" si="12"/>
        <v>111</v>
      </c>
      <c r="AA40" s="1814">
        <f t="shared" si="3"/>
        <v>1</v>
      </c>
      <c r="AB40" s="1814">
        <f t="shared" si="4"/>
        <v>1</v>
      </c>
      <c r="AC40" s="1814">
        <f t="shared" si="5"/>
        <v>1</v>
      </c>
    </row>
    <row r="41" spans="1:29" ht="15">
      <c r="A41" s="479" t="s">
        <v>2559</v>
      </c>
      <c r="B41" s="480"/>
      <c r="C41" s="1410" t="s">
        <v>1</v>
      </c>
      <c r="D41" s="1411"/>
      <c r="E41" s="1412"/>
      <c r="F41" s="1413"/>
      <c r="G41" s="1414"/>
      <c r="H41" s="1415"/>
      <c r="I41" s="1412"/>
      <c r="J41" s="1415"/>
      <c r="K41" s="783"/>
      <c r="L41" s="1146"/>
      <c r="M41" s="1147"/>
      <c r="N41" s="1134"/>
      <c r="O41" s="1147"/>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2651</v>
      </c>
      <c r="B42" s="487"/>
      <c r="C42" s="1416" t="e">
        <f>R43</f>
        <v>#DIV/0!</v>
      </c>
      <c r="D42" s="1417"/>
      <c r="E42" s="1418" t="e">
        <f>R42</f>
        <v>#DIV/0!</v>
      </c>
      <c r="F42" s="1418"/>
      <c r="G42" s="1416" t="e">
        <f>T42</f>
        <v>#DIV/0!</v>
      </c>
      <c r="H42" s="1417"/>
      <c r="I42" s="1418" t="e">
        <f>V42</f>
        <v>#DIV/0!</v>
      </c>
      <c r="J42" s="1417"/>
      <c r="K42" s="784"/>
      <c r="L42" s="1146"/>
      <c r="M42" s="1147"/>
      <c r="N42" s="1134"/>
      <c r="O42" s="1147"/>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2652</v>
      </c>
      <c r="B43" s="493"/>
      <c r="C43" s="1420" t="e">
        <f>R43</f>
        <v>#DIV/0!</v>
      </c>
      <c r="D43" s="1420"/>
      <c r="E43" s="1420"/>
      <c r="F43" s="1420"/>
      <c r="G43" s="1420"/>
      <c r="H43" s="1420"/>
      <c r="I43" s="1420"/>
      <c r="J43" s="1420"/>
      <c r="K43" s="785"/>
      <c r="L43" s="1146"/>
      <c r="M43" s="1147"/>
      <c r="N43" s="1147"/>
      <c r="O43" s="1147"/>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2656</v>
      </c>
      <c r="B51" s="759"/>
      <c r="C51" s="764"/>
      <c r="D51" s="764"/>
      <c r="E51" s="764"/>
      <c r="F51" s="765"/>
      <c r="G51" s="765"/>
      <c r="H51" s="764"/>
      <c r="I51" s="764"/>
      <c r="J51" s="764"/>
      <c r="K51" s="1163"/>
      <c r="L51" s="1164"/>
      <c r="M51" s="1162"/>
      <c r="N51" s="1162"/>
      <c r="O51" s="1162"/>
      <c r="P51" s="503"/>
      <c r="Q51" s="504"/>
    </row>
    <row r="52" spans="1:17" s="508" customFormat="1" ht="15">
      <c r="A52" s="505" t="s">
        <v>2530</v>
      </c>
      <c r="B52" s="506"/>
      <c r="C52" s="1577" t="str">
        <f>YEAR(C7)&amp;"-"&amp;MONTH(C7)</f>
        <v>2019-1</v>
      </c>
      <c r="D52" s="1578">
        <f>EDATE(C52,-1)</f>
        <v>43435</v>
      </c>
      <c r="E52" s="1578">
        <f t="shared" ref="E52:O52" si="13">EDATE(D52,-1)</f>
        <v>43405</v>
      </c>
      <c r="F52" s="1578">
        <f t="shared" si="13"/>
        <v>43374</v>
      </c>
      <c r="G52" s="1578">
        <f t="shared" si="13"/>
        <v>43344</v>
      </c>
      <c r="H52" s="1578">
        <f t="shared" si="13"/>
        <v>43313</v>
      </c>
      <c r="I52" s="1578">
        <f t="shared" si="13"/>
        <v>43282</v>
      </c>
      <c r="J52" s="1578">
        <f t="shared" si="13"/>
        <v>43252</v>
      </c>
      <c r="K52" s="1578">
        <f t="shared" si="13"/>
        <v>43221</v>
      </c>
      <c r="L52" s="1578">
        <f t="shared" si="13"/>
        <v>43191</v>
      </c>
      <c r="M52" s="1578">
        <f t="shared" si="13"/>
        <v>43160</v>
      </c>
      <c r="N52" s="1578">
        <f t="shared" si="13"/>
        <v>43132</v>
      </c>
      <c r="O52" s="1578">
        <f t="shared" si="13"/>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2570</v>
      </c>
      <c r="B57" s="528" t="s">
        <v>2536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2545</v>
      </c>
      <c r="B88" s="528" t="s">
        <v>2594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2595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2598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2599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2600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2602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国瑞兴业（北京）实业股份有限公司：</v>
      </c>
    </row>
    <row r="4" spans="1:1" ht="36">
      <c r="A4" s="1951" t="str">
        <f>"受贵公司委托，我公司对"&amp;项目基本情况!S1&amp;"进行了预评估。"</f>
        <v>受贵公司委托，我公司对北京市东城区广渠门内大街35号房地产抵押价值进行了预评估。</v>
      </c>
    </row>
    <row r="5" spans="1:1" ht="18.75">
      <c r="A5" s="1952" t="s">
        <v>1608</v>
      </c>
    </row>
    <row r="6" spans="1:1" ht="18.75">
      <c r="A6" s="1953" t="s">
        <v>1609</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35号房地产，为国瑞兴业（北京）实业股份有限公司所有。根据《国有土地使用证》[京东国用（2011出）第00051号]，估价对象（分摊）出让国有建设用地使用权面积为4360.21平方米。根据《房屋所有权证》[X京房权证东字第042258号]，估价对象建筑面积为26146.04平方米。</v>
      </c>
    </row>
    <row r="8" spans="1:1" ht="57.75">
      <c r="A8" s="1954" t="s">
        <v>1610</v>
      </c>
    </row>
    <row r="9" spans="1:1" ht="18.75">
      <c r="A9" s="1953" t="s">
        <v>1611</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35号房地产,为国瑞兴业（北京）实业股份有限公司开发建设的商业项目，该项目尚在开发建设中。根据《国有土地使用证》[京东国用（2011出）第00051号]，估价对象（分摊）出让国有建设用地使用权面积为4360.21平方米。根据《房屋所有权证》[X京房权证东字第042258号]，估价对象规划建筑面积为26146.04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2019年1月20日（评估专业人员实地查勘之日）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20日，估价对象规划用途为商业，土地取得方式为出让，出让国有建设用地使用权剩余土地使用年限为25.87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25.87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25"/>
      <c r="F1" s="2584"/>
      <c r="G1" s="1626" t="s">
        <v>2625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2309</v>
      </c>
      <c r="B2" s="1421" t="e">
        <f ca="1">IF(C2="——",IF(B37="元/平方米",ROUND(C39*D3/10000,0),ROUND(F3*C39/10000,0)),IF(B37="元/平方米",ROUND(C39*D3/10000,0),ROUND(F3*C39/10000,0))-D2)</f>
        <v>#DIV/0!</v>
      </c>
      <c r="C2" s="2586"/>
      <c r="D2" s="1127" t="e">
        <f ca="1">SUMIF(INDIRECT("'"&amp;F2&amp;"'"&amp;"!A:A"),"承租人权益价值",INDIRECT("'"&amp;F2&amp;"'"&amp;"!c:c"))</f>
        <v>#REF!</v>
      </c>
      <c r="E2" s="2587" t="s">
        <v>2310</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2311</v>
      </c>
      <c r="B3" s="609" t="e">
        <f ca="1">IF(AND(C2="——",B37="元/平方米"),C39,ROUND(B2*10000/D3,0))</f>
        <v>#DIV/0!</v>
      </c>
      <c r="C3" s="400" t="s">
        <v>2626</v>
      </c>
      <c r="D3" s="399">
        <f>SUMIF('数据-汇总表'!$C19:$C33,D1,'数据-汇总表'!$E19:$E33)</f>
        <v>0</v>
      </c>
      <c r="E3" s="400" t="s">
        <v>2690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11" t="s">
        <v>2630</v>
      </c>
      <c r="AC4" s="3210" t="s">
        <v>2631</v>
      </c>
    </row>
    <row r="5" spans="1:29"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11"/>
      <c r="AC5" s="3211"/>
    </row>
    <row r="6" spans="1:29" ht="15.75" thickBot="1">
      <c r="A6" s="406"/>
      <c r="B6" s="407"/>
      <c r="C6" s="3230" t="s">
        <v>2528</v>
      </c>
      <c r="D6" s="3231"/>
      <c r="E6" s="3237" t="s">
        <v>2528</v>
      </c>
      <c r="F6" s="3238"/>
      <c r="G6" s="3230" t="s">
        <v>2528</v>
      </c>
      <c r="H6" s="3231"/>
      <c r="I6" s="3230" t="s">
        <v>2528</v>
      </c>
      <c r="J6" s="3231"/>
      <c r="K6" s="610" t="s">
        <v>2529</v>
      </c>
      <c r="L6" s="1133"/>
      <c r="M6" s="1134"/>
      <c r="N6" s="1134"/>
      <c r="O6" s="1134"/>
      <c r="P6" s="3221"/>
      <c r="Q6" s="3222"/>
      <c r="R6" s="3225"/>
      <c r="S6" s="3226"/>
      <c r="T6" s="3227"/>
      <c r="U6" s="3228"/>
      <c r="V6" s="3229"/>
      <c r="W6" s="3229"/>
      <c r="X6" s="1816"/>
      <c r="Y6" s="3227"/>
      <c r="Z6" s="3228"/>
      <c r="AA6" s="3212"/>
      <c r="AB6" s="3212"/>
      <c r="AC6" s="3212"/>
    </row>
    <row r="7" spans="1:29" s="117" customFormat="1" ht="15.75" thickBot="1">
      <c r="A7" s="408" t="s">
        <v>2530</v>
      </c>
      <c r="B7" s="409"/>
      <c r="C7" s="410">
        <f>'数据-取费表'!B2</f>
        <v>43485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4" t="s">
        <v>2531</v>
      </c>
      <c r="Q7" s="3236"/>
      <c r="R7" s="770" t="s">
        <v>17</v>
      </c>
      <c r="S7" s="771">
        <f t="shared" ref="S7:S14" si="0">F7</f>
        <v>0</v>
      </c>
      <c r="T7" s="770" t="s">
        <v>17</v>
      </c>
      <c r="U7" s="771">
        <f t="shared" ref="U7:U14" si="1">H7</f>
        <v>0</v>
      </c>
      <c r="V7" s="770" t="s">
        <v>17</v>
      </c>
      <c r="W7" s="771">
        <f t="shared" ref="W7:W14" si="2">J7</f>
        <v>0</v>
      </c>
      <c r="X7" s="772"/>
      <c r="Y7" s="3234" t="s">
        <v>2531</v>
      </c>
      <c r="Z7" s="3235"/>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8" t="s">
        <v>2537</v>
      </c>
      <c r="Q9" s="1798" t="str">
        <f t="shared" ref="Q9:Q14" si="6">B9</f>
        <v>用途</v>
      </c>
      <c r="R9" s="770" t="s">
        <v>17</v>
      </c>
      <c r="S9" s="771">
        <f t="shared" si="0"/>
        <v>100</v>
      </c>
      <c r="T9" s="770" t="s">
        <v>17</v>
      </c>
      <c r="U9" s="771">
        <f t="shared" si="1"/>
        <v>100</v>
      </c>
      <c r="V9" s="770" t="s">
        <v>17</v>
      </c>
      <c r="W9" s="771">
        <f t="shared" si="2"/>
        <v>100</v>
      </c>
      <c r="X9" s="772"/>
      <c r="Y9" s="3003"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
      <c r="A14" s="401" t="s">
        <v>2541</v>
      </c>
      <c r="B14" s="629" t="s">
        <v>2691</v>
      </c>
      <c r="C14" s="269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2542</v>
      </c>
      <c r="Q14" s="1813" t="str">
        <f t="shared" si="6"/>
        <v>交通便捷度</v>
      </c>
      <c r="R14" s="774" t="s">
        <v>17</v>
      </c>
      <c r="S14" s="775">
        <f t="shared" si="0"/>
        <v>100</v>
      </c>
      <c r="T14" s="774" t="s">
        <v>17</v>
      </c>
      <c r="U14" s="775">
        <f t="shared" si="1"/>
        <v>100</v>
      </c>
      <c r="V14" s="774" t="s">
        <v>17</v>
      </c>
      <c r="W14" s="775">
        <f t="shared" si="2"/>
        <v>100</v>
      </c>
      <c r="X14" s="1816"/>
      <c r="Y14" s="3200" t="s">
        <v>2542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1"/>
      <c r="Q15" s="1813"/>
      <c r="R15" s="774"/>
      <c r="S15" s="775"/>
      <c r="T15" s="774"/>
      <c r="U15" s="775"/>
      <c r="V15" s="774"/>
      <c r="W15" s="775"/>
      <c r="X15" s="1816"/>
      <c r="Y15" s="3201"/>
      <c r="Z15" s="1817"/>
      <c r="AA15" s="1814">
        <v>1</v>
      </c>
      <c r="AB15" s="1814">
        <v>1</v>
      </c>
      <c r="AC15" s="1814">
        <v>1</v>
      </c>
    </row>
    <row r="16" spans="1:29" ht="15">
      <c r="A16" s="404"/>
      <c r="B16" s="631" t="s">
        <v>2670</v>
      </c>
      <c r="C16" s="260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01"/>
      <c r="Q17" s="1813"/>
      <c r="R17" s="774"/>
      <c r="S17" s="775"/>
      <c r="T17" s="774"/>
      <c r="U17" s="775"/>
      <c r="V17" s="774"/>
      <c r="W17" s="775"/>
      <c r="X17" s="1816"/>
      <c r="Y17" s="3201"/>
      <c r="Z17" s="1817"/>
      <c r="AA17" s="1814">
        <v>1</v>
      </c>
      <c r="AB17" s="1814">
        <v>1</v>
      </c>
      <c r="AC17" s="1814">
        <v>1</v>
      </c>
    </row>
    <row r="18" spans="1:29" ht="15">
      <c r="A18" s="404"/>
      <c r="B18" s="633" t="s">
        <v>2671</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D18/F18</f>
        <v>1</v>
      </c>
      <c r="AB18" s="1814">
        <f>D18/H18</f>
        <v>1</v>
      </c>
      <c r="AC18" s="1814">
        <f>D18/J18</f>
        <v>1</v>
      </c>
    </row>
    <row r="19" spans="1:29" ht="15">
      <c r="A19" s="404"/>
      <c r="B19" s="633"/>
      <c r="C19" s="2608"/>
      <c r="D19" s="450"/>
      <c r="E19" s="2608"/>
      <c r="F19" s="453"/>
      <c r="G19" s="2608"/>
      <c r="H19" s="448"/>
      <c r="I19" s="447"/>
      <c r="J19" s="448"/>
      <c r="K19" s="1386"/>
      <c r="L19" s="1143"/>
      <c r="M19" s="1134"/>
      <c r="N19" s="1134"/>
      <c r="O19" s="1134"/>
      <c r="P19" s="3201"/>
      <c r="Q19" s="1813"/>
      <c r="R19" s="774"/>
      <c r="S19" s="775"/>
      <c r="T19" s="774"/>
      <c r="U19" s="775"/>
      <c r="V19" s="774"/>
      <c r="W19" s="775"/>
      <c r="X19" s="1816"/>
      <c r="Y19" s="3201"/>
      <c r="Z19" s="1817"/>
      <c r="AA19" s="1814">
        <v>1</v>
      </c>
      <c r="AB19" s="1814">
        <v>1</v>
      </c>
      <c r="AC19" s="1814">
        <v>1</v>
      </c>
    </row>
    <row r="20" spans="1:29" ht="15">
      <c r="A20" s="404"/>
      <c r="B20" s="631" t="s">
        <v>2692</v>
      </c>
      <c r="C20" s="260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1"/>
      <c r="Q21" s="1813"/>
      <c r="R21" s="774"/>
      <c r="S21" s="775"/>
      <c r="T21" s="774"/>
      <c r="U21" s="775"/>
      <c r="V21" s="774"/>
      <c r="W21" s="775"/>
      <c r="X21" s="1816"/>
      <c r="Y21" s="3201"/>
      <c r="Z21" s="1817"/>
      <c r="AA21" s="1814">
        <v>1</v>
      </c>
      <c r="AB21" s="1814">
        <v>1</v>
      </c>
      <c r="AC21" s="1814">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3">
        <f t="shared" ref="Q24:Q36" si="8">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8">
        <f t="shared" si="8"/>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28.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6" t="s">
        <v>2547</v>
      </c>
      <c r="Q26" s="1813" t="str">
        <f t="shared" si="8"/>
        <v>配套类型</v>
      </c>
      <c r="R26" s="774" t="s">
        <v>17</v>
      </c>
      <c r="S26" s="775">
        <f t="shared" ref="S26:S36" si="9">F26</f>
        <v>100</v>
      </c>
      <c r="T26" s="774" t="s">
        <v>17</v>
      </c>
      <c r="U26" s="775">
        <f t="shared" ref="U26:U36" si="10">H26</f>
        <v>100</v>
      </c>
      <c r="V26" s="774" t="s">
        <v>17</v>
      </c>
      <c r="W26" s="775">
        <f t="shared" ref="W26:W36" si="11">J26</f>
        <v>100</v>
      </c>
      <c r="X26" s="1816"/>
      <c r="Y26" s="3205" t="s">
        <v>2547</v>
      </c>
      <c r="Z26" s="1817" t="str">
        <f t="shared" ref="Z26:Z36" si="12">Q26</f>
        <v>配套类型</v>
      </c>
      <c r="AA26" s="1814">
        <f t="shared" si="3"/>
        <v>1</v>
      </c>
      <c r="AB26" s="1814">
        <f t="shared" si="4"/>
        <v>1</v>
      </c>
      <c r="AC26" s="1814">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5"/>
      <c r="Q27" s="776" t="str">
        <f t="shared" si="8"/>
        <v>项目停车位配比</v>
      </c>
      <c r="R27" s="777" t="s">
        <v>17</v>
      </c>
      <c r="S27" s="778">
        <f t="shared" si="9"/>
        <v>100</v>
      </c>
      <c r="T27" s="777" t="s">
        <v>17</v>
      </c>
      <c r="U27" s="778">
        <f t="shared" si="10"/>
        <v>100</v>
      </c>
      <c r="V27" s="777" t="s">
        <v>17</v>
      </c>
      <c r="W27" s="778">
        <f t="shared" si="11"/>
        <v>100</v>
      </c>
      <c r="X27" s="779"/>
      <c r="Y27" s="3205"/>
      <c r="Z27" s="780" t="str">
        <f t="shared" si="12"/>
        <v>项目停车位配比</v>
      </c>
      <c r="AA27" s="1814">
        <f t="shared" si="3"/>
        <v>1</v>
      </c>
      <c r="AB27" s="1814">
        <f t="shared" si="4"/>
        <v>1</v>
      </c>
      <c r="AC27" s="1814">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5"/>
      <c r="Q28" s="1813" t="str">
        <f t="shared" si="8"/>
        <v>公共部分装修</v>
      </c>
      <c r="R28" s="774" t="s">
        <v>17</v>
      </c>
      <c r="S28" s="775">
        <f t="shared" si="9"/>
        <v>100</v>
      </c>
      <c r="T28" s="774" t="s">
        <v>17</v>
      </c>
      <c r="U28" s="775">
        <f t="shared" si="10"/>
        <v>100</v>
      </c>
      <c r="V28" s="774" t="s">
        <v>17</v>
      </c>
      <c r="W28" s="775">
        <f t="shared" si="11"/>
        <v>100</v>
      </c>
      <c r="X28" s="1816"/>
      <c r="Y28" s="3205"/>
      <c r="Z28" s="1817" t="str">
        <f t="shared" si="12"/>
        <v>公共部分装修</v>
      </c>
      <c r="AA28" s="1814">
        <f t="shared" si="3"/>
        <v>1</v>
      </c>
      <c r="AB28" s="1814">
        <f t="shared" si="4"/>
        <v>1</v>
      </c>
      <c r="AC28" s="1814">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5"/>
      <c r="Q29" s="1813" t="str">
        <f t="shared" si="8"/>
        <v>成新率</v>
      </c>
      <c r="R29" s="774" t="s">
        <v>17</v>
      </c>
      <c r="S29" s="775" t="e">
        <f t="shared" si="9"/>
        <v>#N/A</v>
      </c>
      <c r="T29" s="774" t="s">
        <v>17</v>
      </c>
      <c r="U29" s="775" t="e">
        <f t="shared" si="10"/>
        <v>#N/A</v>
      </c>
      <c r="V29" s="774" t="s">
        <v>17</v>
      </c>
      <c r="W29" s="775" t="e">
        <f t="shared" si="11"/>
        <v>#N/A</v>
      </c>
      <c r="X29" s="1816"/>
      <c r="Y29" s="3205"/>
      <c r="Z29" s="1817" t="str">
        <f t="shared" si="12"/>
        <v>成新率</v>
      </c>
      <c r="AA29" s="1814" t="e">
        <f t="shared" si="3"/>
        <v>#N/A</v>
      </c>
      <c r="AB29" s="1814" t="e">
        <f t="shared" si="4"/>
        <v>#N/A</v>
      </c>
      <c r="AC29" s="1814"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5"/>
      <c r="Q30" s="1813" t="str">
        <f t="shared" si="8"/>
        <v>物业等级</v>
      </c>
      <c r="R30" s="774" t="s">
        <v>17</v>
      </c>
      <c r="S30" s="775">
        <f t="shared" si="9"/>
        <v>100</v>
      </c>
      <c r="T30" s="774" t="s">
        <v>17</v>
      </c>
      <c r="U30" s="775">
        <f t="shared" si="10"/>
        <v>100</v>
      </c>
      <c r="V30" s="774" t="s">
        <v>17</v>
      </c>
      <c r="W30" s="775">
        <f t="shared" si="11"/>
        <v>100</v>
      </c>
      <c r="X30" s="1816"/>
      <c r="Y30" s="3205"/>
      <c r="Z30" s="1817" t="str">
        <f t="shared" si="12"/>
        <v>物业等级</v>
      </c>
      <c r="AA30" s="1814">
        <f t="shared" si="3"/>
        <v>1</v>
      </c>
      <c r="AB30" s="1814">
        <f t="shared" si="4"/>
        <v>1</v>
      </c>
      <c r="AC30" s="1814">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5"/>
      <c r="Q31" s="1798" t="str">
        <f t="shared" si="8"/>
        <v>停车位面积</v>
      </c>
      <c r="R31" s="770" t="s">
        <v>17</v>
      </c>
      <c r="S31" s="771" t="e">
        <f t="shared" si="9"/>
        <v>#N/A</v>
      </c>
      <c r="T31" s="770" t="s">
        <v>17</v>
      </c>
      <c r="U31" s="771" t="e">
        <f t="shared" si="10"/>
        <v>#N/A</v>
      </c>
      <c r="V31" s="770" t="s">
        <v>17</v>
      </c>
      <c r="W31" s="771" t="e">
        <f t="shared" si="11"/>
        <v>#N/A</v>
      </c>
      <c r="X31" s="772"/>
      <c r="Y31" s="3205"/>
      <c r="Z31" s="55" t="str">
        <f t="shared" si="12"/>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5" t="s">
        <v>2547</v>
      </c>
      <c r="Q32" s="1813" t="str">
        <f t="shared" si="8"/>
        <v>车位类型</v>
      </c>
      <c r="R32" s="774" t="s">
        <v>17</v>
      </c>
      <c r="S32" s="775">
        <f t="shared" si="9"/>
        <v>100</v>
      </c>
      <c r="T32" s="774" t="s">
        <v>17</v>
      </c>
      <c r="U32" s="775">
        <f t="shared" si="10"/>
        <v>100</v>
      </c>
      <c r="V32" s="774" t="s">
        <v>17</v>
      </c>
      <c r="W32" s="775">
        <f t="shared" si="11"/>
        <v>100</v>
      </c>
      <c r="X32" s="1816"/>
      <c r="Y32" s="3205" t="s">
        <v>2547</v>
      </c>
      <c r="Z32" s="1817" t="str">
        <f t="shared" si="12"/>
        <v>车位类型</v>
      </c>
      <c r="AA32" s="1814">
        <f t="shared" si="3"/>
        <v>1</v>
      </c>
      <c r="AB32" s="1814">
        <f t="shared" si="4"/>
        <v>1</v>
      </c>
      <c r="AC32" s="1814">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5"/>
      <c r="Q33" s="1813" t="str">
        <f t="shared" si="8"/>
        <v>是否直接入户</v>
      </c>
      <c r="R33" s="774" t="s">
        <v>17</v>
      </c>
      <c r="S33" s="775">
        <f t="shared" si="9"/>
        <v>100</v>
      </c>
      <c r="T33" s="774" t="s">
        <v>17</v>
      </c>
      <c r="U33" s="775">
        <f t="shared" si="10"/>
        <v>100</v>
      </c>
      <c r="V33" s="774" t="s">
        <v>17</v>
      </c>
      <c r="W33" s="775">
        <f t="shared" si="11"/>
        <v>100</v>
      </c>
      <c r="X33" s="1816"/>
      <c r="Y33" s="3205"/>
      <c r="Z33" s="1817" t="str">
        <f t="shared" si="12"/>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5"/>
      <c r="Q34" s="1813">
        <f t="shared" si="8"/>
        <v>111</v>
      </c>
      <c r="R34" s="774" t="s">
        <v>17</v>
      </c>
      <c r="S34" s="775">
        <f t="shared" si="9"/>
        <v>100</v>
      </c>
      <c r="T34" s="774" t="s">
        <v>17</v>
      </c>
      <c r="U34" s="775">
        <f t="shared" si="10"/>
        <v>100</v>
      </c>
      <c r="V34" s="774" t="s">
        <v>17</v>
      </c>
      <c r="W34" s="775">
        <f t="shared" si="11"/>
        <v>100</v>
      </c>
      <c r="X34" s="1816"/>
      <c r="Y34" s="3205"/>
      <c r="Z34" s="1817">
        <f t="shared" si="12"/>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5"/>
      <c r="Q35" s="776">
        <f t="shared" si="8"/>
        <v>111</v>
      </c>
      <c r="R35" s="777" t="s">
        <v>17</v>
      </c>
      <c r="S35" s="778">
        <f t="shared" si="9"/>
        <v>100</v>
      </c>
      <c r="T35" s="777" t="s">
        <v>17</v>
      </c>
      <c r="U35" s="778">
        <f t="shared" si="10"/>
        <v>100</v>
      </c>
      <c r="V35" s="777" t="s">
        <v>17</v>
      </c>
      <c r="W35" s="778">
        <f t="shared" si="11"/>
        <v>100</v>
      </c>
      <c r="X35" s="779"/>
      <c r="Y35" s="3205"/>
      <c r="Z35" s="780">
        <f t="shared" si="12"/>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5"/>
      <c r="Q36" s="1813">
        <f t="shared" si="8"/>
        <v>111</v>
      </c>
      <c r="R36" s="774" t="s">
        <v>17</v>
      </c>
      <c r="S36" s="775">
        <f t="shared" si="9"/>
        <v>100</v>
      </c>
      <c r="T36" s="774" t="s">
        <v>17</v>
      </c>
      <c r="U36" s="775">
        <f t="shared" si="10"/>
        <v>100</v>
      </c>
      <c r="V36" s="774" t="s">
        <v>17</v>
      </c>
      <c r="W36" s="775">
        <f t="shared" si="11"/>
        <v>100</v>
      </c>
      <c r="X36" s="1816"/>
      <c r="Y36" s="3205"/>
      <c r="Z36" s="1817">
        <f t="shared" si="12"/>
        <v>111</v>
      </c>
      <c r="AA36" s="1814">
        <f t="shared" si="3"/>
        <v>1</v>
      </c>
      <c r="AB36" s="1814">
        <f t="shared" si="4"/>
        <v>1</v>
      </c>
      <c r="AC36" s="1814">
        <f t="shared" si="5"/>
        <v>1</v>
      </c>
    </row>
    <row r="37" spans="1:29" ht="15">
      <c r="A37" s="479" t="s">
        <v>2702</v>
      </c>
      <c r="B37" s="2695" t="s">
        <v>2703</v>
      </c>
      <c r="C37" s="1410" t="s">
        <v>1</v>
      </c>
      <c r="D37" s="1411"/>
      <c r="E37" s="1412"/>
      <c r="F37" s="1413"/>
      <c r="G37" s="1414"/>
      <c r="H37" s="1415"/>
      <c r="I37" s="1412"/>
      <c r="J37" s="1415"/>
      <c r="K37" s="619"/>
      <c r="L37" s="1146"/>
      <c r="M37" s="1147"/>
      <c r="N37" s="1134"/>
      <c r="O37" s="1147"/>
      <c r="P37" s="3198" t="str">
        <f>A37</f>
        <v>成交单价</v>
      </c>
      <c r="Q37" s="3198"/>
      <c r="R37" s="3199">
        <f>E37</f>
        <v>0</v>
      </c>
      <c r="S37" s="3199"/>
      <c r="T37" s="3199">
        <f>G37</f>
        <v>0</v>
      </c>
      <c r="U37" s="3199"/>
      <c r="V37" s="3199">
        <f>I37</f>
        <v>0</v>
      </c>
      <c r="W37" s="3199"/>
      <c r="X37" s="759"/>
      <c r="Y37" s="781"/>
      <c r="Z37" s="759"/>
      <c r="AA37" s="759"/>
      <c r="AB37" s="759"/>
      <c r="AC37" s="759"/>
    </row>
    <row r="38" spans="1:29" ht="15.75" thickBot="1">
      <c r="A38" s="486" t="s">
        <v>2704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2705</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2710</v>
      </c>
      <c r="B48" s="506"/>
      <c r="C48" s="1577" t="str">
        <f>YEAR(C7)&amp;"-"&amp;MONTH(C7)</f>
        <v>2019-1</v>
      </c>
      <c r="D48" s="1578">
        <f>EDATE(C48,-1)</f>
        <v>43435</v>
      </c>
      <c r="E48" s="1578">
        <f t="shared" ref="E48:O48" si="13">EDATE(D48,-1)</f>
        <v>43405</v>
      </c>
      <c r="F48" s="1578">
        <f t="shared" si="13"/>
        <v>43374</v>
      </c>
      <c r="G48" s="1578">
        <f t="shared" si="13"/>
        <v>43344</v>
      </c>
      <c r="H48" s="1578">
        <f t="shared" si="13"/>
        <v>43313</v>
      </c>
      <c r="I48" s="1578">
        <f t="shared" si="13"/>
        <v>43282</v>
      </c>
      <c r="J48" s="1578">
        <f t="shared" si="13"/>
        <v>43252</v>
      </c>
      <c r="K48" s="1578">
        <f t="shared" si="13"/>
        <v>43221</v>
      </c>
      <c r="L48" s="1578">
        <f t="shared" si="13"/>
        <v>43191</v>
      </c>
      <c r="M48" s="1578">
        <f t="shared" si="13"/>
        <v>43160</v>
      </c>
      <c r="N48" s="1578">
        <f t="shared" si="13"/>
        <v>43132</v>
      </c>
      <c r="O48" s="1578">
        <f t="shared" si="13"/>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2532</v>
      </c>
      <c r="B51" s="510"/>
      <c r="C51" s="522" t="s">
        <v>2634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2570</v>
      </c>
      <c r="B53" s="528" t="s">
        <v>2536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2585</v>
      </c>
      <c r="C65" s="578" t="s">
        <v>2579</v>
      </c>
      <c r="D65" s="578" t="s">
        <v>2580</v>
      </c>
      <c r="E65" s="578" t="s">
        <v>2581</v>
      </c>
      <c r="F65" s="578" t="s">
        <v>2582</v>
      </c>
      <c r="G65" s="578" t="s">
        <v>2583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2671</v>
      </c>
      <c r="C67" s="660" t="s">
        <v>2657</v>
      </c>
      <c r="D67" s="660" t="s">
        <v>2658</v>
      </c>
      <c r="E67" s="660" t="s">
        <v>2659</v>
      </c>
      <c r="F67" s="660" t="s">
        <v>2660</v>
      </c>
      <c r="G67" s="660" t="s">
        <v>2661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2591</v>
      </c>
      <c r="C69" s="578" t="s">
        <v>2579</v>
      </c>
      <c r="D69" s="578" t="s">
        <v>2580</v>
      </c>
      <c r="E69" s="578" t="s">
        <v>2581</v>
      </c>
      <c r="F69" s="578" t="s">
        <v>2582</v>
      </c>
      <c r="G69" s="578" t="s">
        <v>2583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2545</v>
      </c>
      <c r="B79" s="528" t="s">
        <v>2712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33"/>
      <c r="F1" s="2584"/>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2309</v>
      </c>
      <c r="B2" s="1421" t="e">
        <f ca="1">IF(C2="——",ROUND(C37*D3/10000,0),ROUND(C37*D3/10000,0)-D2)</f>
        <v>#DIV/0!</v>
      </c>
      <c r="C2" s="2586"/>
      <c r="D2" s="1127" t="e">
        <f ca="1">SUMIF(INDIRECT("'"&amp;F2&amp;"'"&amp;"!A:A"),"承租人权益价值",INDIRECT("'"&amp;F2&amp;"'"&amp;"!c:c"))</f>
        <v>#REF!</v>
      </c>
      <c r="E2" s="2587" t="s">
        <v>2310</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 ca="1">IF(C2="——",C37,ROUND(B2*10000/D3,0))</f>
        <v>#DIV/0!</v>
      </c>
      <c r="C3" s="400" t="s">
        <v>2626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11" t="s">
        <v>2630</v>
      </c>
      <c r="AC4" s="3210" t="s">
        <v>2631</v>
      </c>
    </row>
    <row r="5" spans="1:29"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11"/>
      <c r="AC5" s="3211"/>
    </row>
    <row r="6" spans="1:29" ht="15.75" thickBot="1">
      <c r="A6" s="406"/>
      <c r="B6" s="407"/>
      <c r="C6" s="3230" t="s">
        <v>2528</v>
      </c>
      <c r="D6" s="3231"/>
      <c r="E6" s="3237" t="s">
        <v>2528</v>
      </c>
      <c r="F6" s="3238"/>
      <c r="G6" s="3230" t="s">
        <v>2528</v>
      </c>
      <c r="H6" s="3231"/>
      <c r="I6" s="3230" t="s">
        <v>2528</v>
      </c>
      <c r="J6" s="3231"/>
      <c r="K6" s="610" t="s">
        <v>2529</v>
      </c>
      <c r="L6" s="1133"/>
      <c r="M6" s="1134"/>
      <c r="N6" s="1134"/>
      <c r="O6" s="1134"/>
      <c r="P6" s="3221"/>
      <c r="Q6" s="3222"/>
      <c r="R6" s="3225"/>
      <c r="S6" s="3226"/>
      <c r="T6" s="3227"/>
      <c r="U6" s="3228"/>
      <c r="V6" s="3229"/>
      <c r="W6" s="3229"/>
      <c r="X6" s="1816"/>
      <c r="Y6" s="3227"/>
      <c r="Z6" s="3228"/>
      <c r="AA6" s="3212"/>
      <c r="AB6" s="3212"/>
      <c r="AC6" s="3212"/>
    </row>
    <row r="7" spans="1:29" s="117" customFormat="1" ht="15.75" thickBot="1">
      <c r="A7" s="408" t="s">
        <v>2530</v>
      </c>
      <c r="B7" s="409"/>
      <c r="C7" s="410">
        <f>'数据-取费表'!B2</f>
        <v>43485</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4" t="s">
        <v>2531</v>
      </c>
      <c r="Q7" s="3236"/>
      <c r="R7" s="770" t="s">
        <v>17</v>
      </c>
      <c r="S7" s="771">
        <f t="shared" ref="S7:S14" si="0">F7</f>
        <v>0</v>
      </c>
      <c r="T7" s="770" t="s">
        <v>17</v>
      </c>
      <c r="U7" s="771">
        <f t="shared" ref="U7:U14" si="1">H7</f>
        <v>0</v>
      </c>
      <c r="V7" s="770" t="s">
        <v>17</v>
      </c>
      <c r="W7" s="771">
        <f t="shared" ref="W7:W14" si="2">J7</f>
        <v>0</v>
      </c>
      <c r="X7" s="772"/>
      <c r="Y7" s="3234" t="s">
        <v>2531</v>
      </c>
      <c r="Z7" s="3235"/>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2537</v>
      </c>
      <c r="Q9" s="1798" t="str">
        <f t="shared" ref="Q9:Q14" si="6">B9</f>
        <v>用途</v>
      </c>
      <c r="R9" s="770" t="s">
        <v>17</v>
      </c>
      <c r="S9" s="771">
        <f t="shared" si="0"/>
        <v>100</v>
      </c>
      <c r="T9" s="770" t="s">
        <v>17</v>
      </c>
      <c r="U9" s="771">
        <f t="shared" si="1"/>
        <v>100</v>
      </c>
      <c r="V9" s="770" t="s">
        <v>17</v>
      </c>
      <c r="W9" s="771">
        <f t="shared" si="2"/>
        <v>100</v>
      </c>
      <c r="X9" s="772"/>
      <c r="Y9" s="3003"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
      <c r="A14" s="440" t="s">
        <v>2541</v>
      </c>
      <c r="B14" s="69" t="s">
        <v>2691</v>
      </c>
      <c r="C14" s="269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2542</v>
      </c>
      <c r="Q14" s="1813" t="str">
        <f t="shared" si="6"/>
        <v>交通便捷度</v>
      </c>
      <c r="R14" s="774" t="s">
        <v>17</v>
      </c>
      <c r="S14" s="775">
        <f t="shared" si="0"/>
        <v>100</v>
      </c>
      <c r="T14" s="774" t="s">
        <v>17</v>
      </c>
      <c r="U14" s="775">
        <f t="shared" si="1"/>
        <v>100</v>
      </c>
      <c r="V14" s="774" t="s">
        <v>17</v>
      </c>
      <c r="W14" s="775">
        <f t="shared" si="2"/>
        <v>100</v>
      </c>
      <c r="X14" s="1816"/>
      <c r="Y14" s="3200" t="s">
        <v>2542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1"/>
      <c r="Q15" s="1813"/>
      <c r="R15" s="774"/>
      <c r="S15" s="775"/>
      <c r="T15" s="774"/>
      <c r="U15" s="775"/>
      <c r="V15" s="774"/>
      <c r="W15" s="775"/>
      <c r="X15" s="1816"/>
      <c r="Y15" s="3201"/>
      <c r="Z15" s="1817"/>
      <c r="AA15" s="1814">
        <v>1</v>
      </c>
      <c r="AB15" s="1814">
        <v>1</v>
      </c>
      <c r="AC15" s="1814">
        <v>1</v>
      </c>
    </row>
    <row r="16" spans="1:29" ht="15">
      <c r="A16" s="428"/>
      <c r="B16" s="451" t="s">
        <v>2670</v>
      </c>
      <c r="C16" s="260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01"/>
      <c r="Q17" s="1813"/>
      <c r="R17" s="774"/>
      <c r="S17" s="775"/>
      <c r="T17" s="774"/>
      <c r="U17" s="775"/>
      <c r="V17" s="774"/>
      <c r="W17" s="775"/>
      <c r="X17" s="1816"/>
      <c r="Y17" s="3201"/>
      <c r="Z17" s="1817"/>
      <c r="AA17" s="1814">
        <v>1</v>
      </c>
      <c r="AB17" s="1814">
        <v>1</v>
      </c>
      <c r="AC17" s="1814">
        <v>1</v>
      </c>
    </row>
    <row r="18" spans="1:29" ht="15">
      <c r="A18" s="428"/>
      <c r="B18" s="1387" t="s">
        <v>2671</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D18/F18</f>
        <v>1</v>
      </c>
      <c r="AB18" s="1814">
        <f>D18/H18</f>
        <v>1</v>
      </c>
      <c r="AC18" s="1814">
        <f>D18/J18</f>
        <v>1</v>
      </c>
    </row>
    <row r="19" spans="1:29" ht="15">
      <c r="A19" s="428"/>
      <c r="B19" s="1387"/>
      <c r="C19" s="2608"/>
      <c r="D19" s="450"/>
      <c r="E19" s="2608"/>
      <c r="F19" s="453"/>
      <c r="G19" s="2608"/>
      <c r="H19" s="448"/>
      <c r="I19" s="447"/>
      <c r="J19" s="448"/>
      <c r="K19" s="1386"/>
      <c r="L19" s="1143"/>
      <c r="M19" s="1134"/>
      <c r="N19" s="1134"/>
      <c r="O19" s="1142"/>
      <c r="P19" s="3201"/>
      <c r="Q19" s="1813"/>
      <c r="R19" s="774"/>
      <c r="S19" s="775"/>
      <c r="T19" s="774"/>
      <c r="U19" s="775"/>
      <c r="V19" s="774"/>
      <c r="W19" s="775"/>
      <c r="X19" s="1816"/>
      <c r="Y19" s="3201"/>
      <c r="Z19" s="1817"/>
      <c r="AA19" s="1814">
        <v>1</v>
      </c>
      <c r="AB19" s="1814">
        <v>1</v>
      </c>
      <c r="AC19" s="1814">
        <v>1</v>
      </c>
    </row>
    <row r="20" spans="1:29" ht="15">
      <c r="A20" s="428"/>
      <c r="B20" s="451" t="s">
        <v>2692</v>
      </c>
      <c r="C20" s="260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1"/>
      <c r="Q21" s="1813"/>
      <c r="R21" s="774"/>
      <c r="S21" s="775"/>
      <c r="T21" s="774"/>
      <c r="U21" s="775"/>
      <c r="V21" s="774"/>
      <c r="W21" s="775"/>
      <c r="X21" s="1816"/>
      <c r="Y21" s="3201"/>
      <c r="Z21" s="1817"/>
      <c r="AA21" s="1814">
        <v>1</v>
      </c>
      <c r="AB21" s="1814">
        <v>1</v>
      </c>
      <c r="AC21" s="1814">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3">
        <f t="shared" ref="Q24:Q34" si="8">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01"/>
      <c r="Q25" s="1798">
        <f t="shared" si="8"/>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28.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6" t="s">
        <v>2547</v>
      </c>
      <c r="Q26" s="1813" t="str">
        <f t="shared" si="8"/>
        <v>公共部分装修</v>
      </c>
      <c r="R26" s="774" t="s">
        <v>17</v>
      </c>
      <c r="S26" s="775">
        <f t="shared" ref="S26:S34" si="9">F26</f>
        <v>100</v>
      </c>
      <c r="T26" s="774" t="s">
        <v>17</v>
      </c>
      <c r="U26" s="775">
        <f t="shared" ref="U26:U34" si="10">H26</f>
        <v>100</v>
      </c>
      <c r="V26" s="774" t="s">
        <v>17</v>
      </c>
      <c r="W26" s="775">
        <f t="shared" ref="W26:W34" si="11">J26</f>
        <v>100</v>
      </c>
      <c r="X26" s="1816"/>
      <c r="Y26" s="3205" t="s">
        <v>2547</v>
      </c>
      <c r="Z26" s="1817" t="str">
        <f t="shared" ref="Z26:Z34" si="12">Q26</f>
        <v>公共部分装修</v>
      </c>
      <c r="AA26" s="1814">
        <f t="shared" si="3"/>
        <v>1</v>
      </c>
      <c r="AB26" s="1814">
        <f t="shared" si="4"/>
        <v>1</v>
      </c>
      <c r="AC26" s="1814">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5"/>
      <c r="Q27" s="776" t="str">
        <f t="shared" si="8"/>
        <v>成新率</v>
      </c>
      <c r="R27" s="777" t="s">
        <v>17</v>
      </c>
      <c r="S27" s="778" t="e">
        <f t="shared" si="9"/>
        <v>#N/A</v>
      </c>
      <c r="T27" s="777" t="s">
        <v>17</v>
      </c>
      <c r="U27" s="778" t="e">
        <f t="shared" si="10"/>
        <v>#N/A</v>
      </c>
      <c r="V27" s="777" t="s">
        <v>17</v>
      </c>
      <c r="W27" s="778" t="e">
        <f t="shared" si="11"/>
        <v>#N/A</v>
      </c>
      <c r="X27" s="779"/>
      <c r="Y27" s="3205"/>
      <c r="Z27" s="780" t="str">
        <f t="shared" si="12"/>
        <v>成新率</v>
      </c>
      <c r="AA27" s="1814" t="e">
        <f t="shared" si="3"/>
        <v>#N/A</v>
      </c>
      <c r="AB27" s="1814" t="e">
        <f t="shared" si="4"/>
        <v>#N/A</v>
      </c>
      <c r="AC27" s="1814"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5"/>
      <c r="Q28" s="1813" t="str">
        <f t="shared" si="8"/>
        <v>物业等级</v>
      </c>
      <c r="R28" s="774" t="s">
        <v>17</v>
      </c>
      <c r="S28" s="775">
        <f t="shared" si="9"/>
        <v>100</v>
      </c>
      <c r="T28" s="774" t="s">
        <v>17</v>
      </c>
      <c r="U28" s="775">
        <f t="shared" si="10"/>
        <v>100</v>
      </c>
      <c r="V28" s="774" t="s">
        <v>17</v>
      </c>
      <c r="W28" s="775">
        <f t="shared" si="11"/>
        <v>100</v>
      </c>
      <c r="X28" s="1816"/>
      <c r="Y28" s="3205"/>
      <c r="Z28" s="1817" t="str">
        <f t="shared" si="12"/>
        <v>物业等级</v>
      </c>
      <c r="AA28" s="1814">
        <f t="shared" si="3"/>
        <v>1</v>
      </c>
      <c r="AB28" s="1814">
        <f t="shared" si="4"/>
        <v>1</v>
      </c>
      <c r="AC28" s="1814">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5"/>
      <c r="Q29" s="1813" t="str">
        <f t="shared" si="8"/>
        <v>有无电梯</v>
      </c>
      <c r="R29" s="774" t="s">
        <v>17</v>
      </c>
      <c r="S29" s="775">
        <f t="shared" si="9"/>
        <v>100</v>
      </c>
      <c r="T29" s="774" t="s">
        <v>17</v>
      </c>
      <c r="U29" s="775">
        <f t="shared" si="10"/>
        <v>100</v>
      </c>
      <c r="V29" s="774" t="s">
        <v>17</v>
      </c>
      <c r="W29" s="775">
        <f t="shared" si="11"/>
        <v>100</v>
      </c>
      <c r="X29" s="1816"/>
      <c r="Y29" s="3205"/>
      <c r="Z29" s="1817" t="str">
        <f t="shared" si="12"/>
        <v>有无电梯</v>
      </c>
      <c r="AA29" s="1814">
        <f t="shared" si="3"/>
        <v>1</v>
      </c>
      <c r="AB29" s="1814">
        <f t="shared" si="4"/>
        <v>1</v>
      </c>
      <c r="AC29" s="1814">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5"/>
      <c r="Q30" s="1813" t="str">
        <f t="shared" si="8"/>
        <v>建筑面积</v>
      </c>
      <c r="R30" s="774" t="s">
        <v>17</v>
      </c>
      <c r="S30" s="775" t="e">
        <f t="shared" si="9"/>
        <v>#N/A</v>
      </c>
      <c r="T30" s="774" t="s">
        <v>17</v>
      </c>
      <c r="U30" s="775" t="e">
        <f t="shared" si="10"/>
        <v>#N/A</v>
      </c>
      <c r="V30" s="774" t="s">
        <v>17</v>
      </c>
      <c r="W30" s="775" t="e">
        <f t="shared" si="11"/>
        <v>#N/A</v>
      </c>
      <c r="X30" s="1816"/>
      <c r="Y30" s="3205"/>
      <c r="Z30" s="1817" t="str">
        <f t="shared" si="12"/>
        <v>建筑面积</v>
      </c>
      <c r="AA30" s="1814" t="e">
        <f t="shared" si="3"/>
        <v>#N/A</v>
      </c>
      <c r="AB30" s="1814" t="e">
        <f t="shared" si="4"/>
        <v>#N/A</v>
      </c>
      <c r="AC30" s="1814"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5"/>
      <c r="Q31" s="1798" t="str">
        <f t="shared" si="8"/>
        <v>是否封闭</v>
      </c>
      <c r="R31" s="770" t="s">
        <v>17</v>
      </c>
      <c r="S31" s="771">
        <f t="shared" si="9"/>
        <v>100</v>
      </c>
      <c r="T31" s="770" t="s">
        <v>17</v>
      </c>
      <c r="U31" s="771">
        <f t="shared" si="10"/>
        <v>100</v>
      </c>
      <c r="V31" s="770" t="s">
        <v>17</v>
      </c>
      <c r="W31" s="771">
        <f t="shared" si="11"/>
        <v>100</v>
      </c>
      <c r="X31" s="772"/>
      <c r="Y31" s="3205"/>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5" t="s">
        <v>2547</v>
      </c>
      <c r="Q32" s="1813">
        <f t="shared" si="8"/>
        <v>111</v>
      </c>
      <c r="R32" s="774" t="s">
        <v>17</v>
      </c>
      <c r="S32" s="775">
        <f t="shared" si="9"/>
        <v>100</v>
      </c>
      <c r="T32" s="774" t="s">
        <v>17</v>
      </c>
      <c r="U32" s="775">
        <f t="shared" si="10"/>
        <v>100</v>
      </c>
      <c r="V32" s="774" t="s">
        <v>17</v>
      </c>
      <c r="W32" s="775">
        <f t="shared" si="11"/>
        <v>100</v>
      </c>
      <c r="X32" s="1816"/>
      <c r="Y32" s="3205" t="s">
        <v>2547</v>
      </c>
      <c r="Z32" s="1817">
        <f t="shared" si="12"/>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5"/>
      <c r="Q33" s="1813">
        <f t="shared" si="8"/>
        <v>111</v>
      </c>
      <c r="R33" s="774" t="s">
        <v>17</v>
      </c>
      <c r="S33" s="775">
        <f t="shared" si="9"/>
        <v>100</v>
      </c>
      <c r="T33" s="774" t="s">
        <v>17</v>
      </c>
      <c r="U33" s="775">
        <f t="shared" si="10"/>
        <v>100</v>
      </c>
      <c r="V33" s="774" t="s">
        <v>17</v>
      </c>
      <c r="W33" s="775">
        <f t="shared" si="11"/>
        <v>100</v>
      </c>
      <c r="X33" s="1816"/>
      <c r="Y33" s="3205"/>
      <c r="Z33" s="1817">
        <f t="shared" si="12"/>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5"/>
      <c r="Q34" s="1813">
        <f t="shared" si="8"/>
        <v>111</v>
      </c>
      <c r="R34" s="774" t="s">
        <v>17</v>
      </c>
      <c r="S34" s="775">
        <f t="shared" si="9"/>
        <v>100</v>
      </c>
      <c r="T34" s="774" t="s">
        <v>17</v>
      </c>
      <c r="U34" s="775">
        <f t="shared" si="10"/>
        <v>100</v>
      </c>
      <c r="V34" s="774" t="s">
        <v>17</v>
      </c>
      <c r="W34" s="775">
        <f t="shared" si="11"/>
        <v>100</v>
      </c>
      <c r="X34" s="1816"/>
      <c r="Y34" s="3205"/>
      <c r="Z34" s="1817">
        <f t="shared" si="12"/>
        <v>111</v>
      </c>
      <c r="AA34" s="1814">
        <f t="shared" si="3"/>
        <v>1</v>
      </c>
      <c r="AB34" s="1814">
        <f t="shared" si="4"/>
        <v>1</v>
      </c>
      <c r="AC34" s="1814">
        <f t="shared" si="5"/>
        <v>1</v>
      </c>
    </row>
    <row r="35" spans="1:29" ht="15">
      <c r="A35" s="479" t="s">
        <v>2559</v>
      </c>
      <c r="B35" s="480"/>
      <c r="C35" s="1410" t="s">
        <v>1</v>
      </c>
      <c r="D35" s="1411"/>
      <c r="E35" s="1412"/>
      <c r="F35" s="1413"/>
      <c r="G35" s="1414"/>
      <c r="H35" s="1415"/>
      <c r="I35" s="1412"/>
      <c r="J35" s="1415"/>
      <c r="K35" s="783"/>
      <c r="L35" s="1146"/>
      <c r="M35" s="1147"/>
      <c r="N35" s="1134"/>
      <c r="O35" s="1147"/>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2651</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2652</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7" t="str">
        <f>YEAR(C7)&amp;"-"&amp;MONTH(C7)</f>
        <v>2019-1</v>
      </c>
      <c r="D46" s="1578">
        <f>EDATE(C46,-1)</f>
        <v>43435</v>
      </c>
      <c r="E46" s="1578">
        <f t="shared" ref="E46:O46" si="13">EDATE(D46,-1)</f>
        <v>43405</v>
      </c>
      <c r="F46" s="1578">
        <f t="shared" si="13"/>
        <v>43374</v>
      </c>
      <c r="G46" s="1578">
        <f t="shared" si="13"/>
        <v>43344</v>
      </c>
      <c r="H46" s="1578">
        <f t="shared" si="13"/>
        <v>43313</v>
      </c>
      <c r="I46" s="1578">
        <f t="shared" si="13"/>
        <v>43282</v>
      </c>
      <c r="J46" s="1578">
        <f t="shared" si="13"/>
        <v>43252</v>
      </c>
      <c r="K46" s="1578">
        <f t="shared" si="13"/>
        <v>43221</v>
      </c>
      <c r="L46" s="1578">
        <f t="shared" si="13"/>
        <v>43191</v>
      </c>
      <c r="M46" s="1578">
        <f t="shared" si="13"/>
        <v>43160</v>
      </c>
      <c r="N46" s="1578">
        <f t="shared" si="13"/>
        <v>43132</v>
      </c>
      <c r="O46" s="1578">
        <f t="shared" si="13"/>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2570</v>
      </c>
      <c r="B51" s="528" t="s">
        <v>2536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2545</v>
      </c>
      <c r="B77" s="528" t="s">
        <v>2598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2715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2723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2724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2311</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11" t="s">
        <v>2630</v>
      </c>
      <c r="AC4" s="3210" t="s">
        <v>2631</v>
      </c>
    </row>
    <row r="5" spans="1:30"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11"/>
      <c r="AC5" s="3211"/>
    </row>
    <row r="6" spans="1:30" ht="15.75" thickBot="1">
      <c r="A6" s="406"/>
      <c r="B6" s="407"/>
      <c r="C6" s="3230" t="s">
        <v>2528</v>
      </c>
      <c r="D6" s="3231"/>
      <c r="E6" s="3237" t="s">
        <v>2528</v>
      </c>
      <c r="F6" s="3238"/>
      <c r="G6" s="3230" t="s">
        <v>2528</v>
      </c>
      <c r="H6" s="3231"/>
      <c r="I6" s="3230" t="s">
        <v>2528</v>
      </c>
      <c r="J6" s="3231"/>
      <c r="K6" s="610" t="s">
        <v>2529</v>
      </c>
      <c r="L6" s="1133"/>
      <c r="M6" s="1134"/>
      <c r="N6" s="1134"/>
      <c r="O6" s="1134"/>
      <c r="P6" s="3221"/>
      <c r="Q6" s="3222"/>
      <c r="R6" s="3225"/>
      <c r="S6" s="3226"/>
      <c r="T6" s="3227"/>
      <c r="U6" s="3228"/>
      <c r="V6" s="3229"/>
      <c r="W6" s="3229"/>
      <c r="X6" s="1816"/>
      <c r="Y6" s="3227"/>
      <c r="Z6" s="3228"/>
      <c r="AA6" s="3212"/>
      <c r="AB6" s="3212"/>
      <c r="AC6" s="3212"/>
    </row>
    <row r="7" spans="1:30" s="117" customFormat="1" ht="15.75" thickBot="1">
      <c r="A7" s="408" t="s">
        <v>2530</v>
      </c>
      <c r="B7" s="409"/>
      <c r="C7" s="410">
        <f>'数据-取费表'!B2</f>
        <v>43485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34" t="s">
        <v>2531</v>
      </c>
      <c r="Q7" s="3236"/>
      <c r="R7" s="770" t="s">
        <v>17</v>
      </c>
      <c r="S7" s="771">
        <f t="shared" ref="S7:S15" si="0">F7</f>
        <v>0</v>
      </c>
      <c r="T7" s="770" t="s">
        <v>17</v>
      </c>
      <c r="U7" s="771">
        <f t="shared" ref="U7:U15" si="1">H7</f>
        <v>0</v>
      </c>
      <c r="V7" s="770" t="s">
        <v>17</v>
      </c>
      <c r="W7" s="771">
        <f t="shared" ref="W7:W15" si="2">J7</f>
        <v>0</v>
      </c>
      <c r="X7" s="772"/>
      <c r="Y7" s="3234" t="s">
        <v>2531</v>
      </c>
      <c r="Z7" s="3235"/>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45" si="3">D8/F8</f>
        <v>#DIV/0!</v>
      </c>
      <c r="AB8" s="773" t="e">
        <f t="shared" ref="AB8:AB45" si="4">D8/H8</f>
        <v>#DIV/0!</v>
      </c>
      <c r="AC8" s="773"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98"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198"/>
      <c r="Q10" s="1798" t="str">
        <f t="shared" si="6"/>
        <v>土地使用年限（年）</v>
      </c>
      <c r="R10" s="770" t="s">
        <v>17</v>
      </c>
      <c r="S10" s="771">
        <f t="shared" ca="1" si="0"/>
        <v>118</v>
      </c>
      <c r="T10" s="770" t="s">
        <v>17</v>
      </c>
      <c r="U10" s="771">
        <f t="shared" ca="1" si="1"/>
        <v>118</v>
      </c>
      <c r="V10" s="770" t="s">
        <v>17</v>
      </c>
      <c r="W10" s="771">
        <f t="shared" ca="1" si="2"/>
        <v>118</v>
      </c>
      <c r="X10" s="772"/>
      <c r="Y10" s="3003"/>
      <c r="Z10" s="55" t="str">
        <f t="shared" si="7"/>
        <v>土地使用年限（年）</v>
      </c>
      <c r="AA10" s="773">
        <f t="shared" ca="1" si="3"/>
        <v>0.84745762711864403</v>
      </c>
      <c r="AB10" s="773">
        <f t="shared" ca="1" si="4"/>
        <v>0.84745762711864403</v>
      </c>
      <c r="AC10" s="773">
        <f t="shared" ca="1" si="5"/>
        <v>0.84745762711864403</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15">
      <c r="A15" s="440" t="s">
        <v>2541</v>
      </c>
      <c r="B15" s="69" t="s">
        <v>2078</v>
      </c>
      <c r="C15" s="2603"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2542</v>
      </c>
      <c r="Q15" s="1813" t="str">
        <f t="shared" si="6"/>
        <v>居住社区成熟度</v>
      </c>
      <c r="R15" s="774" t="s">
        <v>17</v>
      </c>
      <c r="S15" s="775">
        <f t="shared" si="0"/>
        <v>100</v>
      </c>
      <c r="T15" s="774" t="s">
        <v>17</v>
      </c>
      <c r="U15" s="775">
        <f t="shared" si="1"/>
        <v>100</v>
      </c>
      <c r="V15" s="774" t="s">
        <v>17</v>
      </c>
      <c r="W15" s="775">
        <f t="shared" si="2"/>
        <v>100</v>
      </c>
      <c r="X15" s="1816"/>
      <c r="Y15" s="3200" t="s">
        <v>2542</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15">
      <c r="A17" s="428"/>
      <c r="B17" s="451" t="s">
        <v>2635</v>
      </c>
      <c r="C17" s="2664"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3" t="str">
        <f>B17</f>
        <v>商业繁华度</v>
      </c>
      <c r="R17" s="774" t="s">
        <v>17</v>
      </c>
      <c r="S17" s="775">
        <f>F17</f>
        <v>100</v>
      </c>
      <c r="T17" s="774" t="s">
        <v>17</v>
      </c>
      <c r="U17" s="775">
        <f>H17</f>
        <v>100</v>
      </c>
      <c r="V17" s="774" t="s">
        <v>17</v>
      </c>
      <c r="W17" s="775">
        <f>J17</f>
        <v>100</v>
      </c>
      <c r="X17" s="1816"/>
      <c r="Y17" s="3201"/>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15">
      <c r="A19" s="428"/>
      <c r="B19" s="451" t="s">
        <v>2669</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3" t="str">
        <f>B19</f>
        <v>办公集聚程度</v>
      </c>
      <c r="R19" s="774" t="s">
        <v>17</v>
      </c>
      <c r="S19" s="775">
        <f>F19</f>
        <v>100</v>
      </c>
      <c r="T19" s="774" t="s">
        <v>17</v>
      </c>
      <c r="U19" s="775">
        <f>H19</f>
        <v>100</v>
      </c>
      <c r="V19" s="774" t="s">
        <v>17</v>
      </c>
      <c r="W19" s="775">
        <f>J19</f>
        <v>100</v>
      </c>
      <c r="X19" s="1816"/>
      <c r="Y19" s="3201"/>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01"/>
      <c r="Q20" s="1813"/>
      <c r="R20" s="774"/>
      <c r="S20" s="775"/>
      <c r="T20" s="774"/>
      <c r="U20" s="775"/>
      <c r="V20" s="774"/>
      <c r="W20" s="775"/>
      <c r="X20" s="1816"/>
      <c r="Y20" s="3201"/>
      <c r="Z20" s="1817"/>
      <c r="AA20" s="1814">
        <v>1</v>
      </c>
      <c r="AB20" s="1814">
        <v>1</v>
      </c>
      <c r="AC20" s="1814">
        <v>1</v>
      </c>
    </row>
    <row r="21" spans="1:29" ht="15">
      <c r="A21" s="428"/>
      <c r="B21" s="451" t="s">
        <v>2691</v>
      </c>
      <c r="C21" s="260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3" t="str">
        <f>B21</f>
        <v>交通便捷度</v>
      </c>
      <c r="R21" s="774" t="s">
        <v>17</v>
      </c>
      <c r="S21" s="775">
        <f>F21</f>
        <v>100</v>
      </c>
      <c r="T21" s="774" t="s">
        <v>17</v>
      </c>
      <c r="U21" s="775">
        <f>H21</f>
        <v>100</v>
      </c>
      <c r="V21" s="774" t="s">
        <v>17</v>
      </c>
      <c r="W21" s="775">
        <f>J21</f>
        <v>100</v>
      </c>
      <c r="X21" s="1816"/>
      <c r="Y21" s="3201"/>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ht="15">
      <c r="A23" s="404"/>
      <c r="B23" s="451" t="s">
        <v>2730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3" t="str">
        <f t="shared" ref="Q23:Q37" si="8">B23</f>
        <v>区域土地利用方向</v>
      </c>
      <c r="R23" s="774" t="s">
        <v>17</v>
      </c>
      <c r="S23" s="775">
        <f>F23</f>
        <v>100</v>
      </c>
      <c r="T23" s="774" t="s">
        <v>17</v>
      </c>
      <c r="U23" s="775">
        <f>H23</f>
        <v>100</v>
      </c>
      <c r="V23" s="774" t="s">
        <v>17</v>
      </c>
      <c r="W23" s="775">
        <f>J23</f>
        <v>100</v>
      </c>
      <c r="X23" s="1816"/>
      <c r="Y23" s="3201"/>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01"/>
      <c r="Q24" s="1813"/>
      <c r="R24" s="774"/>
      <c r="S24" s="775"/>
      <c r="T24" s="774"/>
      <c r="U24" s="775"/>
      <c r="V24" s="774"/>
      <c r="W24" s="775"/>
      <c r="X24" s="1816"/>
      <c r="Y24" s="3201"/>
      <c r="Z24" s="1817"/>
      <c r="AA24" s="1814"/>
      <c r="AB24" s="1814"/>
      <c r="AC24" s="1814"/>
    </row>
    <row r="25" spans="1:29" ht="27">
      <c r="A25" s="404"/>
      <c r="B25" s="1387" t="s">
        <v>2731</v>
      </c>
      <c r="C25" s="266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3" t="str">
        <f t="shared" si="8"/>
        <v>自然及人文环境状况</v>
      </c>
      <c r="R25" s="774" t="s">
        <v>17</v>
      </c>
      <c r="S25" s="775">
        <f>F25</f>
        <v>100</v>
      </c>
      <c r="T25" s="774" t="s">
        <v>17</v>
      </c>
      <c r="U25" s="775">
        <f>H25</f>
        <v>100</v>
      </c>
      <c r="V25" s="774" t="s">
        <v>17</v>
      </c>
      <c r="W25" s="775">
        <f>J25</f>
        <v>100</v>
      </c>
      <c r="X25" s="1816"/>
      <c r="Y25" s="3201"/>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01"/>
      <c r="Q26" s="1813"/>
      <c r="R26" s="774"/>
      <c r="S26" s="775"/>
      <c r="T26" s="774"/>
      <c r="U26" s="775"/>
      <c r="V26" s="774"/>
      <c r="W26" s="775"/>
      <c r="X26" s="1816"/>
      <c r="Y26" s="3201"/>
      <c r="Z26" s="1817"/>
      <c r="AA26" s="1814">
        <v>1</v>
      </c>
      <c r="AB26" s="1814">
        <v>1</v>
      </c>
      <c r="AC26" s="1814">
        <v>1</v>
      </c>
    </row>
    <row r="27" spans="1:29" s="117" customFormat="1" ht="15">
      <c r="A27" s="649"/>
      <c r="B27" s="1387" t="s">
        <v>2636</v>
      </c>
      <c r="C27" s="260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8" t="str">
        <f t="shared" si="8"/>
        <v>公共配套设施</v>
      </c>
      <c r="R27" s="770" t="s">
        <v>17</v>
      </c>
      <c r="S27" s="771">
        <f>F27</f>
        <v>100</v>
      </c>
      <c r="T27" s="770" t="s">
        <v>17</v>
      </c>
      <c r="U27" s="771">
        <f>H27</f>
        <v>100</v>
      </c>
      <c r="V27" s="770" t="s">
        <v>17</v>
      </c>
      <c r="W27" s="771">
        <f>J27</f>
        <v>100</v>
      </c>
      <c r="X27" s="772"/>
      <c r="Y27" s="3201"/>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01"/>
      <c r="Q28" s="1798"/>
      <c r="R28" s="770"/>
      <c r="S28" s="771"/>
      <c r="T28" s="770"/>
      <c r="U28" s="771"/>
      <c r="V28" s="770"/>
      <c r="W28" s="771"/>
      <c r="X28" s="772"/>
      <c r="Y28" s="3201"/>
      <c r="Z28" s="55"/>
      <c r="AA28" s="1814">
        <v>1</v>
      </c>
      <c r="AB28" s="1814">
        <v>1</v>
      </c>
      <c r="AC28" s="1814">
        <v>1</v>
      </c>
    </row>
    <row r="29" spans="1:29" s="117" customFormat="1" ht="15">
      <c r="A29" s="649"/>
      <c r="B29" s="1387" t="s">
        <v>2637</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8" t="str">
        <f>B29</f>
        <v>基础设施水平</v>
      </c>
      <c r="R29" s="770" t="s">
        <v>17</v>
      </c>
      <c r="S29" s="771">
        <f>F29</f>
        <v>100</v>
      </c>
      <c r="T29" s="770" t="s">
        <v>17</v>
      </c>
      <c r="U29" s="771">
        <f>H29</f>
        <v>100</v>
      </c>
      <c r="V29" s="770" t="s">
        <v>17</v>
      </c>
      <c r="W29" s="771">
        <f>J29</f>
        <v>100</v>
      </c>
      <c r="X29" s="772"/>
      <c r="Y29" s="3201"/>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01"/>
      <c r="Q30" s="1798"/>
      <c r="R30" s="770"/>
      <c r="S30" s="771"/>
      <c r="T30" s="770"/>
      <c r="U30" s="771"/>
      <c r="V30" s="770"/>
      <c r="W30" s="771"/>
      <c r="X30" s="772"/>
      <c r="Y30" s="3201"/>
      <c r="Z30" s="55"/>
      <c r="AA30" s="1814">
        <v>1</v>
      </c>
      <c r="AB30" s="1814">
        <v>1</v>
      </c>
      <c r="AC30" s="1814">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1"/>
      <c r="Q31" s="1813" t="str">
        <f t="shared" si="8"/>
        <v>临街状况</v>
      </c>
      <c r="R31" s="774" t="s">
        <v>17</v>
      </c>
      <c r="S31" s="775">
        <f t="shared" ref="S31:S45" si="9">F31</f>
        <v>100</v>
      </c>
      <c r="T31" s="774" t="s">
        <v>17</v>
      </c>
      <c r="U31" s="775">
        <f t="shared" ref="U31:U45" si="10">H31</f>
        <v>100</v>
      </c>
      <c r="V31" s="774" t="s">
        <v>17</v>
      </c>
      <c r="W31" s="775">
        <f t="shared" ref="W31:W45" si="11">J31</f>
        <v>100</v>
      </c>
      <c r="X31" s="1816"/>
      <c r="Y31" s="3201"/>
      <c r="Z31" s="1817" t="str">
        <f t="shared" ref="Z31:Z45" si="12">Q31</f>
        <v>临街状况</v>
      </c>
      <c r="AA31" s="1814">
        <f t="shared" si="3"/>
        <v>1</v>
      </c>
      <c r="AB31" s="1814">
        <f t="shared" si="4"/>
        <v>1</v>
      </c>
      <c r="AC31" s="1814">
        <f t="shared" si="5"/>
        <v>1</v>
      </c>
    </row>
    <row r="32" spans="1:29" ht="27">
      <c r="A32" s="428"/>
      <c r="B32" s="1387"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3" t="str">
        <f t="shared" si="8"/>
        <v>毗邻道路的类型与等级</v>
      </c>
      <c r="R32" s="774" t="s">
        <v>17</v>
      </c>
      <c r="S32" s="775">
        <f t="shared" si="9"/>
        <v>100</v>
      </c>
      <c r="T32" s="774" t="s">
        <v>17</v>
      </c>
      <c r="U32" s="775">
        <f t="shared" si="10"/>
        <v>100</v>
      </c>
      <c r="V32" s="774" t="s">
        <v>17</v>
      </c>
      <c r="W32" s="775">
        <f t="shared" si="11"/>
        <v>100</v>
      </c>
      <c r="X32" s="1816"/>
      <c r="Y32" s="3201"/>
      <c r="Z32" s="1817" t="str">
        <f t="shared" si="12"/>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01"/>
      <c r="Q33" s="1813"/>
      <c r="R33" s="774"/>
      <c r="S33" s="775"/>
      <c r="T33" s="774"/>
      <c r="U33" s="775"/>
      <c r="V33" s="774"/>
      <c r="W33" s="775"/>
      <c r="X33" s="1816"/>
      <c r="Y33" s="3201"/>
      <c r="Z33" s="1817"/>
      <c r="AA33" s="1814">
        <v>1</v>
      </c>
      <c r="AB33" s="1814">
        <v>1</v>
      </c>
      <c r="AC33" s="1814">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3" t="str">
        <f t="shared" si="8"/>
        <v>土地级别</v>
      </c>
      <c r="R34" s="774" t="s">
        <v>17</v>
      </c>
      <c r="S34" s="775">
        <f t="shared" si="9"/>
        <v>100</v>
      </c>
      <c r="T34" s="774" t="s">
        <v>17</v>
      </c>
      <c r="U34" s="775">
        <f t="shared" si="10"/>
        <v>100</v>
      </c>
      <c r="V34" s="774" t="s">
        <v>17</v>
      </c>
      <c r="W34" s="775">
        <f t="shared" si="11"/>
        <v>100</v>
      </c>
      <c r="X34" s="1816"/>
      <c r="Y34" s="3201"/>
      <c r="Z34" s="1817" t="str">
        <f t="shared" si="12"/>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3">
        <f t="shared" si="8"/>
        <v>111</v>
      </c>
      <c r="R35" s="774" t="s">
        <v>17</v>
      </c>
      <c r="S35" s="775">
        <f t="shared" si="9"/>
        <v>100</v>
      </c>
      <c r="T35" s="774" t="s">
        <v>17</v>
      </c>
      <c r="U35" s="775">
        <f t="shared" si="10"/>
        <v>100</v>
      </c>
      <c r="V35" s="774" t="s">
        <v>17</v>
      </c>
      <c r="W35" s="775">
        <f t="shared" si="11"/>
        <v>100</v>
      </c>
      <c r="X35" s="1816"/>
      <c r="Y35" s="3201"/>
      <c r="Z35" s="1817">
        <f t="shared" si="12"/>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6" t="s">
        <v>2547</v>
      </c>
      <c r="Q36" s="1813">
        <f t="shared" si="8"/>
        <v>111</v>
      </c>
      <c r="R36" s="774" t="s">
        <v>17</v>
      </c>
      <c r="S36" s="775">
        <f t="shared" si="9"/>
        <v>100</v>
      </c>
      <c r="T36" s="774" t="s">
        <v>17</v>
      </c>
      <c r="U36" s="775">
        <f t="shared" si="10"/>
        <v>100</v>
      </c>
      <c r="V36" s="774" t="s">
        <v>17</v>
      </c>
      <c r="W36" s="775">
        <f t="shared" si="11"/>
        <v>100</v>
      </c>
      <c r="X36" s="1816"/>
      <c r="Y36" s="3205" t="s">
        <v>2547</v>
      </c>
      <c r="Z36" s="1817">
        <f t="shared" si="12"/>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5"/>
      <c r="Q37" s="1813">
        <f t="shared" si="8"/>
        <v>111</v>
      </c>
      <c r="R37" s="777" t="s">
        <v>17</v>
      </c>
      <c r="S37" s="778">
        <f t="shared" si="9"/>
        <v>100</v>
      </c>
      <c r="T37" s="777" t="s">
        <v>17</v>
      </c>
      <c r="U37" s="778">
        <f t="shared" si="10"/>
        <v>100</v>
      </c>
      <c r="V37" s="777" t="s">
        <v>17</v>
      </c>
      <c r="W37" s="778">
        <f t="shared" si="11"/>
        <v>100</v>
      </c>
      <c r="X37" s="779"/>
      <c r="Y37" s="3205"/>
      <c r="Z37" s="780">
        <f t="shared" si="12"/>
        <v>111</v>
      </c>
      <c r="AA37" s="1814">
        <f t="shared" si="3"/>
        <v>1</v>
      </c>
      <c r="AB37" s="1814">
        <f t="shared" si="4"/>
        <v>1</v>
      </c>
      <c r="AC37" s="1814">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5"/>
      <c r="Q38" s="1813" t="str">
        <f>B38</f>
        <v>宗地面积</v>
      </c>
      <c r="R38" s="774" t="s">
        <v>17</v>
      </c>
      <c r="S38" s="775" t="e">
        <f t="shared" si="9"/>
        <v>#N/A</v>
      </c>
      <c r="T38" s="774" t="s">
        <v>17</v>
      </c>
      <c r="U38" s="775" t="e">
        <f t="shared" si="10"/>
        <v>#N/A</v>
      </c>
      <c r="V38" s="774" t="s">
        <v>17</v>
      </c>
      <c r="W38" s="775" t="e">
        <f t="shared" si="11"/>
        <v>#N/A</v>
      </c>
      <c r="X38" s="1816"/>
      <c r="Y38" s="3205"/>
      <c r="Z38" s="1817" t="str">
        <f t="shared" si="12"/>
        <v>宗地面积</v>
      </c>
      <c r="AA38" s="1814" t="e">
        <f t="shared" si="3"/>
        <v>#N/A</v>
      </c>
      <c r="AB38" s="1814" t="e">
        <f t="shared" si="4"/>
        <v>#N/A</v>
      </c>
      <c r="AC38" s="1814"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5"/>
      <c r="Q39" s="1813" t="str">
        <f t="shared" ref="Q39:Q45" si="13">B39</f>
        <v>宗地形状</v>
      </c>
      <c r="R39" s="774" t="s">
        <v>17</v>
      </c>
      <c r="S39" s="775">
        <f t="shared" si="9"/>
        <v>100</v>
      </c>
      <c r="T39" s="774" t="s">
        <v>17</v>
      </c>
      <c r="U39" s="775">
        <f t="shared" si="10"/>
        <v>100</v>
      </c>
      <c r="V39" s="774" t="s">
        <v>17</v>
      </c>
      <c r="W39" s="775">
        <f t="shared" si="11"/>
        <v>100</v>
      </c>
      <c r="X39" s="1816"/>
      <c r="Y39" s="3205"/>
      <c r="Z39" s="1817" t="str">
        <f t="shared" si="12"/>
        <v>宗地形状</v>
      </c>
      <c r="AA39" s="1814">
        <f t="shared" si="3"/>
        <v>1</v>
      </c>
      <c r="AB39" s="1814">
        <f t="shared" si="4"/>
        <v>1</v>
      </c>
      <c r="AC39" s="1814">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5"/>
      <c r="Q40" s="1813" t="str">
        <f t="shared" si="13"/>
        <v>临街宽度及深度</v>
      </c>
      <c r="R40" s="774" t="s">
        <v>17</v>
      </c>
      <c r="S40" s="775">
        <f t="shared" si="9"/>
        <v>100</v>
      </c>
      <c r="T40" s="774" t="s">
        <v>17</v>
      </c>
      <c r="U40" s="775">
        <f t="shared" si="10"/>
        <v>100</v>
      </c>
      <c r="V40" s="774" t="s">
        <v>17</v>
      </c>
      <c r="W40" s="775">
        <f t="shared" si="11"/>
        <v>100</v>
      </c>
      <c r="X40" s="1816"/>
      <c r="Y40" s="3205"/>
      <c r="Z40" s="1817" t="str">
        <f t="shared" si="12"/>
        <v>临街宽度及深度</v>
      </c>
      <c r="AA40" s="1814">
        <f t="shared" si="3"/>
        <v>1</v>
      </c>
      <c r="AB40" s="1814">
        <f t="shared" si="4"/>
        <v>1</v>
      </c>
      <c r="AC40" s="1814">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5"/>
      <c r="Q41" s="1813" t="str">
        <f t="shared" si="13"/>
        <v>宗地开发程度</v>
      </c>
      <c r="R41" s="770" t="s">
        <v>17</v>
      </c>
      <c r="S41" s="771">
        <f t="shared" si="9"/>
        <v>100</v>
      </c>
      <c r="T41" s="770" t="s">
        <v>17</v>
      </c>
      <c r="U41" s="771">
        <f t="shared" si="10"/>
        <v>100</v>
      </c>
      <c r="V41" s="770" t="s">
        <v>17</v>
      </c>
      <c r="W41" s="771">
        <f t="shared" si="11"/>
        <v>100</v>
      </c>
      <c r="X41" s="772"/>
      <c r="Y41" s="3205"/>
      <c r="Z41" s="55" t="str">
        <f t="shared" si="12"/>
        <v>宗地开发程度</v>
      </c>
      <c r="AA41" s="773">
        <f t="shared" si="3"/>
        <v>1</v>
      </c>
      <c r="AB41" s="773">
        <f t="shared" si="4"/>
        <v>1</v>
      </c>
      <c r="AC41" s="773">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5" t="s">
        <v>2547</v>
      </c>
      <c r="Q42" s="1813" t="str">
        <f t="shared" si="13"/>
        <v>工程地质条件</v>
      </c>
      <c r="R42" s="774" t="s">
        <v>17</v>
      </c>
      <c r="S42" s="775">
        <f t="shared" si="9"/>
        <v>100</v>
      </c>
      <c r="T42" s="774" t="s">
        <v>17</v>
      </c>
      <c r="U42" s="775">
        <f t="shared" si="10"/>
        <v>100</v>
      </c>
      <c r="V42" s="774" t="s">
        <v>17</v>
      </c>
      <c r="W42" s="775">
        <f t="shared" si="11"/>
        <v>100</v>
      </c>
      <c r="X42" s="1816"/>
      <c r="Y42" s="3205" t="s">
        <v>2547</v>
      </c>
      <c r="Z42" s="1817" t="str">
        <f t="shared" si="12"/>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5"/>
      <c r="Q43" s="1813">
        <f t="shared" si="13"/>
        <v>111</v>
      </c>
      <c r="R43" s="774" t="s">
        <v>17</v>
      </c>
      <c r="S43" s="775">
        <f t="shared" si="9"/>
        <v>100</v>
      </c>
      <c r="T43" s="774" t="s">
        <v>17</v>
      </c>
      <c r="U43" s="775">
        <f t="shared" si="10"/>
        <v>100</v>
      </c>
      <c r="V43" s="774" t="s">
        <v>17</v>
      </c>
      <c r="W43" s="775">
        <f t="shared" si="11"/>
        <v>100</v>
      </c>
      <c r="X43" s="1816"/>
      <c r="Y43" s="3205"/>
      <c r="Z43" s="1817">
        <f t="shared" si="12"/>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5"/>
      <c r="Q44" s="1813">
        <f t="shared" si="13"/>
        <v>111</v>
      </c>
      <c r="R44" s="774" t="s">
        <v>17</v>
      </c>
      <c r="S44" s="775">
        <f t="shared" si="9"/>
        <v>100</v>
      </c>
      <c r="T44" s="774" t="s">
        <v>17</v>
      </c>
      <c r="U44" s="775">
        <f t="shared" si="10"/>
        <v>100</v>
      </c>
      <c r="V44" s="774" t="s">
        <v>17</v>
      </c>
      <c r="W44" s="775">
        <f t="shared" si="11"/>
        <v>100</v>
      </c>
      <c r="X44" s="1816"/>
      <c r="Y44" s="3205"/>
      <c r="Z44" s="1817">
        <f t="shared" si="12"/>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5"/>
      <c r="Q45" s="1813">
        <f t="shared" si="13"/>
        <v>111</v>
      </c>
      <c r="R45" s="777" t="s">
        <v>17</v>
      </c>
      <c r="S45" s="778">
        <f t="shared" si="9"/>
        <v>100</v>
      </c>
      <c r="T45" s="777" t="s">
        <v>17</v>
      </c>
      <c r="U45" s="778">
        <f t="shared" si="10"/>
        <v>100</v>
      </c>
      <c r="V45" s="777" t="s">
        <v>17</v>
      </c>
      <c r="W45" s="778">
        <f t="shared" si="11"/>
        <v>100</v>
      </c>
      <c r="X45" s="779"/>
      <c r="Y45" s="3205"/>
      <c r="Z45" s="780">
        <f t="shared" si="12"/>
        <v>111</v>
      </c>
      <c r="AA45" s="1814">
        <f t="shared" si="3"/>
        <v>1</v>
      </c>
      <c r="AB45" s="1814">
        <f t="shared" si="4"/>
        <v>1</v>
      </c>
      <c r="AC45" s="1814">
        <f t="shared" si="5"/>
        <v>1</v>
      </c>
    </row>
    <row r="46" spans="1:29" ht="15">
      <c r="A46" s="479" t="s">
        <v>2702</v>
      </c>
      <c r="B46" s="2704" t="s">
        <v>2738</v>
      </c>
      <c r="C46" s="682" t="s">
        <v>1</v>
      </c>
      <c r="D46" s="481"/>
      <c r="E46" s="482"/>
      <c r="F46" s="483"/>
      <c r="G46" s="484"/>
      <c r="H46" s="485"/>
      <c r="I46" s="482"/>
      <c r="J46" s="485"/>
      <c r="K46" s="783"/>
      <c r="L46" s="1146"/>
      <c r="M46" s="1147"/>
      <c r="N46" s="1134"/>
      <c r="O46" s="1147"/>
      <c r="P46" s="3198" t="str">
        <f>A46</f>
        <v>成交单价</v>
      </c>
      <c r="Q46" s="3198"/>
      <c r="R46" s="3229">
        <f>E46</f>
        <v>0</v>
      </c>
      <c r="S46" s="3229"/>
      <c r="T46" s="3229">
        <f>G46</f>
        <v>0</v>
      </c>
      <c r="U46" s="3229"/>
      <c r="V46" s="3229">
        <f>I46</f>
        <v>0</v>
      </c>
      <c r="W46" s="3229"/>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6"/>
      <c r="M48" s="1147"/>
      <c r="N48" s="1147"/>
      <c r="O48" s="1147"/>
      <c r="P48" s="3195" t="str">
        <f>A48</f>
        <v>估价对象XX用房的比较价值（楼面单价，元/平方米）</v>
      </c>
      <c r="Q48" s="3196"/>
      <c r="R48" s="3258" t="e">
        <f>ROUND(AVERAGE(R47:V47),0)</f>
        <v>#DIV/0!</v>
      </c>
      <c r="S48" s="3258"/>
      <c r="T48" s="3258"/>
      <c r="U48" s="3258"/>
      <c r="V48" s="3258"/>
      <c r="W48" s="32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2740</v>
      </c>
      <c r="B55" s="685" t="s">
        <v>2741</v>
      </c>
      <c r="C55" s="2705" t="s">
        <v>2742</v>
      </c>
      <c r="D55" s="2706" t="s">
        <v>2743</v>
      </c>
      <c r="E55" s="686" t="s">
        <v>2744</v>
      </c>
      <c r="F55" s="1110" t="s">
        <v>2745</v>
      </c>
      <c r="G55" s="3213" t="s">
        <v>2746</v>
      </c>
      <c r="H55" s="3259"/>
      <c r="I55" s="144" t="s">
        <v>2747</v>
      </c>
      <c r="J55" s="2707">
        <f>项目基本情况!F35</f>
        <v>0</v>
      </c>
      <c r="K55" s="2708" t="s">
        <v>2748</v>
      </c>
      <c r="L55" s="1109"/>
      <c r="M55" s="1147"/>
      <c r="N55" s="1147"/>
      <c r="O55" s="1147"/>
    </row>
    <row r="56" spans="1:15" s="692" customFormat="1">
      <c r="A56" s="688" t="s">
        <v>2749</v>
      </c>
      <c r="B56" s="689" t="e">
        <f>C48</f>
        <v>#DIV/0!</v>
      </c>
      <c r="C56" s="690">
        <v>1</v>
      </c>
      <c r="D56" s="1166">
        <v>1</v>
      </c>
      <c r="E56" s="690">
        <f>'数据-汇总表'!E8+'数据-汇总表'!E9</f>
        <v>21001.03</v>
      </c>
      <c r="F56" s="1106" t="e">
        <f t="shared" ref="F56:F65" si="14">ROUND(B56*E56/10000,0)</f>
        <v>#DIV/0!</v>
      </c>
      <c r="G56" s="3209"/>
      <c r="H56" s="3198"/>
      <c r="I56" s="1111">
        <v>1</v>
      </c>
      <c r="J56" s="1114">
        <v>1</v>
      </c>
      <c r="K56" s="1148"/>
      <c r="L56" s="944"/>
      <c r="M56" s="944"/>
      <c r="N56" s="944"/>
      <c r="O56" s="944"/>
    </row>
    <row r="57" spans="1:15" s="692" customFormat="1">
      <c r="A57" s="693" t="s">
        <v>2750</v>
      </c>
      <c r="B57" s="262" t="e">
        <f>ROUND($C$48*C57*D57,0)</f>
        <v>#DIV/0!</v>
      </c>
      <c r="C57" s="200">
        <f t="shared" ref="C57:C65" si="15">IF($C$55="北京市系数",I57,J57)</f>
        <v>0.8</v>
      </c>
      <c r="D57" s="1167">
        <v>0.25</v>
      </c>
      <c r="E57" s="694"/>
      <c r="F57" s="1106" t="e">
        <f t="shared" si="14"/>
        <v>#DIV/0!</v>
      </c>
      <c r="G57" s="3260" t="s">
        <v>2751</v>
      </c>
      <c r="H57" s="1107" t="str">
        <f>项目基本情况!B37</f>
        <v>二级</v>
      </c>
      <c r="I57" s="1111">
        <f>SUMIF(修正!A45:A56,H57,修正!B45:B56)</f>
        <v>0.8</v>
      </c>
      <c r="J57" s="1115"/>
      <c r="K57" s="1147"/>
      <c r="L57" s="944"/>
      <c r="M57" s="944"/>
      <c r="N57" s="944"/>
      <c r="O57" s="944"/>
    </row>
    <row r="58" spans="1:15" s="692" customFormat="1">
      <c r="A58" s="693" t="s">
        <v>2752</v>
      </c>
      <c r="B58" s="262" t="e">
        <f t="shared" ref="B58:B65" si="16">ROUND($C$48*C58*D58,0)</f>
        <v>#DIV/0!</v>
      </c>
      <c r="C58" s="200">
        <f t="shared" si="15"/>
        <v>0.5</v>
      </c>
      <c r="D58" s="1167">
        <v>0.25</v>
      </c>
      <c r="E58" s="694"/>
      <c r="F58" s="1106" t="e">
        <f t="shared" si="14"/>
        <v>#DIV/0!</v>
      </c>
      <c r="G58" s="3260"/>
      <c r="H58" s="1107" t="str">
        <f>项目基本情况!B37</f>
        <v>二级</v>
      </c>
      <c r="I58" s="1111">
        <f>SUMIF(修正!A45:A56,H58,修正!C45:C56)</f>
        <v>0.5</v>
      </c>
      <c r="J58" s="1115"/>
      <c r="K58" s="1148"/>
      <c r="L58" s="944"/>
      <c r="M58" s="944"/>
      <c r="N58" s="944"/>
      <c r="O58" s="944"/>
    </row>
    <row r="59" spans="1:15" s="692" customFormat="1">
      <c r="A59" s="693" t="s">
        <v>2753</v>
      </c>
      <c r="B59" s="262" t="e">
        <f t="shared" si="16"/>
        <v>#DIV/0!</v>
      </c>
      <c r="C59" s="200">
        <f t="shared" si="15"/>
        <v>0.36</v>
      </c>
      <c r="D59" s="1167">
        <v>0.25</v>
      </c>
      <c r="E59" s="694"/>
      <c r="F59" s="1106" t="e">
        <f t="shared" si="14"/>
        <v>#DIV/0!</v>
      </c>
      <c r="G59" s="3260"/>
      <c r="H59" s="1107" t="str">
        <f>项目基本情况!B37</f>
        <v>二级</v>
      </c>
      <c r="I59" s="1111">
        <f>SUMIF(修正!A45:A56,H59,修正!D45:D56)</f>
        <v>0.36</v>
      </c>
      <c r="J59" s="1115"/>
      <c r="K59" s="1147"/>
      <c r="L59" s="944"/>
      <c r="M59" s="944"/>
      <c r="N59" s="944"/>
      <c r="O59" s="944"/>
    </row>
    <row r="60" spans="1:15" s="692" customFormat="1">
      <c r="A60" s="693" t="s">
        <v>2754</v>
      </c>
      <c r="B60" s="262" t="e">
        <f t="shared" si="16"/>
        <v>#DIV/0!</v>
      </c>
      <c r="C60" s="200">
        <f t="shared" si="15"/>
        <v>0.3</v>
      </c>
      <c r="D60" s="1167">
        <v>0.25</v>
      </c>
      <c r="E60" s="694"/>
      <c r="F60" s="1106" t="e">
        <f t="shared" si="14"/>
        <v>#DIV/0!</v>
      </c>
      <c r="G60" s="3260"/>
      <c r="H60" s="1107" t="str">
        <f>项目基本情况!B37</f>
        <v>二级</v>
      </c>
      <c r="I60" s="1111">
        <f>SUMIF(修正!A45:A56,H60,修正!E45:E56)</f>
        <v>0.3</v>
      </c>
      <c r="J60" s="1115"/>
      <c r="K60" s="1148"/>
      <c r="L60" s="944"/>
      <c r="M60" s="944"/>
      <c r="N60" s="944"/>
      <c r="O60" s="944"/>
    </row>
    <row r="61" spans="1:15" s="692" customFormat="1">
      <c r="A61" s="693" t="s">
        <v>2755</v>
      </c>
      <c r="B61" s="262" t="e">
        <f t="shared" si="16"/>
        <v>#DIV/0!</v>
      </c>
      <c r="C61" s="200">
        <f t="shared" si="15"/>
        <v>0</v>
      </c>
      <c r="D61" s="1167">
        <v>0.25</v>
      </c>
      <c r="E61" s="261">
        <f>'数据-汇总表'!E11</f>
        <v>0</v>
      </c>
      <c r="F61" s="1106" t="e">
        <f t="shared" si="14"/>
        <v>#DIV/0!</v>
      </c>
      <c r="G61" s="2709" t="s">
        <v>2756</v>
      </c>
      <c r="H61" s="1107">
        <f>项目基本情况!C37</f>
        <v>0</v>
      </c>
      <c r="I61" s="1111">
        <f>SUMIF(修正!A45:A56,H61,修正!F45:F56)</f>
        <v>0</v>
      </c>
      <c r="J61" s="1115"/>
      <c r="K61" s="1147"/>
      <c r="L61" s="944"/>
      <c r="M61" s="944"/>
      <c r="N61" s="944"/>
      <c r="O61" s="944"/>
    </row>
    <row r="62" spans="1:15" s="692" customFormat="1">
      <c r="A62" s="693" t="s">
        <v>2757</v>
      </c>
      <c r="B62" s="262" t="e">
        <f t="shared" si="16"/>
        <v>#DIV/0!</v>
      </c>
      <c r="C62" s="200">
        <f t="shared" si="15"/>
        <v>0</v>
      </c>
      <c r="D62" s="1167">
        <v>0.25</v>
      </c>
      <c r="E62" s="261">
        <f>'数据-汇总表'!E12</f>
        <v>0</v>
      </c>
      <c r="F62" s="1106" t="e">
        <f t="shared" si="14"/>
        <v>#DIV/0!</v>
      </c>
      <c r="G62" s="1112" t="s">
        <v>2758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2759</v>
      </c>
      <c r="B63" s="262" t="e">
        <f t="shared" si="16"/>
        <v>#DIV/0!</v>
      </c>
      <c r="C63" s="200">
        <f t="shared" si="15"/>
        <v>0</v>
      </c>
      <c r="D63" s="1167">
        <v>0.25</v>
      </c>
      <c r="E63" s="261">
        <f>'数据-汇总表'!E13</f>
        <v>0</v>
      </c>
      <c r="F63" s="1106" t="e">
        <f t="shared" si="14"/>
        <v>#DIV/0!</v>
      </c>
      <c r="G63" s="1112" t="s">
        <v>2760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2761</v>
      </c>
      <c r="B64" s="262" t="e">
        <f t="shared" si="16"/>
        <v>#DIV/0!</v>
      </c>
      <c r="C64" s="200">
        <f t="shared" si="15"/>
        <v>0.25</v>
      </c>
      <c r="D64" s="1167">
        <v>0.25</v>
      </c>
      <c r="E64" s="261">
        <f>'数据-汇总表'!E14</f>
        <v>0</v>
      </c>
      <c r="F64" s="1106" t="e">
        <f t="shared" si="14"/>
        <v>#DIV/0!</v>
      </c>
      <c r="G64" s="2709" t="s">
        <v>2751</v>
      </c>
      <c r="H64" s="1107" t="str">
        <f>项目基本情况!B37</f>
        <v>二级</v>
      </c>
      <c r="I64" s="1111">
        <f>SUMIF(修正!A45:A56,H64,修正!H45:H56)</f>
        <v>0.25</v>
      </c>
      <c r="J64" s="1115"/>
      <c r="K64" s="1148"/>
      <c r="L64" s="944"/>
      <c r="M64" s="944"/>
      <c r="N64" s="944"/>
      <c r="O64" s="944"/>
    </row>
    <row r="65" spans="1:17" s="692" customFormat="1" ht="15" thickBot="1">
      <c r="A65" s="693" t="s">
        <v>2762</v>
      </c>
      <c r="B65" s="262" t="e">
        <f t="shared" si="16"/>
        <v>#DIV/0!</v>
      </c>
      <c r="C65" s="200">
        <f t="shared" si="15"/>
        <v>0</v>
      </c>
      <c r="D65" s="1167">
        <v>0.25</v>
      </c>
      <c r="E65" s="261">
        <f>'数据-汇总表'!E15</f>
        <v>0</v>
      </c>
      <c r="F65" s="1106" t="e">
        <f t="shared" si="14"/>
        <v>#DIV/0!</v>
      </c>
      <c r="G65" s="2710" t="s">
        <v>2756</v>
      </c>
      <c r="H65" s="1117">
        <f>项目基本情况!C37</f>
        <v>0</v>
      </c>
      <c r="I65" s="1113">
        <f>SUMIF(修正!A45:A56,H65,修正!H45:H56)</f>
        <v>0</v>
      </c>
      <c r="J65" s="1116"/>
      <c r="K65" s="1147"/>
      <c r="L65" s="944"/>
      <c r="M65" s="944"/>
      <c r="N65" s="944"/>
      <c r="O65" s="944"/>
    </row>
    <row r="66" spans="1:17" s="692" customFormat="1" ht="13.5" thickBot="1">
      <c r="A66" s="695" t="s">
        <v>2763</v>
      </c>
      <c r="B66" s="696" t="s">
        <v>28</v>
      </c>
      <c r="C66" s="696" t="s">
        <v>29</v>
      </c>
      <c r="D66" s="696" t="s">
        <v>1026</v>
      </c>
      <c r="E66" s="696">
        <f>IF(B46="楼面地价",SUM(E56:E65),'数据-汇总表'!D3)</f>
        <v>21001.03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7">EDATE(E68,-3)</f>
        <v>43191</v>
      </c>
      <c r="G68" s="761">
        <f t="shared" si="17"/>
        <v>43101</v>
      </c>
      <c r="H68" s="761">
        <f t="shared" si="17"/>
        <v>43009</v>
      </c>
      <c r="I68" s="761">
        <f t="shared" si="17"/>
        <v>42917</v>
      </c>
      <c r="J68" s="761">
        <f t="shared" si="17"/>
        <v>42826</v>
      </c>
      <c r="K68" s="761">
        <f t="shared" si="17"/>
        <v>42736</v>
      </c>
      <c r="L68" s="761">
        <f t="shared" si="17"/>
        <v>42644</v>
      </c>
      <c r="M68" s="761">
        <f t="shared" si="17"/>
        <v>42552</v>
      </c>
      <c r="N68" s="761">
        <f t="shared" si="17"/>
        <v>42461</v>
      </c>
      <c r="O68" s="761">
        <f t="shared" si="17"/>
        <v>42370</v>
      </c>
    </row>
    <row r="69" spans="1:17" ht="21.75" thickBot="1">
      <c r="A69" s="763" t="s">
        <v>2656</v>
      </c>
      <c r="B69" s="759"/>
      <c r="C69" s="764"/>
      <c r="D69" s="764"/>
      <c r="E69" s="764"/>
      <c r="F69" s="765"/>
      <c r="G69" s="765"/>
      <c r="H69" s="764"/>
      <c r="I69" s="764"/>
      <c r="J69" s="1162"/>
      <c r="K69" s="1163"/>
      <c r="L69" s="1164"/>
      <c r="M69" s="1162"/>
      <c r="N69" s="1162"/>
      <c r="O69" s="1162"/>
      <c r="P69" s="503"/>
      <c r="Q69" s="504"/>
    </row>
    <row r="70" spans="1:17" s="508" customFormat="1" ht="15">
      <c r="A70" s="2711" t="s">
        <v>2764</v>
      </c>
      <c r="B70" s="1362"/>
      <c r="C70" s="1575" t="str">
        <f>YEAR(C68)&amp;"-"&amp;ROUNDUP(MONTH(C68)/3,0)</f>
        <v>2019-1</v>
      </c>
      <c r="D70" s="1575" t="str">
        <f>YEAR(D68)&amp;"-"&amp;ROUNDUP(MONTH(D68)/3,0)</f>
        <v>2018-4</v>
      </c>
      <c r="E70" s="1575" t="str">
        <f t="shared" ref="E70:O70" si="18">YEAR(E68)&amp;"-"&amp;ROUNDUP(MONTH(E68)/3,0)</f>
        <v>2018-3</v>
      </c>
      <c r="F70" s="1575" t="str">
        <f t="shared" si="18"/>
        <v>2018-2</v>
      </c>
      <c r="G70" s="1575" t="str">
        <f t="shared" si="18"/>
        <v>2018-1</v>
      </c>
      <c r="H70" s="1575" t="str">
        <f t="shared" si="18"/>
        <v>2017-4</v>
      </c>
      <c r="I70" s="1575" t="str">
        <f t="shared" si="18"/>
        <v>2017-3</v>
      </c>
      <c r="J70" s="1575" t="str">
        <f t="shared" si="18"/>
        <v>2017-2</v>
      </c>
      <c r="K70" s="1575" t="str">
        <f t="shared" si="18"/>
        <v>2017-1</v>
      </c>
      <c r="L70" s="1575" t="str">
        <f t="shared" si="18"/>
        <v>2016-4</v>
      </c>
      <c r="M70" s="1575" t="str">
        <f t="shared" si="18"/>
        <v>2016-3</v>
      </c>
      <c r="N70" s="1575" t="str">
        <f t="shared" si="18"/>
        <v>2016-2</v>
      </c>
      <c r="O70" s="1575" t="str">
        <f t="shared" si="18"/>
        <v>2016-1</v>
      </c>
      <c r="P70" s="507"/>
    </row>
    <row r="71" spans="1:17" s="117" customFormat="1" ht="30" customHeight="1">
      <c r="A71" s="2712" t="s">
        <v>2765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2567</v>
      </c>
      <c r="B72" s="516"/>
      <c r="C72" s="517"/>
      <c r="D72" s="518"/>
      <c r="E72" s="518"/>
      <c r="F72" s="518"/>
      <c r="G72" s="518"/>
      <c r="H72" s="518"/>
      <c r="I72" s="518"/>
      <c r="J72" s="518"/>
      <c r="K72" s="518"/>
      <c r="L72" s="518"/>
      <c r="M72" s="519"/>
      <c r="N72" s="518"/>
      <c r="O72" s="1165"/>
      <c r="P72" s="504"/>
      <c r="Q72" s="504"/>
    </row>
    <row r="73" spans="1:17" s="117" customFormat="1" ht="15">
      <c r="A73" s="521" t="s">
        <v>2532</v>
      </c>
      <c r="B73" s="510"/>
      <c r="C73" s="522" t="s">
        <v>2634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2570</v>
      </c>
      <c r="B75" s="528" t="s">
        <v>2536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2539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2673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2732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2545</v>
      </c>
      <c r="B116" s="528" t="s">
        <v>2773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2775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2776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2777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2311</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213" t="s">
        <v>2628</v>
      </c>
      <c r="D4" s="3214"/>
      <c r="E4" s="3215" t="s">
        <v>2629</v>
      </c>
      <c r="F4" s="3216"/>
      <c r="G4" s="3213" t="s">
        <v>2630</v>
      </c>
      <c r="H4" s="3214"/>
      <c r="I4" s="3213" t="s">
        <v>2631</v>
      </c>
      <c r="J4" s="3214"/>
      <c r="K4" s="610" t="s">
        <v>2632</v>
      </c>
      <c r="L4" s="1133"/>
      <c r="M4" s="1134"/>
      <c r="N4" s="1134"/>
      <c r="O4" s="1134"/>
      <c r="P4" s="3217" t="s">
        <v>2633</v>
      </c>
      <c r="Q4" s="3218"/>
      <c r="R4" s="3223" t="s">
        <v>2629</v>
      </c>
      <c r="S4" s="3224"/>
      <c r="T4" s="3223" t="s">
        <v>2630</v>
      </c>
      <c r="U4" s="3224"/>
      <c r="V4" s="3229" t="s">
        <v>2631</v>
      </c>
      <c r="W4" s="3229"/>
      <c r="X4" s="1816"/>
      <c r="Y4" s="3223" t="s">
        <v>2633</v>
      </c>
      <c r="Z4" s="3224"/>
      <c r="AA4" s="3210" t="s">
        <v>2629</v>
      </c>
      <c r="AB4" s="3211" t="s">
        <v>2630</v>
      </c>
      <c r="AC4" s="3210" t="s">
        <v>2631</v>
      </c>
    </row>
    <row r="5" spans="1:29" ht="15">
      <c r="A5" s="404"/>
      <c r="B5" s="405"/>
      <c r="C5" s="3232" t="s">
        <v>2524</v>
      </c>
      <c r="D5" s="3233"/>
      <c r="E5" s="3239" t="s">
        <v>2525</v>
      </c>
      <c r="F5" s="3240"/>
      <c r="G5" s="3232" t="s">
        <v>2526</v>
      </c>
      <c r="H5" s="3233"/>
      <c r="I5" s="3232" t="s">
        <v>2527</v>
      </c>
      <c r="J5" s="3233"/>
      <c r="K5" s="610"/>
      <c r="L5" s="1133"/>
      <c r="M5" s="1134"/>
      <c r="N5" s="1134"/>
      <c r="O5" s="1134"/>
      <c r="P5" s="3219"/>
      <c r="Q5" s="3220"/>
      <c r="R5" s="3225"/>
      <c r="S5" s="3226"/>
      <c r="T5" s="3225"/>
      <c r="U5" s="3226"/>
      <c r="V5" s="3229"/>
      <c r="W5" s="3229"/>
      <c r="X5" s="1816"/>
      <c r="Y5" s="3225"/>
      <c r="Z5" s="3226"/>
      <c r="AA5" s="3211"/>
      <c r="AB5" s="3211"/>
      <c r="AC5" s="3211"/>
    </row>
    <row r="6" spans="1:29" ht="15.75" thickBot="1">
      <c r="A6" s="406"/>
      <c r="B6" s="407"/>
      <c r="C6" s="3261" t="s">
        <v>2779</v>
      </c>
      <c r="D6" s="3262"/>
      <c r="E6" s="3263" t="s">
        <v>2779</v>
      </c>
      <c r="F6" s="3264"/>
      <c r="G6" s="3261" t="s">
        <v>2779</v>
      </c>
      <c r="H6" s="3262"/>
      <c r="I6" s="3261" t="s">
        <v>2779</v>
      </c>
      <c r="J6" s="3262"/>
      <c r="K6" s="610" t="s">
        <v>2529</v>
      </c>
      <c r="L6" s="1133"/>
      <c r="M6" s="1134"/>
      <c r="N6" s="1134"/>
      <c r="O6" s="1134"/>
      <c r="P6" s="3221"/>
      <c r="Q6" s="3222"/>
      <c r="R6" s="3225"/>
      <c r="S6" s="3226"/>
      <c r="T6" s="3227"/>
      <c r="U6" s="3228"/>
      <c r="V6" s="3229"/>
      <c r="W6" s="3229"/>
      <c r="X6" s="1816"/>
      <c r="Y6" s="3227"/>
      <c r="Z6" s="3228"/>
      <c r="AA6" s="3212"/>
      <c r="AB6" s="3212"/>
      <c r="AC6" s="3212"/>
    </row>
    <row r="7" spans="1:29" s="117" customFormat="1" ht="15.75" thickBot="1">
      <c r="A7" s="408" t="s">
        <v>2530</v>
      </c>
      <c r="B7" s="409"/>
      <c r="C7" s="410">
        <f>'数据-取费表'!B2</f>
        <v>43485</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34" t="s">
        <v>2531</v>
      </c>
      <c r="Q7" s="3236"/>
      <c r="R7" s="770" t="s">
        <v>17</v>
      </c>
      <c r="S7" s="771">
        <f t="shared" ref="S7:S15" si="0">F7</f>
        <v>0</v>
      </c>
      <c r="T7" s="770" t="s">
        <v>17</v>
      </c>
      <c r="U7" s="771">
        <f t="shared" ref="U7:U15" si="1">H7</f>
        <v>0</v>
      </c>
      <c r="V7" s="770" t="s">
        <v>17</v>
      </c>
      <c r="W7" s="771">
        <f t="shared" ref="W7:W15" si="2">J7</f>
        <v>0</v>
      </c>
      <c r="X7" s="772"/>
      <c r="Y7" s="3234" t="s">
        <v>2531</v>
      </c>
      <c r="Z7" s="3235"/>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4" t="s">
        <v>2534</v>
      </c>
      <c r="Q8" s="3235"/>
      <c r="R8" s="770" t="s">
        <v>17</v>
      </c>
      <c r="S8" s="771">
        <f t="shared" si="0"/>
        <v>0</v>
      </c>
      <c r="T8" s="770" t="s">
        <v>17</v>
      </c>
      <c r="U8" s="771">
        <f t="shared" si="1"/>
        <v>0</v>
      </c>
      <c r="V8" s="770" t="s">
        <v>17</v>
      </c>
      <c r="W8" s="771">
        <f t="shared" si="2"/>
        <v>0</v>
      </c>
      <c r="X8" s="772"/>
      <c r="Y8" s="3234" t="s">
        <v>2534</v>
      </c>
      <c r="Z8" s="3235"/>
      <c r="AA8" s="773" t="e">
        <f t="shared" ref="AA8:AA40" si="3">D8/F8</f>
        <v>#DIV/0!</v>
      </c>
      <c r="AB8" s="773" t="e">
        <f t="shared" ref="AB8:AB40" si="4">D8/H8</f>
        <v>#DIV/0!</v>
      </c>
      <c r="AC8" s="773"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8" t="s">
        <v>2537</v>
      </c>
      <c r="Q9" s="1798" t="str">
        <f t="shared" ref="Q9:Q15" si="6">B9</f>
        <v>用途</v>
      </c>
      <c r="R9" s="770" t="s">
        <v>17</v>
      </c>
      <c r="S9" s="771">
        <f t="shared" si="0"/>
        <v>100</v>
      </c>
      <c r="T9" s="770" t="s">
        <v>17</v>
      </c>
      <c r="U9" s="771">
        <f t="shared" si="1"/>
        <v>100</v>
      </c>
      <c r="V9" s="770" t="s">
        <v>17</v>
      </c>
      <c r="W9" s="771">
        <f t="shared" si="2"/>
        <v>100</v>
      </c>
      <c r="X9" s="772"/>
      <c r="Y9" s="3003"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198"/>
      <c r="Q10" s="1798" t="str">
        <f t="shared" si="6"/>
        <v>土地使用年限（年）</v>
      </c>
      <c r="R10" s="770" t="s">
        <v>17</v>
      </c>
      <c r="S10" s="771">
        <f t="shared" ca="1" si="0"/>
        <v>118</v>
      </c>
      <c r="T10" s="770" t="s">
        <v>17</v>
      </c>
      <c r="U10" s="771">
        <f t="shared" ca="1" si="1"/>
        <v>118</v>
      </c>
      <c r="V10" s="770" t="s">
        <v>17</v>
      </c>
      <c r="W10" s="771">
        <f t="shared" ca="1" si="2"/>
        <v>118</v>
      </c>
      <c r="X10" s="772"/>
      <c r="Y10" s="3003"/>
      <c r="Z10" s="55" t="str">
        <f t="shared" si="7"/>
        <v>土地使用年限（年）</v>
      </c>
      <c r="AA10" s="773">
        <f t="shared" ca="1" si="3"/>
        <v>0.84745762711864403</v>
      </c>
      <c r="AB10" s="773">
        <f t="shared" ca="1" si="4"/>
        <v>0.84745762711864403</v>
      </c>
      <c r="AC10" s="773">
        <f t="shared" ca="1" si="5"/>
        <v>0.84745762711864403</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15">
      <c r="A15" s="440" t="s">
        <v>2541</v>
      </c>
      <c r="B15" s="629" t="s">
        <v>2780</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2542</v>
      </c>
      <c r="Q15" s="1813" t="str">
        <f t="shared" si="6"/>
        <v>产业集聚程度</v>
      </c>
      <c r="R15" s="774" t="s">
        <v>17</v>
      </c>
      <c r="S15" s="775">
        <f t="shared" si="0"/>
        <v>100</v>
      </c>
      <c r="T15" s="774" t="s">
        <v>17</v>
      </c>
      <c r="U15" s="775">
        <f t="shared" si="1"/>
        <v>100</v>
      </c>
      <c r="V15" s="774" t="s">
        <v>17</v>
      </c>
      <c r="W15" s="775">
        <f t="shared" si="2"/>
        <v>100</v>
      </c>
      <c r="X15" s="1816"/>
      <c r="Y15" s="3200" t="s">
        <v>2542</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15">
      <c r="A17" s="428"/>
      <c r="B17" s="631" t="s">
        <v>2691</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3" t="str">
        <f t="shared" ref="Q19:Q33" si="8">B19</f>
        <v>区域土地利用方向</v>
      </c>
      <c r="R19" s="774" t="s">
        <v>17</v>
      </c>
      <c r="S19" s="775">
        <f>F19</f>
        <v>100</v>
      </c>
      <c r="T19" s="774" t="s">
        <v>17</v>
      </c>
      <c r="U19" s="775">
        <f>H19</f>
        <v>100</v>
      </c>
      <c r="V19" s="774" t="s">
        <v>17</v>
      </c>
      <c r="W19" s="775">
        <f>J19</f>
        <v>100</v>
      </c>
      <c r="X19" s="1816"/>
      <c r="Y19" s="3201"/>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201"/>
      <c r="Q20" s="1813"/>
      <c r="R20" s="774"/>
      <c r="S20" s="775"/>
      <c r="T20" s="774"/>
      <c r="U20" s="775"/>
      <c r="V20" s="774"/>
      <c r="W20" s="775"/>
      <c r="X20" s="1816"/>
      <c r="Y20" s="3201"/>
      <c r="Z20" s="1817"/>
      <c r="AA20" s="1814"/>
      <c r="AB20" s="1814"/>
      <c r="AC20" s="1814"/>
    </row>
    <row r="21" spans="1:29" ht="15">
      <c r="A21" s="404"/>
      <c r="B21" s="631" t="s">
        <v>2781</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3" t="str">
        <f t="shared" si="8"/>
        <v>环境状况</v>
      </c>
      <c r="R21" s="774" t="s">
        <v>17</v>
      </c>
      <c r="S21" s="775">
        <f>F21</f>
        <v>100</v>
      </c>
      <c r="T21" s="774" t="s">
        <v>17</v>
      </c>
      <c r="U21" s="775">
        <f>H21</f>
        <v>100</v>
      </c>
      <c r="V21" s="774" t="s">
        <v>17</v>
      </c>
      <c r="W21" s="775">
        <f>J21</f>
        <v>100</v>
      </c>
      <c r="X21" s="1816"/>
      <c r="Y21" s="3201"/>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s="117" customFormat="1" ht="15">
      <c r="A23" s="649"/>
      <c r="B23" s="633" t="s">
        <v>2636</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8" t="str">
        <f t="shared" si="8"/>
        <v>公共配套设施</v>
      </c>
      <c r="R23" s="770" t="s">
        <v>17</v>
      </c>
      <c r="S23" s="771">
        <f>F23</f>
        <v>100</v>
      </c>
      <c r="T23" s="770" t="s">
        <v>17</v>
      </c>
      <c r="U23" s="771">
        <f>H23</f>
        <v>100</v>
      </c>
      <c r="V23" s="770" t="s">
        <v>17</v>
      </c>
      <c r="W23" s="771">
        <f>J23</f>
        <v>100</v>
      </c>
      <c r="X23" s="772"/>
      <c r="Y23" s="3201"/>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201"/>
      <c r="Q24" s="1798"/>
      <c r="R24" s="770"/>
      <c r="S24" s="771"/>
      <c r="T24" s="770"/>
      <c r="U24" s="771"/>
      <c r="V24" s="770"/>
      <c r="W24" s="771"/>
      <c r="X24" s="772"/>
      <c r="Y24" s="3201"/>
      <c r="Z24" s="55"/>
      <c r="AA24" s="773">
        <v>1</v>
      </c>
      <c r="AB24" s="773">
        <v>1</v>
      </c>
      <c r="AC24" s="773">
        <v>1</v>
      </c>
    </row>
    <row r="25" spans="1:29" s="117" customFormat="1" ht="15">
      <c r="A25" s="649"/>
      <c r="B25" s="633" t="s">
        <v>2637</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8" t="str">
        <f>B25</f>
        <v>基础设施水平</v>
      </c>
      <c r="R25" s="770" t="s">
        <v>17</v>
      </c>
      <c r="S25" s="771">
        <f>F25</f>
        <v>100</v>
      </c>
      <c r="T25" s="770" t="s">
        <v>17</v>
      </c>
      <c r="U25" s="771">
        <f>H25</f>
        <v>100</v>
      </c>
      <c r="V25" s="770" t="s">
        <v>17</v>
      </c>
      <c r="W25" s="771">
        <f>J25</f>
        <v>100</v>
      </c>
      <c r="X25" s="772"/>
      <c r="Y25" s="3201"/>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01"/>
      <c r="Q26" s="1798"/>
      <c r="R26" s="770"/>
      <c r="S26" s="771"/>
      <c r="T26" s="770"/>
      <c r="U26" s="771"/>
      <c r="V26" s="770"/>
      <c r="W26" s="771"/>
      <c r="X26" s="772"/>
      <c r="Y26" s="3201"/>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3" t="str">
        <f t="shared" si="8"/>
        <v>临街状况</v>
      </c>
      <c r="R27" s="774" t="s">
        <v>17</v>
      </c>
      <c r="S27" s="775">
        <f t="shared" ref="S27:S40" si="9">F27</f>
        <v>100</v>
      </c>
      <c r="T27" s="774" t="s">
        <v>17</v>
      </c>
      <c r="U27" s="775">
        <f t="shared" ref="U27:U40" si="10">H27</f>
        <v>100</v>
      </c>
      <c r="V27" s="774" t="s">
        <v>17</v>
      </c>
      <c r="W27" s="775">
        <f t="shared" ref="W27:W40" si="11">J27</f>
        <v>100</v>
      </c>
      <c r="X27" s="1816"/>
      <c r="Y27" s="3201"/>
      <c r="Z27" s="1817" t="str">
        <f t="shared" ref="Z27:Z40" si="12">Q27</f>
        <v>临街状况</v>
      </c>
      <c r="AA27" s="1814">
        <f t="shared" si="3"/>
        <v>1</v>
      </c>
      <c r="AB27" s="1814">
        <f t="shared" si="4"/>
        <v>1</v>
      </c>
      <c r="AC27" s="1814">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3" t="str">
        <f t="shared" si="8"/>
        <v>毗邻道路的类型与等级</v>
      </c>
      <c r="R28" s="774" t="s">
        <v>17</v>
      </c>
      <c r="S28" s="775">
        <f t="shared" si="9"/>
        <v>100</v>
      </c>
      <c r="T28" s="774" t="s">
        <v>17</v>
      </c>
      <c r="U28" s="775">
        <f t="shared" si="10"/>
        <v>100</v>
      </c>
      <c r="V28" s="774" t="s">
        <v>17</v>
      </c>
      <c r="W28" s="775">
        <f t="shared" si="11"/>
        <v>100</v>
      </c>
      <c r="X28" s="1816"/>
      <c r="Y28" s="3201"/>
      <c r="Z28" s="1817" t="str">
        <f t="shared" si="12"/>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201"/>
      <c r="Q29" s="1813"/>
      <c r="R29" s="774"/>
      <c r="S29" s="775"/>
      <c r="T29" s="774"/>
      <c r="U29" s="775"/>
      <c r="V29" s="774"/>
      <c r="W29" s="775"/>
      <c r="X29" s="1816"/>
      <c r="Y29" s="3201"/>
      <c r="Z29" s="1817"/>
      <c r="AA29" s="1814">
        <v>1</v>
      </c>
      <c r="AB29" s="1814">
        <v>1</v>
      </c>
      <c r="AC29" s="1814">
        <v>1</v>
      </c>
    </row>
    <row r="30" spans="1:29" ht="15">
      <c r="A30" s="428"/>
      <c r="B30" s="654" t="s">
        <v>2732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3" t="str">
        <f t="shared" si="8"/>
        <v>土地级别</v>
      </c>
      <c r="R30" s="774" t="s">
        <v>17</v>
      </c>
      <c r="S30" s="775">
        <f t="shared" si="9"/>
        <v>100</v>
      </c>
      <c r="T30" s="774" t="s">
        <v>17</v>
      </c>
      <c r="U30" s="775">
        <f t="shared" si="10"/>
        <v>100</v>
      </c>
      <c r="V30" s="774" t="s">
        <v>17</v>
      </c>
      <c r="W30" s="775">
        <f t="shared" si="11"/>
        <v>100</v>
      </c>
      <c r="X30" s="1816"/>
      <c r="Y30" s="3201"/>
      <c r="Z30" s="1817" t="str">
        <f t="shared" si="12"/>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3">
        <f t="shared" si="8"/>
        <v>111</v>
      </c>
      <c r="R31" s="774" t="s">
        <v>17</v>
      </c>
      <c r="S31" s="775">
        <f t="shared" si="9"/>
        <v>100</v>
      </c>
      <c r="T31" s="774" t="s">
        <v>17</v>
      </c>
      <c r="U31" s="775">
        <f t="shared" si="10"/>
        <v>100</v>
      </c>
      <c r="V31" s="774" t="s">
        <v>17</v>
      </c>
      <c r="W31" s="775">
        <f t="shared" si="11"/>
        <v>100</v>
      </c>
      <c r="X31" s="1816"/>
      <c r="Y31" s="3201"/>
      <c r="Z31" s="1817">
        <f t="shared" si="12"/>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6" t="s">
        <v>2547</v>
      </c>
      <c r="Q32" s="1813">
        <f t="shared" si="8"/>
        <v>111</v>
      </c>
      <c r="R32" s="774" t="s">
        <v>17</v>
      </c>
      <c r="S32" s="775">
        <f t="shared" si="9"/>
        <v>100</v>
      </c>
      <c r="T32" s="774" t="s">
        <v>17</v>
      </c>
      <c r="U32" s="775">
        <f t="shared" si="10"/>
        <v>100</v>
      </c>
      <c r="V32" s="774" t="s">
        <v>17</v>
      </c>
      <c r="W32" s="775">
        <f t="shared" si="11"/>
        <v>100</v>
      </c>
      <c r="X32" s="1816"/>
      <c r="Y32" s="3205" t="s">
        <v>2547</v>
      </c>
      <c r="Z32" s="1817">
        <f t="shared" si="12"/>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5"/>
      <c r="Q33" s="1813">
        <f t="shared" si="8"/>
        <v>111</v>
      </c>
      <c r="R33" s="777" t="s">
        <v>17</v>
      </c>
      <c r="S33" s="778">
        <f t="shared" si="9"/>
        <v>100</v>
      </c>
      <c r="T33" s="777" t="s">
        <v>17</v>
      </c>
      <c r="U33" s="778">
        <f t="shared" si="10"/>
        <v>100</v>
      </c>
      <c r="V33" s="777" t="s">
        <v>17</v>
      </c>
      <c r="W33" s="778">
        <f t="shared" si="11"/>
        <v>100</v>
      </c>
      <c r="X33" s="779"/>
      <c r="Y33" s="3205"/>
      <c r="Z33" s="780">
        <f t="shared" si="12"/>
        <v>111</v>
      </c>
      <c r="AA33" s="1814">
        <f t="shared" si="3"/>
        <v>1</v>
      </c>
      <c r="AB33" s="1814">
        <f t="shared" si="4"/>
        <v>1</v>
      </c>
      <c r="AC33" s="1814">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5"/>
      <c r="Q34" s="1813" t="str">
        <f>B34</f>
        <v>宗地面积</v>
      </c>
      <c r="R34" s="774" t="s">
        <v>17</v>
      </c>
      <c r="S34" s="775" t="e">
        <f t="shared" si="9"/>
        <v>#N/A</v>
      </c>
      <c r="T34" s="774" t="s">
        <v>17</v>
      </c>
      <c r="U34" s="775" t="e">
        <f t="shared" si="10"/>
        <v>#N/A</v>
      </c>
      <c r="V34" s="774" t="s">
        <v>17</v>
      </c>
      <c r="W34" s="775" t="e">
        <f t="shared" si="11"/>
        <v>#N/A</v>
      </c>
      <c r="X34" s="1816"/>
      <c r="Y34" s="3205"/>
      <c r="Z34" s="1817" t="str">
        <f t="shared" si="12"/>
        <v>宗地面积</v>
      </c>
      <c r="AA34" s="1814" t="e">
        <f t="shared" si="3"/>
        <v>#N/A</v>
      </c>
      <c r="AB34" s="1814" t="e">
        <f t="shared" si="4"/>
        <v>#N/A</v>
      </c>
      <c r="AC34" s="1814"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5"/>
      <c r="Q35" s="1813" t="str">
        <f t="shared" ref="Q35:Q40" si="13">B35</f>
        <v>宗地形状</v>
      </c>
      <c r="R35" s="774" t="s">
        <v>17</v>
      </c>
      <c r="S35" s="775">
        <f t="shared" si="9"/>
        <v>100</v>
      </c>
      <c r="T35" s="774" t="s">
        <v>17</v>
      </c>
      <c r="U35" s="775">
        <f t="shared" si="10"/>
        <v>100</v>
      </c>
      <c r="V35" s="774" t="s">
        <v>17</v>
      </c>
      <c r="W35" s="775">
        <f t="shared" si="11"/>
        <v>100</v>
      </c>
      <c r="X35" s="1816"/>
      <c r="Y35" s="3205"/>
      <c r="Z35" s="1817" t="str">
        <f t="shared" si="12"/>
        <v>宗地形状</v>
      </c>
      <c r="AA35" s="1814">
        <f t="shared" si="3"/>
        <v>1</v>
      </c>
      <c r="AB35" s="1814">
        <f t="shared" si="4"/>
        <v>1</v>
      </c>
      <c r="AC35" s="1814">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5"/>
      <c r="Q36" s="1813" t="str">
        <f t="shared" si="13"/>
        <v>宗地开发程度</v>
      </c>
      <c r="R36" s="770" t="s">
        <v>17</v>
      </c>
      <c r="S36" s="771">
        <f t="shared" si="9"/>
        <v>100</v>
      </c>
      <c r="T36" s="770" t="s">
        <v>17</v>
      </c>
      <c r="U36" s="771">
        <f t="shared" si="10"/>
        <v>100</v>
      </c>
      <c r="V36" s="770" t="s">
        <v>17</v>
      </c>
      <c r="W36" s="771">
        <f t="shared" si="11"/>
        <v>100</v>
      </c>
      <c r="X36" s="772"/>
      <c r="Y36" s="3205"/>
      <c r="Z36" s="55" t="str">
        <f t="shared" si="12"/>
        <v>宗地开发程度</v>
      </c>
      <c r="AA36" s="773">
        <f t="shared" si="3"/>
        <v>1</v>
      </c>
      <c r="AB36" s="773">
        <f t="shared" si="4"/>
        <v>1</v>
      </c>
      <c r="AC36" s="773">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5" t="s">
        <v>2547</v>
      </c>
      <c r="Q37" s="1813" t="str">
        <f t="shared" si="13"/>
        <v>工程地质条件</v>
      </c>
      <c r="R37" s="774" t="s">
        <v>17</v>
      </c>
      <c r="S37" s="775">
        <f t="shared" si="9"/>
        <v>100</v>
      </c>
      <c r="T37" s="774" t="s">
        <v>17</v>
      </c>
      <c r="U37" s="775">
        <f t="shared" si="10"/>
        <v>100</v>
      </c>
      <c r="V37" s="774" t="s">
        <v>17</v>
      </c>
      <c r="W37" s="775">
        <f t="shared" si="11"/>
        <v>100</v>
      </c>
      <c r="X37" s="1816"/>
      <c r="Y37" s="3205" t="s">
        <v>2547</v>
      </c>
      <c r="Z37" s="1817" t="str">
        <f t="shared" si="12"/>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5"/>
      <c r="Q38" s="1813">
        <f t="shared" si="13"/>
        <v>111</v>
      </c>
      <c r="R38" s="774" t="s">
        <v>17</v>
      </c>
      <c r="S38" s="775">
        <f t="shared" si="9"/>
        <v>100</v>
      </c>
      <c r="T38" s="774" t="s">
        <v>17</v>
      </c>
      <c r="U38" s="775">
        <f t="shared" si="10"/>
        <v>100</v>
      </c>
      <c r="V38" s="774" t="s">
        <v>17</v>
      </c>
      <c r="W38" s="775">
        <f t="shared" si="11"/>
        <v>100</v>
      </c>
      <c r="X38" s="1816"/>
      <c r="Y38" s="3205"/>
      <c r="Z38" s="1817">
        <f t="shared" si="12"/>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5"/>
      <c r="Q39" s="1813">
        <f t="shared" si="13"/>
        <v>111</v>
      </c>
      <c r="R39" s="774" t="s">
        <v>17</v>
      </c>
      <c r="S39" s="775">
        <f t="shared" si="9"/>
        <v>100</v>
      </c>
      <c r="T39" s="774" t="s">
        <v>17</v>
      </c>
      <c r="U39" s="775">
        <f t="shared" si="10"/>
        <v>100</v>
      </c>
      <c r="V39" s="774" t="s">
        <v>17</v>
      </c>
      <c r="W39" s="775">
        <f t="shared" si="11"/>
        <v>100</v>
      </c>
      <c r="X39" s="1816"/>
      <c r="Y39" s="3205"/>
      <c r="Z39" s="1817">
        <f t="shared" si="12"/>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5"/>
      <c r="Q40" s="1813">
        <f t="shared" si="13"/>
        <v>111</v>
      </c>
      <c r="R40" s="777" t="s">
        <v>17</v>
      </c>
      <c r="S40" s="778">
        <f t="shared" si="9"/>
        <v>100</v>
      </c>
      <c r="T40" s="777" t="s">
        <v>17</v>
      </c>
      <c r="U40" s="778">
        <f t="shared" si="10"/>
        <v>100</v>
      </c>
      <c r="V40" s="777" t="s">
        <v>17</v>
      </c>
      <c r="W40" s="778">
        <f t="shared" si="11"/>
        <v>100</v>
      </c>
      <c r="X40" s="779"/>
      <c r="Y40" s="3205"/>
      <c r="Z40" s="780">
        <f t="shared" si="12"/>
        <v>111</v>
      </c>
      <c r="AA40" s="1814">
        <f t="shared" si="3"/>
        <v>1</v>
      </c>
      <c r="AB40" s="1814">
        <f t="shared" si="4"/>
        <v>1</v>
      </c>
      <c r="AC40" s="1814">
        <f t="shared" si="5"/>
        <v>1</v>
      </c>
    </row>
    <row r="41" spans="1:29" ht="15">
      <c r="A41" s="479" t="s">
        <v>2702</v>
      </c>
      <c r="B41" s="2704" t="s">
        <v>2782</v>
      </c>
      <c r="C41" s="682" t="s">
        <v>1</v>
      </c>
      <c r="D41" s="481"/>
      <c r="E41" s="482"/>
      <c r="F41" s="483"/>
      <c r="G41" s="484"/>
      <c r="H41" s="485"/>
      <c r="I41" s="482"/>
      <c r="J41" s="485"/>
      <c r="K41" s="783"/>
      <c r="L41" s="1146"/>
      <c r="M41" s="1134"/>
      <c r="N41" s="1134"/>
      <c r="O41" s="1147"/>
      <c r="P41" s="3198" t="str">
        <f>A41</f>
        <v>成交单价</v>
      </c>
      <c r="Q41" s="3198"/>
      <c r="R41" s="3229">
        <f>E41</f>
        <v>0</v>
      </c>
      <c r="S41" s="3229"/>
      <c r="T41" s="3229">
        <f>G41</f>
        <v>0</v>
      </c>
      <c r="U41" s="3229"/>
      <c r="V41" s="3229">
        <f>I41</f>
        <v>0</v>
      </c>
      <c r="W41" s="3229"/>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6"/>
      <c r="M42" s="1134"/>
      <c r="N42" s="1134"/>
      <c r="O42" s="1147"/>
      <c r="P42" s="3198" t="str">
        <f>A42</f>
        <v>比较价值（元/平方米）</v>
      </c>
      <c r="Q42" s="3198"/>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6"/>
      <c r="M43" s="1134"/>
      <c r="N43" s="1134"/>
      <c r="O43" s="1147"/>
      <c r="P43" s="3195" t="str">
        <f>A43</f>
        <v>估价对象XX用房的比较价值（楼面单价，元/平方米）</v>
      </c>
      <c r="Q43" s="3196"/>
      <c r="R43" s="3258" t="e">
        <f>ROUND(AVERAGE(R42:V42),0)</f>
        <v>#DIV/0!</v>
      </c>
      <c r="S43" s="3258"/>
      <c r="T43" s="3258"/>
      <c r="U43" s="3258"/>
      <c r="V43" s="3258"/>
      <c r="W43" s="32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2740</v>
      </c>
      <c r="B50" s="685" t="s">
        <v>2741</v>
      </c>
      <c r="C50" s="2705" t="s">
        <v>2742</v>
      </c>
      <c r="D50" s="2706" t="s">
        <v>2743</v>
      </c>
      <c r="E50" s="686" t="s">
        <v>2744</v>
      </c>
      <c r="F50" s="687" t="s">
        <v>2745</v>
      </c>
      <c r="G50" s="3213" t="s">
        <v>2746</v>
      </c>
      <c r="H50" s="3259"/>
      <c r="I50" s="1817" t="s">
        <v>2783</v>
      </c>
      <c r="J50" s="1817">
        <f>项目基本情况!F35</f>
        <v>0</v>
      </c>
      <c r="K50" s="2708" t="s">
        <v>2748</v>
      </c>
      <c r="L50" s="1109"/>
      <c r="M50" s="1147"/>
      <c r="N50" s="1147"/>
      <c r="O50" s="1147"/>
    </row>
    <row r="51" spans="1:17" s="692" customFormat="1">
      <c r="A51" s="688" t="s">
        <v>2749</v>
      </c>
      <c r="B51" s="689" t="e">
        <f>C43</f>
        <v>#DIV/0!</v>
      </c>
      <c r="C51" s="690">
        <v>1</v>
      </c>
      <c r="D51" s="1166">
        <v>1</v>
      </c>
      <c r="E51" s="690">
        <f>'数据-汇总表'!E8+'数据-汇总表'!E9</f>
        <v>21001.03</v>
      </c>
      <c r="F51" s="691" t="e">
        <f t="shared" ref="F51:F60" si="14">ROUND(B51*E51/10000,0)</f>
        <v>#DIV/0!</v>
      </c>
      <c r="G51" s="3209"/>
      <c r="H51" s="3198"/>
      <c r="I51" s="945">
        <v>1</v>
      </c>
      <c r="J51" s="945">
        <v>1</v>
      </c>
      <c r="K51" s="1148"/>
      <c r="L51" s="944"/>
      <c r="M51" s="944"/>
      <c r="N51" s="944"/>
      <c r="O51" s="944"/>
    </row>
    <row r="52" spans="1:17" s="692" customFormat="1">
      <c r="A52" s="693" t="s">
        <v>2750</v>
      </c>
      <c r="B52" s="262" t="e">
        <f>ROUND($C$43*C52*D52,0)</f>
        <v>#DIV/0!</v>
      </c>
      <c r="C52" s="200">
        <f t="shared" ref="C52:C60" si="15">IF($C$50="北京市系数",I52,J52)</f>
        <v>0.8</v>
      </c>
      <c r="D52" s="1167">
        <v>0.25</v>
      </c>
      <c r="E52" s="694"/>
      <c r="F52" s="691" t="e">
        <f t="shared" si="14"/>
        <v>#DIV/0!</v>
      </c>
      <c r="G52" s="3260" t="s">
        <v>2751</v>
      </c>
      <c r="H52" s="1107" t="str">
        <f>项目基本情况!B37</f>
        <v>二级</v>
      </c>
      <c r="I52" s="945">
        <f>SUMIF(修正!A45:A56,H52,修正!B45:B56)</f>
        <v>0.8</v>
      </c>
      <c r="J52" s="946"/>
      <c r="K52" s="1147"/>
      <c r="L52" s="944"/>
      <c r="M52" s="944"/>
      <c r="N52" s="944"/>
      <c r="O52" s="944"/>
    </row>
    <row r="53" spans="1:17" s="692" customFormat="1">
      <c r="A53" s="693" t="s">
        <v>2752</v>
      </c>
      <c r="B53" s="262" t="e">
        <f t="shared" ref="B53:B60" si="16">ROUND($C$43*C53*D53,0)</f>
        <v>#DIV/0!</v>
      </c>
      <c r="C53" s="200">
        <f t="shared" si="15"/>
        <v>0.5</v>
      </c>
      <c r="D53" s="1167">
        <v>0.25</v>
      </c>
      <c r="E53" s="694"/>
      <c r="F53" s="691" t="e">
        <f t="shared" si="14"/>
        <v>#DIV/0!</v>
      </c>
      <c r="G53" s="3260"/>
      <c r="H53" s="1107" t="str">
        <f>项目基本情况!B37</f>
        <v>二级</v>
      </c>
      <c r="I53" s="945">
        <f>SUMIF(修正!A45:A56,H53,修正!C45:C56)</f>
        <v>0.5</v>
      </c>
      <c r="J53" s="946"/>
      <c r="K53" s="1148"/>
      <c r="L53" s="944"/>
      <c r="M53" s="944"/>
      <c r="N53" s="944"/>
      <c r="O53" s="944"/>
    </row>
    <row r="54" spans="1:17" s="692" customFormat="1">
      <c r="A54" s="693" t="s">
        <v>2753</v>
      </c>
      <c r="B54" s="262" t="e">
        <f t="shared" si="16"/>
        <v>#DIV/0!</v>
      </c>
      <c r="C54" s="200">
        <f t="shared" si="15"/>
        <v>0.36</v>
      </c>
      <c r="D54" s="1167">
        <v>0.25</v>
      </c>
      <c r="E54" s="694"/>
      <c r="F54" s="691" t="e">
        <f t="shared" si="14"/>
        <v>#DIV/0!</v>
      </c>
      <c r="G54" s="3260"/>
      <c r="H54" s="1107" t="str">
        <f>项目基本情况!B37</f>
        <v>二级</v>
      </c>
      <c r="I54" s="945">
        <f>SUMIF(修正!A45:A56,H54,修正!D45:D56)</f>
        <v>0.36</v>
      </c>
      <c r="J54" s="946"/>
      <c r="K54" s="1147"/>
      <c r="L54" s="944"/>
      <c r="M54" s="944"/>
      <c r="N54" s="944"/>
      <c r="O54" s="944"/>
    </row>
    <row r="55" spans="1:17" s="692" customFormat="1">
      <c r="A55" s="693" t="s">
        <v>2754</v>
      </c>
      <c r="B55" s="262" t="e">
        <f t="shared" si="16"/>
        <v>#DIV/0!</v>
      </c>
      <c r="C55" s="200">
        <f t="shared" si="15"/>
        <v>0.3</v>
      </c>
      <c r="D55" s="1167">
        <v>0.25</v>
      </c>
      <c r="E55" s="694"/>
      <c r="F55" s="691" t="e">
        <f t="shared" si="14"/>
        <v>#DIV/0!</v>
      </c>
      <c r="G55" s="3260"/>
      <c r="H55" s="1107" t="str">
        <f>项目基本情况!B37</f>
        <v>二级</v>
      </c>
      <c r="I55" s="945">
        <f>SUMIF(修正!A45:A56,H55,修正!E45:E56)</f>
        <v>0.3</v>
      </c>
      <c r="J55" s="946"/>
      <c r="K55" s="1148"/>
      <c r="L55" s="944"/>
      <c r="M55" s="944"/>
      <c r="N55" s="944"/>
      <c r="O55" s="944"/>
    </row>
    <row r="56" spans="1:17" s="692" customFormat="1">
      <c r="A56" s="693" t="s">
        <v>2755</v>
      </c>
      <c r="B56" s="262" t="e">
        <f t="shared" si="16"/>
        <v>#DIV/0!</v>
      </c>
      <c r="C56" s="200">
        <f t="shared" si="15"/>
        <v>0</v>
      </c>
      <c r="D56" s="1167">
        <v>0.25</v>
      </c>
      <c r="E56" s="261">
        <f>'数据-汇总表'!E11</f>
        <v>0</v>
      </c>
      <c r="F56" s="691" t="e">
        <f t="shared" si="14"/>
        <v>#DIV/0!</v>
      </c>
      <c r="G56" s="2709" t="s">
        <v>2756</v>
      </c>
      <c r="H56" s="1107">
        <f>项目基本情况!C37</f>
        <v>0</v>
      </c>
      <c r="I56" s="945">
        <f>SUMIF(修正!A45:A56,H56,修正!F45:F56)</f>
        <v>0</v>
      </c>
      <c r="J56" s="946"/>
      <c r="K56" s="1147"/>
      <c r="L56" s="944"/>
      <c r="M56" s="944"/>
      <c r="N56" s="944"/>
      <c r="O56" s="944"/>
    </row>
    <row r="57" spans="1:17" s="692" customFormat="1">
      <c r="A57" s="693" t="s">
        <v>2757</v>
      </c>
      <c r="B57" s="262" t="e">
        <f t="shared" si="16"/>
        <v>#DIV/0!</v>
      </c>
      <c r="C57" s="200">
        <f t="shared" si="15"/>
        <v>0</v>
      </c>
      <c r="D57" s="1167">
        <v>0.25</v>
      </c>
      <c r="E57" s="261">
        <f>'数据-汇总表'!E12</f>
        <v>0</v>
      </c>
      <c r="F57" s="691" t="e">
        <f t="shared" si="14"/>
        <v>#DIV/0!</v>
      </c>
      <c r="G57" s="1112" t="s">
        <v>2758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2759</v>
      </c>
      <c r="B58" s="262" t="e">
        <f t="shared" si="16"/>
        <v>#DIV/0!</v>
      </c>
      <c r="C58" s="200">
        <f t="shared" si="15"/>
        <v>0</v>
      </c>
      <c r="D58" s="1167">
        <v>0.25</v>
      </c>
      <c r="E58" s="261">
        <f>'数据-汇总表'!E13</f>
        <v>0</v>
      </c>
      <c r="F58" s="691" t="e">
        <f t="shared" si="14"/>
        <v>#DIV/0!</v>
      </c>
      <c r="G58" s="1112" t="s">
        <v>2760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2761</v>
      </c>
      <c r="B59" s="262" t="e">
        <f t="shared" si="16"/>
        <v>#DIV/0!</v>
      </c>
      <c r="C59" s="200">
        <f t="shared" si="15"/>
        <v>0.25</v>
      </c>
      <c r="D59" s="1167">
        <v>0.25</v>
      </c>
      <c r="E59" s="261">
        <f>'数据-汇总表'!E14</f>
        <v>0</v>
      </c>
      <c r="F59" s="691" t="e">
        <f t="shared" si="14"/>
        <v>#DIV/0!</v>
      </c>
      <c r="G59" s="2709" t="s">
        <v>2751</v>
      </c>
      <c r="H59" s="1107" t="str">
        <f>项目基本情况!B37</f>
        <v>二级</v>
      </c>
      <c r="I59" s="945">
        <f>SUMIF(修正!A45:A56,H59,修正!H45:H56)</f>
        <v>0.25</v>
      </c>
      <c r="J59" s="946"/>
      <c r="K59" s="1148"/>
      <c r="L59" s="944"/>
      <c r="M59" s="944"/>
      <c r="N59" s="944"/>
      <c r="O59" s="944"/>
    </row>
    <row r="60" spans="1:17" s="692" customFormat="1" ht="15" thickBot="1">
      <c r="A60" s="693" t="s">
        <v>2762</v>
      </c>
      <c r="B60" s="262" t="e">
        <f t="shared" si="16"/>
        <v>#DIV/0!</v>
      </c>
      <c r="C60" s="200">
        <f t="shared" si="15"/>
        <v>0</v>
      </c>
      <c r="D60" s="1167">
        <v>0.25</v>
      </c>
      <c r="E60" s="261">
        <f>'数据-汇总表'!E15</f>
        <v>0</v>
      </c>
      <c r="F60" s="691" t="e">
        <f t="shared" si="14"/>
        <v>#DIV/0!</v>
      </c>
      <c r="G60" s="2710" t="s">
        <v>2756</v>
      </c>
      <c r="H60" s="1117">
        <f>项目基本情况!C37</f>
        <v>0</v>
      </c>
      <c r="I60" s="945">
        <f>SUMIF(修正!A45:A56,H60,修正!H45:H56)</f>
        <v>0</v>
      </c>
      <c r="J60" s="946"/>
      <c r="K60" s="1147"/>
      <c r="L60" s="944"/>
      <c r="M60" s="944"/>
      <c r="N60" s="944"/>
      <c r="O60" s="944"/>
    </row>
    <row r="61" spans="1:17" s="692" customFormat="1" ht="15" thickBot="1">
      <c r="A61" s="695" t="s">
        <v>2763</v>
      </c>
      <c r="B61" s="696" t="s">
        <v>28</v>
      </c>
      <c r="C61" s="696" t="s">
        <v>29</v>
      </c>
      <c r="D61" s="696" t="s">
        <v>1026</v>
      </c>
      <c r="E61" s="696">
        <f>IF(B41="楼面地价",SUM(E51:E60),'数据-汇总表'!D3)</f>
        <v>4360.21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7">EDATE(E63,-3)</f>
        <v>43191</v>
      </c>
      <c r="G63" s="761">
        <f t="shared" si="17"/>
        <v>43101</v>
      </c>
      <c r="H63" s="761">
        <f t="shared" si="17"/>
        <v>43009</v>
      </c>
      <c r="I63" s="761">
        <f t="shared" si="17"/>
        <v>42917</v>
      </c>
      <c r="J63" s="761">
        <f t="shared" si="17"/>
        <v>42826</v>
      </c>
      <c r="K63" s="761">
        <f t="shared" si="17"/>
        <v>42736</v>
      </c>
      <c r="L63" s="761">
        <f t="shared" si="17"/>
        <v>42644</v>
      </c>
      <c r="M63" s="761">
        <f t="shared" si="17"/>
        <v>42552</v>
      </c>
      <c r="N63" s="761">
        <f t="shared" si="17"/>
        <v>42461</v>
      </c>
      <c r="O63" s="761">
        <f t="shared" si="17"/>
        <v>42370</v>
      </c>
    </row>
    <row r="64" spans="1:17" ht="21.75" thickBot="1">
      <c r="A64" s="763" t="s">
        <v>2656</v>
      </c>
      <c r="B64" s="759"/>
      <c r="C64" s="764"/>
      <c r="D64" s="764"/>
      <c r="E64" s="764"/>
      <c r="F64" s="765"/>
      <c r="G64" s="765"/>
      <c r="H64" s="764"/>
      <c r="I64" s="764"/>
      <c r="J64" s="764"/>
      <c r="K64" s="766"/>
      <c r="L64" s="767"/>
      <c r="M64" s="764"/>
      <c r="N64" s="764"/>
      <c r="O64" s="1162"/>
      <c r="P64" s="503"/>
      <c r="Q64" s="504"/>
    </row>
    <row r="65" spans="1:17" s="508" customFormat="1" ht="15">
      <c r="A65" s="2711" t="s">
        <v>2764</v>
      </c>
      <c r="B65" s="1362"/>
      <c r="C65" s="1575" t="str">
        <f>YEAR(C63)&amp;"-"&amp;ROUNDUP(MONTH(C63)/3,0)</f>
        <v>2019-1</v>
      </c>
      <c r="D65" s="1575" t="str">
        <f t="shared" ref="D65:O65" si="18">YEAR(D63)&amp;"-"&amp;ROUNDUP(MONTH(D63)/3,0)</f>
        <v>2018-4</v>
      </c>
      <c r="E65" s="1575" t="str">
        <f t="shared" si="18"/>
        <v>2018-3</v>
      </c>
      <c r="F65" s="1575" t="str">
        <f t="shared" si="18"/>
        <v>2018-2</v>
      </c>
      <c r="G65" s="1575" t="str">
        <f t="shared" si="18"/>
        <v>2018-1</v>
      </c>
      <c r="H65" s="1575" t="str">
        <f t="shared" si="18"/>
        <v>2017-4</v>
      </c>
      <c r="I65" s="1575" t="str">
        <f t="shared" si="18"/>
        <v>2017-3</v>
      </c>
      <c r="J65" s="1575" t="str">
        <f t="shared" si="18"/>
        <v>2017-2</v>
      </c>
      <c r="K65" s="1575" t="str">
        <f t="shared" si="18"/>
        <v>2017-1</v>
      </c>
      <c r="L65" s="1575" t="str">
        <f t="shared" si="18"/>
        <v>2016-4</v>
      </c>
      <c r="M65" s="1575" t="str">
        <f t="shared" si="18"/>
        <v>2016-3</v>
      </c>
      <c r="N65" s="1575" t="str">
        <f t="shared" si="18"/>
        <v>2016-2</v>
      </c>
      <c r="O65" s="1575" t="str">
        <f t="shared" si="18"/>
        <v>2016-1</v>
      </c>
      <c r="P65" s="507"/>
    </row>
    <row r="66" spans="1:17" s="117" customFormat="1" ht="30.75" customHeight="1">
      <c r="A66" s="2716" t="s">
        <v>2784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2570</v>
      </c>
      <c r="B70" s="528" t="s">
        <v>2536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2673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2732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2545</v>
      </c>
      <c r="B107" s="528" t="s">
        <v>2773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9" t="str">
        <f t="shared" si="24"/>
        <v>(含)-</v>
      </c>
      <c r="L107" s="1769" t="str">
        <f t="shared" si="24"/>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2776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2777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5" sqref="C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25.87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65533</v>
      </c>
      <c r="C2" s="1848" t="s">
        <v>1512</v>
      </c>
      <c r="D2" s="1848"/>
      <c r="E2" s="1849"/>
      <c r="F2" s="1850"/>
      <c r="G2" s="1851"/>
      <c r="H2" s="1843"/>
      <c r="I2" s="1843"/>
      <c r="J2" s="1843"/>
      <c r="K2" s="1844"/>
      <c r="L2" s="1843"/>
      <c r="M2" s="1843"/>
    </row>
    <row r="3" spans="1:37" ht="18" customHeight="1" thickBot="1">
      <c r="A3" s="1852" t="s">
        <v>1513</v>
      </c>
      <c r="B3" s="1853">
        <f ca="1">IF(ISERROR(B2*10000/F43),0,ROUND(B2*10000/F43,0))</f>
        <v>25064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4601</v>
      </c>
      <c r="D5" s="1825" t="s">
        <v>1398</v>
      </c>
      <c r="E5" s="1296"/>
      <c r="F5" s="1297"/>
      <c r="G5" s="1854"/>
      <c r="H5" s="344">
        <v>1</v>
      </c>
      <c r="I5" s="345" t="s">
        <v>1397</v>
      </c>
      <c r="J5" s="1295">
        <f ca="1">J6+J10+J12</f>
        <v>0</v>
      </c>
      <c r="K5" s="1825" t="s">
        <v>1398</v>
      </c>
      <c r="L5" s="1296"/>
      <c r="M5" s="1297"/>
    </row>
    <row r="6" spans="1:37" ht="18" customHeight="1">
      <c r="A6" s="1294" t="s">
        <v>1032</v>
      </c>
      <c r="B6" s="3168" t="s">
        <v>1399</v>
      </c>
      <c r="C6" s="1299">
        <f ca="1">ROUND(F6*F8*F7*(1-F9)/10000,0)</f>
        <v>4595</v>
      </c>
      <c r="D6" s="164" t="s">
        <v>3014</v>
      </c>
      <c r="E6" s="347" t="s">
        <v>1401</v>
      </c>
      <c r="F6" s="348">
        <f ca="1">INDIRECT("'数据-取费表'!u"&amp;$G$1)</f>
        <v>5.35</v>
      </c>
      <c r="G6" s="1854"/>
      <c r="H6" s="1294" t="s">
        <v>1032</v>
      </c>
      <c r="I6" s="3168" t="s">
        <v>1399</v>
      </c>
      <c r="J6" s="346">
        <f ca="1">ROUND(M6*M8*M7*(1-M9)/10000,0)</f>
        <v>0</v>
      </c>
      <c r="K6" s="164" t="s">
        <v>3013</v>
      </c>
      <c r="L6" s="347" t="s">
        <v>1401</v>
      </c>
      <c r="M6" s="348">
        <f ca="1">INDIRECT("'数据-取费表'!z"&amp;$G$1)</f>
        <v>0</v>
      </c>
    </row>
    <row r="7" spans="1:37" ht="18" customHeight="1">
      <c r="A7" s="1298"/>
      <c r="B7" s="3169"/>
      <c r="C7" s="1300"/>
      <c r="D7" s="352"/>
      <c r="E7" s="1301" t="s">
        <v>1402</v>
      </c>
      <c r="F7" s="348">
        <f ca="1">IF(INDIRECT("'数据-取费表'!ah"&amp;$G$1)="",INDIRECT("'数据-取费表'!k"&amp;$G$1),INDIRECT("'数据-取费表'!ah"&amp;$G$1))</f>
        <v>26146.04</v>
      </c>
      <c r="G7" s="1854"/>
      <c r="H7" s="349"/>
      <c r="I7" s="3169"/>
      <c r="J7" s="351"/>
      <c r="K7" s="352"/>
      <c r="L7" s="347" t="s">
        <v>1402</v>
      </c>
      <c r="M7" s="348">
        <f ca="1">F7</f>
        <v>26146.04</v>
      </c>
    </row>
    <row r="8" spans="1:37" ht="18" customHeight="1">
      <c r="A8" s="349"/>
      <c r="B8" s="3169"/>
      <c r="C8" s="351"/>
      <c r="D8" s="352"/>
      <c r="E8" s="347" t="s">
        <v>1403</v>
      </c>
      <c r="F8" s="348">
        <f ca="1">INDIRECT("'数据-取费表'!ai"&amp;$G$1)</f>
        <v>365</v>
      </c>
      <c r="G8" s="1854"/>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4"/>
      <c r="H9" s="349"/>
      <c r="I9" s="3170"/>
      <c r="J9" s="351"/>
      <c r="K9" s="352"/>
      <c r="L9" s="358" t="s">
        <v>1404</v>
      </c>
      <c r="M9" s="359">
        <f ca="1">INDIRECT("'数据-取费表'!ab"&amp;$G$1)</f>
        <v>0</v>
      </c>
    </row>
    <row r="10" spans="1:37" ht="18" customHeight="1">
      <c r="A10" s="1294" t="s">
        <v>1036</v>
      </c>
      <c r="B10" s="1826" t="s">
        <v>1405</v>
      </c>
      <c r="C10" s="361">
        <f ca="1">ROUND(IF(F10="押一",C6/12*F11,IF(F10="押二",C6/12*2*F11,IF(F10="押三",C6/12*3*F11,C11*F11))),0)</f>
        <v>6</v>
      </c>
      <c r="D10" s="1827" t="s">
        <v>3023</v>
      </c>
      <c r="E10" s="358" t="s">
        <v>1406</v>
      </c>
      <c r="F10" s="1369" t="s">
        <v>3085</v>
      </c>
      <c r="G10" s="1854"/>
      <c r="H10" s="1294" t="s">
        <v>1036</v>
      </c>
      <c r="I10" s="1826" t="s">
        <v>1405</v>
      </c>
      <c r="J10" s="346">
        <f ca="1">ROUND(IF(M10="押一",J6/12*M11,IF(M10="押二",J6/12*2*M11,IF(M10="押三",J6/12*3*M11,J11*M11))),0)</f>
        <v>0</v>
      </c>
      <c r="K10" s="1827" t="s">
        <v>3022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7008</v>
      </c>
      <c r="D13" s="1334" t="s">
        <v>1411</v>
      </c>
      <c r="E13" s="1334" t="s">
        <v>1412</v>
      </c>
      <c r="F13" s="1335">
        <f ca="1">INDIRECT("'数据-取费表'!y"&amp;$G$1)</f>
        <v>0.72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6537</v>
      </c>
      <c r="D14" s="1803" t="s">
        <v>1414</v>
      </c>
      <c r="E14" s="1797"/>
      <c r="F14" s="364"/>
      <c r="G14" s="1854"/>
      <c r="H14" s="1204" t="s">
        <v>1032</v>
      </c>
      <c r="I14" s="347" t="s">
        <v>1415</v>
      </c>
      <c r="J14" s="24">
        <f ca="1">C29</f>
        <v>9734</v>
      </c>
      <c r="K14" s="15"/>
      <c r="L14" s="982"/>
      <c r="M14" s="983"/>
    </row>
    <row r="15" spans="1:37" s="1861" customFormat="1" ht="18" customHeight="1" thickBot="1">
      <c r="A15" s="1204" t="s">
        <v>1033</v>
      </c>
      <c r="B15" s="347" t="s">
        <v>1416</v>
      </c>
      <c r="C15" s="24">
        <f ca="1">ROUND(C14*F15,0)</f>
        <v>196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238</v>
      </c>
      <c r="K16" s="1340" t="s">
        <v>1421</v>
      </c>
      <c r="L16" s="1341"/>
      <c r="M16" s="1297"/>
    </row>
    <row r="17" spans="1:37" s="1861" customFormat="1" ht="18" customHeight="1">
      <c r="A17" s="1204" t="s">
        <v>1386</v>
      </c>
      <c r="B17" s="347" t="s">
        <v>1422</v>
      </c>
      <c r="C17" s="24">
        <f ca="1">ROUND(F17*(F43+INDIRECT("'数据-取费表'!S"&amp;$G$1))/10000,0)</f>
        <v>523</v>
      </c>
      <c r="D17" s="347" t="s">
        <v>1423</v>
      </c>
      <c r="E17" s="347" t="s">
        <v>1424</v>
      </c>
      <c r="F17" s="26">
        <f>'数据-取费表'!B35</f>
        <v>200</v>
      </c>
      <c r="G17" s="1857"/>
      <c r="H17" s="1204" t="s">
        <v>1032</v>
      </c>
      <c r="I17" s="347" t="s">
        <v>1425</v>
      </c>
      <c r="J17" s="24">
        <f ca="1">ROUND(IF(项目基本情况!B11="自然人",J5*M17,J18+J19+J20),1)</f>
        <v>92.2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98</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7354</v>
      </c>
      <c r="D19" s="140" t="s">
        <v>1432</v>
      </c>
      <c r="E19" s="1821"/>
      <c r="F19" s="26"/>
      <c r="G19" s="1854"/>
      <c r="H19" s="1204" t="s">
        <v>1033</v>
      </c>
      <c r="I19" s="347" t="s">
        <v>1433</v>
      </c>
      <c r="J19" s="24">
        <f ca="1">IF(K19="按租金收入计税",ROUND(J5*M19,2),ROUND(C29*M19*0.7,2))</f>
        <v>81.77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147</v>
      </c>
      <c r="D20" s="369" t="s">
        <v>1436</v>
      </c>
      <c r="E20" s="347" t="s">
        <v>1418</v>
      </c>
      <c r="F20" s="367">
        <f>'数据-取费表'!B37</f>
        <v>0.02</v>
      </c>
      <c r="G20" s="1857"/>
      <c r="H20" s="1204" t="s">
        <v>1385</v>
      </c>
      <c r="I20" s="164" t="s">
        <v>1437</v>
      </c>
      <c r="J20" s="25">
        <f ca="1">ROUND(M20*M21/10000,2)</f>
        <v>10.46</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4360.21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146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356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-238</v>
      </c>
      <c r="K25" s="1348" t="s">
        <v>1460</v>
      </c>
      <c r="L25" s="1349"/>
      <c r="M25" s="1350"/>
    </row>
    <row r="26" spans="1:37">
      <c r="A26" s="1204" t="s">
        <v>1031</v>
      </c>
      <c r="B26" s="347" t="s">
        <v>1461</v>
      </c>
      <c r="C26" s="24">
        <f ca="1">ROUND((C19+C20)*F26,0)</f>
        <v>1125</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9734</v>
      </c>
      <c r="D29" s="1345"/>
      <c r="E29" s="1343"/>
      <c r="F29" s="1346"/>
      <c r="G29" s="1857"/>
      <c r="H29" s="380" t="s">
        <v>1030</v>
      </c>
      <c r="I29" s="381" t="s">
        <v>1475</v>
      </c>
      <c r="J29" s="382">
        <f ca="1">ROUND(J26/(1+F40)^F41,0)</f>
        <v>0</v>
      </c>
      <c r="K29" s="383" t="s">
        <v>1476</v>
      </c>
      <c r="L29" s="384"/>
      <c r="M29" s="385">
        <f ca="1">INDIRECT("'数据-取费表'!k"&amp;$G$1)</f>
        <v>26146.04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1057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808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245.39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552.12</v>
      </c>
      <c r="D33" s="1831" t="s">
        <v>3086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10.46</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4360.21</v>
      </c>
      <c r="G35" s="1854"/>
      <c r="H35" s="745"/>
      <c r="I35" s="1863"/>
      <c r="J35" s="1864"/>
      <c r="K35" s="1865"/>
      <c r="L35" s="1862"/>
      <c r="M35" s="1862"/>
    </row>
    <row r="36" spans="1:18" ht="18" customHeight="1">
      <c r="A36" s="1355" t="s">
        <v>1036</v>
      </c>
      <c r="B36" s="347" t="s">
        <v>1445</v>
      </c>
      <c r="C36" s="24">
        <f ca="1">ROUND(C29*F36,1)</f>
        <v>146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10.5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92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3544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65533</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25.87</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25064</v>
      </c>
      <c r="D43" s="383" t="s">
        <v>1484</v>
      </c>
      <c r="E43" s="384" t="s">
        <v>1485</v>
      </c>
      <c r="F43" s="385">
        <f ca="1">INDIRECT("'数据-取费表'!k"&amp;$G$1)</f>
        <v>26146.04</v>
      </c>
      <c r="G43" s="1854"/>
      <c r="H43" s="732"/>
      <c r="I43" s="732"/>
      <c r="J43" s="732"/>
      <c r="K43" s="751"/>
      <c r="L43" s="732"/>
      <c r="M43" s="732"/>
    </row>
    <row r="44" spans="1:18" s="1845" customFormat="1" ht="18" customHeight="1">
      <c r="A44" s="1869"/>
      <c r="B44" s="1869"/>
      <c r="C44" s="1870"/>
      <c r="D44" s="1869"/>
      <c r="E44" s="1869" t="s">
        <v>3101</v>
      </c>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-78959</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3087</v>
      </c>
      <c r="K47" s="1885" t="s">
        <v>1523</v>
      </c>
      <c r="L47" s="1886">
        <f ca="1">INDIRECT("'数据-取费表'!d"&amp;$G$1)</f>
        <v>40</v>
      </c>
      <c r="M47" s="1841" t="str">
        <f>IF(ISNUMBER(FIND("住宅",C1)),"住宅","非住宅")</f>
        <v>非住宅</v>
      </c>
      <c r="O47" s="1887" t="s">
        <v>1037</v>
      </c>
      <c r="P47" s="1888" t="s">
        <v>1524</v>
      </c>
      <c r="Q47" s="1889">
        <f ca="1">C40+J29</f>
        <v>65533</v>
      </c>
      <c r="R47" s="1889" t="s">
        <v>1525</v>
      </c>
    </row>
    <row r="48" spans="1:18" s="1845" customFormat="1" ht="28.5" thickBot="1">
      <c r="A48" s="1363" t="s">
        <v>1132</v>
      </c>
      <c r="B48" s="345" t="s">
        <v>1397</v>
      </c>
      <c r="C48" s="1820">
        <f ca="1">C49+C53+C55</f>
        <v>0</v>
      </c>
      <c r="D48" s="1365"/>
      <c r="E48" s="1366"/>
      <c r="F48" s="1184"/>
      <c r="G48" s="792"/>
      <c r="H48" s="793"/>
      <c r="I48" s="1890" t="s">
        <v>1526</v>
      </c>
      <c r="J48" s="1891" t="s">
        <v>3088</v>
      </c>
      <c r="K48" s="1892" t="s">
        <v>1527</v>
      </c>
      <c r="L48" s="1893">
        <f ca="1">INDIRECT("'数据-取费表'!f"&amp;$G$1)</f>
        <v>25.87</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3015</v>
      </c>
      <c r="E49" s="1833" t="s">
        <v>1487</v>
      </c>
      <c r="F49" s="1284"/>
      <c r="G49" s="1894"/>
      <c r="H49" s="793"/>
      <c r="I49" s="1890" t="s">
        <v>1530</v>
      </c>
      <c r="J49" s="1895">
        <v>2002</v>
      </c>
      <c r="K49" s="1892" t="s">
        <v>1531</v>
      </c>
      <c r="L49" s="1896"/>
      <c r="O49" s="1897" t="s">
        <v>1039</v>
      </c>
      <c r="P49" s="1888" t="s">
        <v>1532</v>
      </c>
      <c r="Q49" s="1889">
        <f ca="1">C29</f>
        <v>9734</v>
      </c>
      <c r="R49" s="1889" t="s">
        <v>1525</v>
      </c>
    </row>
    <row r="50" spans="1:18" s="1845" customFormat="1" ht="13.5" thickBot="1">
      <c r="A50" s="1198"/>
      <c r="B50" s="1201"/>
      <c r="C50" s="1371"/>
      <c r="D50" s="1175"/>
      <c r="E50" s="1280" t="s">
        <v>1402</v>
      </c>
      <c r="F50" s="1281">
        <f ca="1">F7</f>
        <v>26146.04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43</v>
      </c>
      <c r="K51" s="1903" t="s">
        <v>1537</v>
      </c>
      <c r="L51" s="1904">
        <f ca="1">ROUND(-PV(INDIRECT("'数据-取费表'!h"&amp;$G$1),L48,(C39-C13*C76),0),0)</f>
        <v>40593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25.87</v>
      </c>
      <c r="R52" s="1889" t="s">
        <v>1542</v>
      </c>
    </row>
    <row r="53" spans="1:18" s="1845" customFormat="1" ht="24.75" thickBot="1">
      <c r="A53" s="1408" t="s">
        <v>1134</v>
      </c>
      <c r="B53" s="1834" t="s">
        <v>1405</v>
      </c>
      <c r="C53" s="361">
        <f ca="1">ROUND(IF(F53="押一",C49/12*F11,IF(F53="押二",C49/12*2*F11,IF(F53="押三",C49/12*3*F11,C54*F11))),0)</f>
        <v>0</v>
      </c>
      <c r="D53" s="1827" t="s">
        <v>3022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25.87</v>
      </c>
      <c r="K53" s="3171" t="s">
        <v>1544</v>
      </c>
      <c r="L53" s="3172"/>
      <c r="O53" s="1887" t="s">
        <v>1043</v>
      </c>
      <c r="P53" s="1888" t="s">
        <v>1545</v>
      </c>
      <c r="Q53" s="1889">
        <f ca="1">Q47+Q48</f>
        <v>65533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7008</v>
      </c>
      <c r="D56" s="1917"/>
      <c r="E56" s="1918"/>
      <c r="F56" s="1910"/>
      <c r="I56" s="1919" t="s">
        <v>1550</v>
      </c>
      <c r="J56" s="1920" t="s">
        <v>3047</v>
      </c>
      <c r="K56" s="1890" t="s">
        <v>1551</v>
      </c>
      <c r="L56" s="1893" t="str">
        <f ca="1">IF(L48&lt;J51,"——",L48-J53)</f>
        <v>——</v>
      </c>
      <c r="O56" s="1887" t="s">
        <v>1037</v>
      </c>
      <c r="P56" s="1888" t="s">
        <v>1524</v>
      </c>
      <c r="Q56" s="1889">
        <f ca="1">C40+J29</f>
        <v>65533</v>
      </c>
      <c r="R56" s="1889" t="s">
        <v>1525</v>
      </c>
    </row>
    <row r="57" spans="1:18" s="1845" customFormat="1" ht="24.75" thickBot="1">
      <c r="A57" s="1921"/>
      <c r="B57" s="1172" t="s">
        <v>1474</v>
      </c>
      <c r="C57" s="282">
        <f ca="1">C29</f>
        <v>9734</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985</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828.1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817.66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10.46</v>
      </c>
      <c r="D62" s="1187" t="s">
        <v>1493</v>
      </c>
      <c r="E62" s="1172" t="s">
        <v>1494</v>
      </c>
      <c r="F62" s="371">
        <f t="shared" si="0"/>
        <v>24</v>
      </c>
      <c r="I62" s="1932" t="s">
        <v>1566</v>
      </c>
      <c r="J62" s="1933" t="s">
        <v>1567</v>
      </c>
      <c r="K62" s="1933" t="s">
        <v>1568</v>
      </c>
      <c r="L62" s="1933" t="s">
        <v>1569</v>
      </c>
      <c r="M62" s="1934" t="s">
        <v>1570</v>
      </c>
      <c r="O62" s="1887" t="s">
        <v>1043</v>
      </c>
      <c r="P62" s="1888" t="s">
        <v>1571</v>
      </c>
      <c r="Q62" s="1889">
        <f ca="1">Q56+Q57</f>
        <v>65533</v>
      </c>
      <c r="R62" s="1889" t="s">
        <v>1044</v>
      </c>
    </row>
    <row r="63" spans="1:18" s="1845" customFormat="1" ht="13.5" thickBot="1">
      <c r="A63" s="372"/>
      <c r="B63" s="1178"/>
      <c r="C63" s="29"/>
      <c r="D63" s="1188"/>
      <c r="E63" s="1172" t="s">
        <v>1495</v>
      </c>
      <c r="F63" s="348">
        <f t="shared" ca="1" si="0"/>
        <v>4360.21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146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10.5</v>
      </c>
      <c r="D65" s="1186" t="s">
        <v>1450</v>
      </c>
      <c r="E65" s="1172" t="s">
        <v>1451</v>
      </c>
      <c r="F65" s="376">
        <f t="shared" ca="1" si="0"/>
        <v>1.5E-3</v>
      </c>
      <c r="I65" s="1932" t="s">
        <v>1575</v>
      </c>
      <c r="J65" s="1933">
        <v>40</v>
      </c>
      <c r="K65" s="1933">
        <v>30</v>
      </c>
      <c r="L65" s="1933">
        <v>50</v>
      </c>
      <c r="M65" s="1935">
        <v>0.02</v>
      </c>
      <c r="O65" s="1887" t="s">
        <v>1037</v>
      </c>
      <c r="P65" s="1888" t="s">
        <v>1576</v>
      </c>
      <c r="Q65" s="1889">
        <f ca="1">C40+J29</f>
        <v>65533</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-985</v>
      </c>
      <c r="D67" s="1185" t="s">
        <v>1460</v>
      </c>
      <c r="E67" s="1190"/>
      <c r="F67" s="1191"/>
      <c r="O67" s="1897" t="s">
        <v>1039</v>
      </c>
      <c r="P67" s="1888" t="s">
        <v>1558</v>
      </c>
      <c r="Q67" s="1936">
        <f ca="1">L51</f>
        <v>40593</v>
      </c>
      <c r="R67" s="1889" t="s">
        <v>1578</v>
      </c>
    </row>
    <row r="68" spans="1:18" s="1845" customFormat="1" ht="16.5" thickBot="1">
      <c r="A68" s="1169" t="s">
        <v>1029</v>
      </c>
      <c r="B68" s="1170" t="s">
        <v>1481</v>
      </c>
      <c r="C68" s="346">
        <f ca="1">ROUND(C67*(1-((1+F70)/(1+F68))^F69)/(F68-F70),0)</f>
        <v>-13426</v>
      </c>
      <c r="D68" s="1187" t="s">
        <v>1465</v>
      </c>
      <c r="E68" s="1172" t="s">
        <v>1466</v>
      </c>
      <c r="F68" s="357">
        <f ca="1">F40</f>
        <v>5.5E-2</v>
      </c>
      <c r="O68" s="1897" t="s">
        <v>1040</v>
      </c>
      <c r="P68" s="1937" t="s">
        <v>1579</v>
      </c>
      <c r="Q68" s="1889">
        <f ca="1">ROUND(Q69-Q70*Q71,0)</f>
        <v>2948</v>
      </c>
      <c r="R68" s="1889" t="s">
        <v>1048</v>
      </c>
    </row>
    <row r="69" spans="1:18" s="1845" customFormat="1" ht="13.5" thickBot="1">
      <c r="A69" s="1173"/>
      <c r="B69" s="1174"/>
      <c r="C69" s="351"/>
      <c r="D69" s="1192" t="s">
        <v>1469</v>
      </c>
      <c r="E69" s="1172" t="s">
        <v>1470</v>
      </c>
      <c r="F69" s="379">
        <f ca="1">F41</f>
        <v>25.87</v>
      </c>
      <c r="O69" s="1897" t="s">
        <v>1045</v>
      </c>
      <c r="P69" s="1937" t="s">
        <v>1580</v>
      </c>
      <c r="Q69" s="1889">
        <f ca="1">C39</f>
        <v>3544</v>
      </c>
      <c r="R69" s="1889" t="s">
        <v>1525</v>
      </c>
    </row>
    <row r="70" spans="1:18" s="1845" customFormat="1" ht="13.5" thickBot="1">
      <c r="A70" s="1176"/>
      <c r="B70" s="1177"/>
      <c r="C70" s="355"/>
      <c r="D70" s="1188"/>
      <c r="E70" s="1172" t="s">
        <v>1473</v>
      </c>
      <c r="F70" s="1278"/>
      <c r="O70" s="1897" t="s">
        <v>1046</v>
      </c>
      <c r="P70" s="1937" t="s">
        <v>1581</v>
      </c>
      <c r="Q70" s="1889">
        <f ca="1">C13</f>
        <v>7008</v>
      </c>
      <c r="R70" s="1889" t="s">
        <v>1525</v>
      </c>
    </row>
    <row r="71" spans="1:18" s="1845" customFormat="1" ht="13.5" thickBot="1">
      <c r="A71" s="1193" t="s">
        <v>1030</v>
      </c>
      <c r="B71" s="1194" t="s">
        <v>1483</v>
      </c>
      <c r="C71" s="382">
        <f ca="1">ROUND(C68*10000/F71,0)</f>
        <v>-5135</v>
      </c>
      <c r="D71" s="1195" t="s">
        <v>1484</v>
      </c>
      <c r="E71" s="1196" t="s">
        <v>1485</v>
      </c>
      <c r="F71" s="385">
        <f ca="1">F43</f>
        <v>26146.04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596</v>
      </c>
      <c r="D75" s="1845"/>
      <c r="E75" s="1845"/>
      <c r="F75" s="1845"/>
      <c r="K75" s="1871"/>
      <c r="L75" s="1845"/>
      <c r="O75" s="1887" t="s">
        <v>1043</v>
      </c>
      <c r="P75" s="1888" t="s">
        <v>1545</v>
      </c>
      <c r="Q75" s="1889">
        <f ca="1">Q65+Q66</f>
        <v>65533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0.83199999999999996</v>
      </c>
    </row>
    <row r="80" spans="1:18">
      <c r="B80" s="386" t="s">
        <v>1507</v>
      </c>
      <c r="C80" s="318">
        <f ca="1">ROUND(C75/C39,3)</f>
        <v>0.16800000000000001</v>
      </c>
    </row>
    <row r="81" spans="2:3">
      <c r="B81" s="314" t="s">
        <v>1508</v>
      </c>
      <c r="C81" s="282"/>
    </row>
    <row r="82" spans="2:3">
      <c r="B82" s="317" t="s">
        <v>1509</v>
      </c>
      <c r="C82" s="319">
        <f ca="1">1-C83</f>
        <v>0.89300000000000002</v>
      </c>
    </row>
    <row r="83" spans="2:3">
      <c r="B83" s="317" t="s">
        <v>1510</v>
      </c>
      <c r="C83" s="318">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H26" sqref="H26:H27"/>
    </sheetView>
  </sheetViews>
  <sheetFormatPr defaultRowHeight="13.5"/>
  <sheetData>
    <row r="1" spans="1:7">
      <c r="A1" s="2944" t="s">
        <v>3060</v>
      </c>
      <c r="B1" s="2944" t="s">
        <v>3061</v>
      </c>
      <c r="C1" s="2944" t="s">
        <v>1350</v>
      </c>
    </row>
    <row r="2" spans="1:7">
      <c r="A2">
        <v>1</v>
      </c>
      <c r="B2">
        <f>3240.98+545.4+2958.9</f>
        <v>6745.2800000000007</v>
      </c>
      <c r="C2">
        <v>8</v>
      </c>
      <c r="D2">
        <f>B2*C2</f>
        <v>53962.240000000005</v>
      </c>
    </row>
    <row r="3" spans="1:7">
      <c r="A3">
        <v>2</v>
      </c>
      <c r="B3">
        <f>3369.75+3635.88</f>
        <v>7005.63</v>
      </c>
      <c r="C3">
        <f>C2*E3</f>
        <v>5.2</v>
      </c>
      <c r="D3">
        <f>B3*C3</f>
        <v>36429.276000000005</v>
      </c>
      <c r="E3">
        <v>0.65</v>
      </c>
    </row>
    <row r="4" spans="1:7">
      <c r="A4">
        <v>3</v>
      </c>
      <c r="B4">
        <f>3493.41+3756.71</f>
        <v>7250.12</v>
      </c>
      <c r="C4">
        <f>C2*E4</f>
        <v>4</v>
      </c>
      <c r="D4">
        <f>B4*C4</f>
        <v>29000.48</v>
      </c>
      <c r="E4">
        <v>0.5</v>
      </c>
    </row>
    <row r="5" spans="1:7">
      <c r="A5" s="2944" t="s">
        <v>3062</v>
      </c>
      <c r="B5">
        <f>2654.94+2490.07</f>
        <v>5145.01</v>
      </c>
      <c r="C5">
        <f>C2*E5</f>
        <v>4</v>
      </c>
      <c r="D5">
        <f>B5*C5</f>
        <v>20580.04</v>
      </c>
      <c r="E5">
        <v>0.5</v>
      </c>
    </row>
    <row r="6" spans="1:7">
      <c r="A6" s="2944" t="s">
        <v>3063</v>
      </c>
      <c r="B6">
        <f>SUM(B2:B5)</f>
        <v>26146.04</v>
      </c>
      <c r="D6">
        <f>SUM(D2:D5)</f>
        <v>139972.03599999999</v>
      </c>
      <c r="G6" s="2955">
        <f ca="1">ROUND(结果表!G19/(B2+B3*E3+B4*E4+B5*E5)*10000,0)</f>
        <v>67688</v>
      </c>
    </row>
    <row r="7" spans="1:7">
      <c r="G7" s="2955">
        <f ca="1">ROUND(结果表!G19/'数据-汇总表'!E3*10000,0)</f>
        <v>45296</v>
      </c>
    </row>
    <row r="8" spans="1:7">
      <c r="C8">
        <f>ROUND(D6/B6,2)</f>
        <v>5.35</v>
      </c>
    </row>
    <row r="13" spans="1:7">
      <c r="A13" s="2944" t="s">
        <v>3102</v>
      </c>
      <c r="B13">
        <v>2015</v>
      </c>
      <c r="C13">
        <v>2016</v>
      </c>
      <c r="D13">
        <v>2017</v>
      </c>
      <c r="E13">
        <v>2018</v>
      </c>
    </row>
    <row r="14" spans="1:7">
      <c r="B14">
        <v>3805</v>
      </c>
      <c r="C14">
        <v>4122</v>
      </c>
      <c r="D14">
        <v>4638</v>
      </c>
      <c r="E14">
        <f>4096+500</f>
        <v>4596</v>
      </c>
    </row>
    <row r="15" spans="1:7">
      <c r="C15" s="2954">
        <f>C14/B14-1</f>
        <v>8.3311432325887003E-2</v>
      </c>
      <c r="D15" s="2954">
        <f>D14/C14-1</f>
        <v>0.12518195050946135</v>
      </c>
      <c r="E15" s="2954">
        <f>E14/D14-1</f>
        <v>-9.0556274256144986E-3</v>
      </c>
    </row>
    <row r="17" spans="2:6">
      <c r="B17">
        <f ca="1">B14/收益法!F7/365*10000</f>
        <v>3.9870884976258649</v>
      </c>
      <c r="C17">
        <f ca="1">C14/收益法!F7/365*10000</f>
        <v>4.3192585511731432</v>
      </c>
      <c r="D17">
        <f ca="1">D14/收益法!F7/365*10000</f>
        <v>4.8599517613636687</v>
      </c>
      <c r="E17">
        <f ca="1">E14/收益法!F7/365*10000</f>
        <v>4.8159418489063004</v>
      </c>
    </row>
    <row r="19" spans="2:6">
      <c r="E19">
        <f>E14*0.8</f>
        <v>3676.8</v>
      </c>
    </row>
    <row r="23" spans="2:6">
      <c r="E23" s="2955"/>
      <c r="F23" s="2956">
        <f>ROUND(120000/B6*10000,0)</f>
        <v>45896</v>
      </c>
    </row>
    <row r="24" spans="2:6">
      <c r="E24" s="2957" t="s">
        <v>3103</v>
      </c>
      <c r="F24" s="2958">
        <f>F23/40000-1</f>
        <v>0.14739999999999998</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0.92589999999999995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2985</v>
      </c>
    </row>
    <row r="2" spans="1:5" ht="15.75">
      <c r="A2" s="2910" t="s">
        <v>2977</v>
      </c>
      <c r="B2" s="2911">
        <f ca="1">SUMIF(B6:B13,"&lt;&gt;#ref!",B6:B13)</f>
        <v>12159</v>
      </c>
      <c r="C2" s="2910" t="s">
        <v>2978</v>
      </c>
      <c r="D2" s="2910" t="s">
        <v>2979</v>
      </c>
      <c r="E2" s="2911">
        <f ca="1">SUMIF(E6:E13,"&lt;&gt;#ref!",E6:E13)</f>
        <v>5145.01</v>
      </c>
    </row>
    <row r="3" spans="1:5" ht="15.75">
      <c r="A3" s="2910" t="s">
        <v>2980</v>
      </c>
      <c r="B3" s="2911">
        <f ca="1">ROUND(B2*10000/E2,0)</f>
        <v>23633</v>
      </c>
      <c r="C3" s="2910" t="s">
        <v>2986</v>
      </c>
      <c r="D3" s="2912"/>
      <c r="E3" s="2912"/>
    </row>
    <row r="4" spans="1:5" ht="15.75">
      <c r="A4" s="2913"/>
      <c r="B4" s="2912"/>
      <c r="C4" s="2912"/>
      <c r="D4" s="2912"/>
      <c r="E4" s="2912"/>
    </row>
    <row r="5" spans="1:5" ht="28.5">
      <c r="A5" s="2914" t="s">
        <v>2981</v>
      </c>
      <c r="B5" s="2910" t="s">
        <v>2982</v>
      </c>
      <c r="C5" s="2911"/>
      <c r="D5" s="2912"/>
      <c r="E5" s="2910" t="s">
        <v>2983</v>
      </c>
    </row>
    <row r="6" spans="1:5" ht="15.75">
      <c r="A6" s="2915" t="s">
        <v>2984</v>
      </c>
      <c r="B6" s="2911">
        <f ca="1">SUMIF(INDIRECT("'"&amp;A6&amp;"'"&amp;"!A:A"),"总价",INDIRECT("'"&amp;A6&amp;"'"&amp;"!B:B"))</f>
        <v>12159</v>
      </c>
      <c r="C6" s="2910" t="s">
        <v>2978</v>
      </c>
      <c r="D6" s="2912"/>
      <c r="E6" s="2575">
        <f ca="1">SUMIF(INDIRECT("'"&amp;A6&amp;"'"&amp;"!C:C"),"建筑面积",INDIRECT("'"&amp;A6&amp;"'"&amp;"!D:D"))</f>
        <v>5145.01</v>
      </c>
    </row>
    <row r="7" spans="1:5" ht="15.75">
      <c r="A7" s="2915"/>
      <c r="B7" s="2911" t="e">
        <f ca="1">SUMIF(INDIRECT("'"&amp;A7&amp;"'"&amp;"!A:A"),"总价",INDIRECT("'"&amp;A7&amp;"'"&amp;"!B:B"))</f>
        <v>#REF!</v>
      </c>
      <c r="C7" s="2910" t="s">
        <v>2978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2978</v>
      </c>
      <c r="D8" s="2912"/>
      <c r="E8" s="2575" t="e">
        <f t="shared" ca="1" si="0"/>
        <v>#REF!</v>
      </c>
    </row>
    <row r="9" spans="1:5" ht="15.75">
      <c r="A9" s="2915"/>
      <c r="B9" s="2911" t="e">
        <f t="shared" ca="1" si="1"/>
        <v>#REF!</v>
      </c>
      <c r="C9" s="2910" t="s">
        <v>2978</v>
      </c>
      <c r="D9" s="2912"/>
      <c r="E9" s="2575" t="e">
        <f t="shared" ca="1" si="0"/>
        <v>#REF!</v>
      </c>
    </row>
    <row r="10" spans="1:5" ht="15.75">
      <c r="A10" s="2915"/>
      <c r="B10" s="2911" t="e">
        <f t="shared" ca="1" si="1"/>
        <v>#REF!</v>
      </c>
      <c r="C10" s="2910" t="s">
        <v>2978</v>
      </c>
      <c r="D10" s="2912"/>
      <c r="E10" s="2575" t="e">
        <f t="shared" ca="1" si="0"/>
        <v>#REF!</v>
      </c>
    </row>
    <row r="11" spans="1:5" ht="15.75">
      <c r="A11" s="2915"/>
      <c r="B11" s="2911" t="e">
        <f t="shared" ca="1" si="1"/>
        <v>#REF!</v>
      </c>
      <c r="C11" s="2910" t="s">
        <v>2978</v>
      </c>
      <c r="D11" s="2912"/>
      <c r="E11" s="2575" t="e">
        <f t="shared" ca="1" si="0"/>
        <v>#REF!</v>
      </c>
    </row>
    <row r="12" spans="1:5" ht="15.75">
      <c r="A12" s="2915"/>
      <c r="B12" s="2911" t="e">
        <f t="shared" ca="1" si="1"/>
        <v>#REF!</v>
      </c>
      <c r="C12" s="2910" t="s">
        <v>2978</v>
      </c>
      <c r="D12" s="2912"/>
      <c r="E12" s="2575" t="e">
        <f t="shared" ca="1" si="0"/>
        <v>#REF!</v>
      </c>
    </row>
    <row r="13" spans="1:5" ht="15.75">
      <c r="A13" s="2915"/>
      <c r="B13" s="2911" t="e">
        <f t="shared" ca="1" si="1"/>
        <v>#REF!</v>
      </c>
      <c r="C13" s="2910" t="s">
        <v>2978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1146</v>
      </c>
      <c r="C1" s="3271"/>
      <c r="D1" s="3271"/>
      <c r="E1" s="3271"/>
      <c r="F1" s="3271"/>
      <c r="G1" s="3270" t="s">
        <v>1147</v>
      </c>
      <c r="H1" s="3270"/>
      <c r="I1" s="3270"/>
      <c r="J1" s="3270"/>
      <c r="K1" s="3270"/>
      <c r="L1" s="3270"/>
      <c r="N1" s="3270" t="s">
        <v>1148</v>
      </c>
      <c r="O1" s="3270"/>
      <c r="P1" s="3270"/>
      <c r="Q1" s="3270"/>
      <c r="R1" s="1449"/>
      <c r="S1" s="3270" t="s">
        <v>1149</v>
      </c>
      <c r="T1" s="3270"/>
      <c r="U1" s="3270"/>
      <c r="V1" s="3270"/>
      <c r="X1" s="3269" t="s">
        <v>1150</v>
      </c>
      <c r="Y1" s="3270"/>
      <c r="Z1" s="3270"/>
      <c r="AA1" s="3270"/>
      <c r="AB1" s="3270"/>
      <c r="AD1" s="3269" t="s">
        <v>1151</v>
      </c>
      <c r="AE1" s="3270"/>
      <c r="AF1" s="3270"/>
      <c r="AG1" s="3270"/>
      <c r="AH1" s="327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3020</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C9" si="2">B6*(1+N5)</f>
        <v>459.95733971036987</v>
      </c>
      <c r="C5" s="1794">
        <f t="shared" si="2"/>
        <v>341.22221064422405</v>
      </c>
      <c r="D5" s="1794">
        <f t="shared" ref="D5:D14" si="3">C5</f>
        <v>341.22221064422405</v>
      </c>
      <c r="E5" s="1794">
        <f t="shared" ref="E5:F9" si="4">E6*(1+P5)</f>
        <v>657.19161663724799</v>
      </c>
      <c r="F5" s="1794">
        <f t="shared" si="4"/>
        <v>300.87803644464805</v>
      </c>
      <c r="G5" s="2939">
        <v>2019</v>
      </c>
      <c r="H5" s="1733">
        <v>1</v>
      </c>
      <c r="I5" s="2922">
        <v>0</v>
      </c>
      <c r="J5" s="2922">
        <v>0</v>
      </c>
      <c r="K5" s="2922">
        <v>0</v>
      </c>
      <c r="L5" s="2922">
        <v>0</v>
      </c>
      <c r="N5" s="1470">
        <f t="shared" ref="N5:Q8" si="5">I5/100</f>
        <v>0</v>
      </c>
      <c r="O5" s="1470">
        <f t="shared" si="5"/>
        <v>0</v>
      </c>
      <c r="P5" s="1470">
        <f t="shared" si="5"/>
        <v>0</v>
      </c>
      <c r="Q5" s="1470">
        <f t="shared" si="5"/>
        <v>0</v>
      </c>
      <c r="R5" s="1735"/>
      <c r="S5" s="1736"/>
      <c r="T5" s="1735"/>
      <c r="U5" s="1735"/>
      <c r="V5" s="1735"/>
      <c r="W5" s="2925" t="s">
        <v>3021</v>
      </c>
      <c r="X5" s="1729">
        <f>ROUND(IF(项目基本情况!B8="出让",SUMPRODUCT(PRODUCT(1+N5:N$25)),SUMPRODUCT(PRODUCT(1+N5:N$24))),4)</f>
        <v>1.4956</v>
      </c>
      <c r="Y5" s="1729">
        <f>ROUND(IF(项目基本情况!B8="出让",SUMPRODUCT(PRODUCT(1+O5:O$25)),SUMPRODUCT(PRODUCT(1+O5:O$24))),4)</f>
        <v>1.3237000000000001</v>
      </c>
      <c r="Z5" s="1729">
        <f>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AE5</f>
        <v>1.46E-2</v>
      </c>
      <c r="AG5" s="1471">
        <f>ROUND(AVERAGE(K5:K$25)/100,4)</f>
        <v>2.29E-2</v>
      </c>
      <c r="AH5" s="1471">
        <f>ROUND(AVERAGE(L5:L$25)/100,4)</f>
        <v>1.3599999999999999E-2</v>
      </c>
    </row>
    <row r="6" spans="1:34" s="1469" customFormat="1">
      <c r="A6" s="1464" t="s">
        <v>3034</v>
      </c>
      <c r="B6" s="1480">
        <f t="shared" si="2"/>
        <v>459.95733971036987</v>
      </c>
      <c r="C6" s="1480">
        <f t="shared" si="2"/>
        <v>341.22221064422405</v>
      </c>
      <c r="D6" s="1480">
        <f t="shared" si="3"/>
        <v>341.22221064422405</v>
      </c>
      <c r="E6" s="1480">
        <f t="shared" si="4"/>
        <v>657.19161663724799</v>
      </c>
      <c r="F6" s="1480">
        <f t="shared" si="4"/>
        <v>300.87803644464805</v>
      </c>
      <c r="G6" s="3267">
        <v>2018</v>
      </c>
      <c r="H6" s="1467">
        <v>4</v>
      </c>
      <c r="I6" s="1467">
        <v>0</v>
      </c>
      <c r="J6" s="1467">
        <v>0</v>
      </c>
      <c r="K6" s="1467">
        <v>0</v>
      </c>
      <c r="L6" s="1481">
        <v>0</v>
      </c>
      <c r="M6" s="1474"/>
      <c r="N6" s="1475">
        <f t="shared" si="5"/>
        <v>0</v>
      </c>
      <c r="O6" s="1476">
        <f t="shared" si="5"/>
        <v>0</v>
      </c>
      <c r="P6" s="1476">
        <f t="shared" si="5"/>
        <v>0</v>
      </c>
      <c r="Q6" s="1476">
        <f t="shared" si="5"/>
        <v>0</v>
      </c>
      <c r="R6" s="1477"/>
      <c r="S6" s="1475"/>
      <c r="T6" s="1476"/>
      <c r="U6" s="1476"/>
      <c r="V6" s="1476"/>
      <c r="W6" s="1793"/>
      <c r="X6" s="1791">
        <f>ROUND(SUMPRODUCT(PRODUCT(1+N6:N$24)),4)</f>
        <v>1.4956</v>
      </c>
      <c r="Y6" s="1791">
        <f>ROUND(SUMPRODUCT(PRODUCT(1+O6:O$24)),4)</f>
        <v>1.3237000000000001</v>
      </c>
      <c r="Z6" s="1791">
        <f>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AE6</f>
        <v>1.5299999999999999E-2</v>
      </c>
      <c r="AG6" s="1792">
        <f>ROUND(AVERAGE(K6:K$25)/100,4)</f>
        <v>2.41E-2</v>
      </c>
      <c r="AH6" s="1792">
        <f>ROUND(AVERAGE(L6:L$25)/100,4)</f>
        <v>1.4200000000000001E-2</v>
      </c>
    </row>
    <row r="7" spans="1:34" s="1469" customFormat="1" ht="14.45" customHeight="1">
      <c r="A7" s="1464" t="s">
        <v>3027</v>
      </c>
      <c r="B7" s="1480">
        <f t="shared" si="2"/>
        <v>459.95733971036987</v>
      </c>
      <c r="C7" s="1480">
        <f t="shared" si="2"/>
        <v>341.22221064422405</v>
      </c>
      <c r="D7" s="1480">
        <f t="shared" si="3"/>
        <v>341.22221064422405</v>
      </c>
      <c r="E7" s="1480">
        <f t="shared" si="4"/>
        <v>657.19161663724799</v>
      </c>
      <c r="F7" s="1480">
        <f t="shared" si="4"/>
        <v>300.87803644464805</v>
      </c>
      <c r="G7" s="3267"/>
      <c r="H7" s="1467">
        <v>3</v>
      </c>
      <c r="I7" s="1467">
        <v>1.51</v>
      </c>
      <c r="J7" s="1467">
        <v>1.41</v>
      </c>
      <c r="K7" s="1467">
        <v>1.52</v>
      </c>
      <c r="L7" s="1481">
        <v>1.74</v>
      </c>
      <c r="M7" s="1474"/>
      <c r="N7" s="1475">
        <f t="shared" si="5"/>
        <v>1.5100000000000001E-2</v>
      </c>
      <c r="O7" s="1476">
        <f t="shared" si="5"/>
        <v>1.41E-2</v>
      </c>
      <c r="P7" s="1476">
        <f t="shared" si="5"/>
        <v>1.52E-2</v>
      </c>
      <c r="Q7" s="1476">
        <f t="shared" si="5"/>
        <v>1.7399999999999999E-2</v>
      </c>
      <c r="R7" s="1477"/>
      <c r="S7" s="1475"/>
      <c r="T7" s="1476"/>
      <c r="U7" s="1476"/>
      <c r="V7" s="1476"/>
      <c r="W7" s="1793"/>
      <c r="X7" s="1791">
        <f>ROUND(SUMPRODUCT(PRODUCT(1+N7:N$24)),4)</f>
        <v>1.4956</v>
      </c>
      <c r="Y7" s="1791">
        <f>ROUND(SUMPRODUCT(PRODUCT(1+O7:O$24)),4)</f>
        <v>1.3237000000000001</v>
      </c>
      <c r="Z7" s="1791">
        <f>Y7</f>
        <v>1.3237000000000001</v>
      </c>
      <c r="AA7" s="1791">
        <f>ROUND(SUMPRODUCT(PRODUCT(1+P7:P$24)),4)</f>
        <v>1.554</v>
      </c>
      <c r="AB7" s="1791">
        <f>ROUND(SUMPRODUCT(PRODUCT(1+Q7:Q$24)),4)</f>
        <v>1.3087</v>
      </c>
      <c r="AC7" s="1793"/>
      <c r="AD7" s="1792">
        <f>ROUND(AVERAGE(I7:I$25)/100,4)</f>
        <v>2.3099999999999999E-2</v>
      </c>
      <c r="AE7" s="1792">
        <f>ROUND(AVERAGE(J7:J$25)/100,4)</f>
        <v>1.61E-2</v>
      </c>
      <c r="AF7" s="1792">
        <f>AE7</f>
        <v>1.61E-2</v>
      </c>
      <c r="AG7" s="1792">
        <f>ROUND(AVERAGE(K7:K$25)/100,4)</f>
        <v>2.53E-2</v>
      </c>
      <c r="AH7" s="1792">
        <f>ROUND(AVERAGE(L7:L$25)/100,4)</f>
        <v>1.4999999999999999E-2</v>
      </c>
    </row>
    <row r="8" spans="1:34" s="1469" customFormat="1" ht="14.45" customHeight="1">
      <c r="A8" s="1464" t="s">
        <v>3026</v>
      </c>
      <c r="B8" s="1480">
        <f t="shared" si="2"/>
        <v>453.11529869999993</v>
      </c>
      <c r="C8" s="1480">
        <f t="shared" si="2"/>
        <v>336.47787264000004</v>
      </c>
      <c r="D8" s="1480">
        <f t="shared" si="3"/>
        <v>336.47787264000004</v>
      </c>
      <c r="E8" s="1480">
        <f t="shared" si="4"/>
        <v>647.35186823999993</v>
      </c>
      <c r="F8" s="1480">
        <f t="shared" si="4"/>
        <v>295.73229452000004</v>
      </c>
      <c r="G8" s="3267"/>
      <c r="H8" s="1467">
        <v>2</v>
      </c>
      <c r="I8" s="1467">
        <v>1.49</v>
      </c>
      <c r="J8" s="1467">
        <v>0.96</v>
      </c>
      <c r="K8" s="1467">
        <v>1.58</v>
      </c>
      <c r="L8" s="1481">
        <v>2.44</v>
      </c>
      <c r="M8" s="1474"/>
      <c r="N8" s="1475">
        <f t="shared" si="5"/>
        <v>1.49E-2</v>
      </c>
      <c r="O8" s="1476">
        <f t="shared" si="5"/>
        <v>9.5999999999999992E-3</v>
      </c>
      <c r="P8" s="1476">
        <f t="shared" si="5"/>
        <v>1.5800000000000002E-2</v>
      </c>
      <c r="Q8" s="1476">
        <f t="shared" si="5"/>
        <v>2.4399999999999998E-2</v>
      </c>
      <c r="R8" s="1477"/>
      <c r="S8" s="1475"/>
      <c r="T8" s="1476"/>
      <c r="U8" s="1476"/>
      <c r="V8" s="1476"/>
      <c r="W8" s="1793"/>
      <c r="X8" s="1791">
        <f>ROUND(SUMPRODUCT(PRODUCT(1+N8:N$24)),4)</f>
        <v>1.4733000000000001</v>
      </c>
      <c r="Y8" s="1791">
        <f>ROUND(SUMPRODUCT(PRODUCT(1+O8:O$24)),4)</f>
        <v>1.3052999999999999</v>
      </c>
      <c r="Z8" s="1791">
        <f>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AE8</f>
        <v>1.6199999999999999E-2</v>
      </c>
      <c r="AG8" s="1792">
        <f>ROUND(AVERAGE(K8:K$25)/100,4)</f>
        <v>2.5899999999999999E-2</v>
      </c>
      <c r="AH8" s="1792">
        <f>ROUND(AVERAGE(L8:L$25)/100,4)</f>
        <v>1.49E-2</v>
      </c>
    </row>
    <row r="9" spans="1:34" s="1469" customFormat="1" ht="15" customHeight="1" thickBot="1">
      <c r="A9" s="1464" t="s">
        <v>3019</v>
      </c>
      <c r="B9" s="1480">
        <f t="shared" si="2"/>
        <v>446.46299999999997</v>
      </c>
      <c r="C9" s="1480">
        <f t="shared" si="2"/>
        <v>333.27840000000003</v>
      </c>
      <c r="D9" s="1480">
        <f t="shared" si="3"/>
        <v>333.27840000000003</v>
      </c>
      <c r="E9" s="1480">
        <f t="shared" si="4"/>
        <v>637.28279999999995</v>
      </c>
      <c r="F9" s="1480">
        <f t="shared" si="4"/>
        <v>288.68830000000003</v>
      </c>
      <c r="G9" s="3276"/>
      <c r="H9" s="1467">
        <v>1</v>
      </c>
      <c r="I9" s="1467">
        <v>1.7</v>
      </c>
      <c r="J9" s="1467">
        <v>1.92</v>
      </c>
      <c r="K9" s="1467">
        <v>1.64</v>
      </c>
      <c r="L9" s="1481">
        <v>2.0099999999999998</v>
      </c>
      <c r="M9" s="1474"/>
      <c r="N9" s="1475">
        <f t="shared" ref="N9:N14" si="6">I9/100</f>
        <v>1.7000000000000001E-2</v>
      </c>
      <c r="O9" s="1476">
        <f t="shared" ref="O9:Q12" si="7">J9/100</f>
        <v>1.9199999999999998E-2</v>
      </c>
      <c r="P9" s="1476">
        <f t="shared" si="7"/>
        <v>1.6399999999999998E-2</v>
      </c>
      <c r="Q9" s="1476">
        <f t="shared" si="7"/>
        <v>2.0099999999999996E-2</v>
      </c>
      <c r="R9" s="1477"/>
      <c r="S9" s="1475">
        <f>B9/B10-1</f>
        <v>1.6999999999999904E-2</v>
      </c>
      <c r="T9" s="1476">
        <f>C9/C10-1</f>
        <v>1.9200000000000106E-2</v>
      </c>
      <c r="U9" s="1476">
        <f>D9/D10-1</f>
        <v>1.9200000000000106E-2</v>
      </c>
      <c r="V9" s="1476">
        <f>E9/E10-1</f>
        <v>1.639999999999997E-2</v>
      </c>
      <c r="W9" s="1793"/>
      <c r="X9" s="1791">
        <f>ROUND(SUMPRODUCT(PRODUCT(1+N9:N$24)),4)</f>
        <v>1.4517</v>
      </c>
      <c r="Y9" s="1791">
        <f>ROUND(SUMPRODUCT(PRODUCT(1+O9:O$24)),4)</f>
        <v>1.2928999999999999</v>
      </c>
      <c r="Z9" s="1791">
        <f>Y9</f>
        <v>1.2928999999999999</v>
      </c>
      <c r="AA9" s="1791">
        <f>ROUND(SUMPRODUCT(PRODUCT(1+P9:P$24)),4)</f>
        <v>1.5068999999999999</v>
      </c>
      <c r="AB9" s="1791">
        <f>ROUND(SUMPRODUCT(PRODUCT(1+Q9:Q$24)),4)</f>
        <v>1.2557</v>
      </c>
      <c r="AC9" s="1793"/>
      <c r="AD9" s="1792">
        <f>ROUND(AVERAGE(I9:I$25)/100,4)</f>
        <v>2.4E-2</v>
      </c>
      <c r="AE9" s="1792">
        <f>ROUND(AVERAGE(J9:J$25)/100,4)</f>
        <v>1.66E-2</v>
      </c>
      <c r="AF9" s="1792">
        <f>AE9</f>
        <v>1.66E-2</v>
      </c>
      <c r="AG9" s="1792">
        <f>ROUND(AVERAGE(K9:K$25)/100,4)</f>
        <v>2.6499999999999999E-2</v>
      </c>
      <c r="AH9" s="1792">
        <f>ROUND(AVERAGE(L9:L$25)/100,4)</f>
        <v>1.43E-2</v>
      </c>
    </row>
    <row r="10" spans="1:34">
      <c r="A10" s="1464" t="s">
        <v>3016</v>
      </c>
      <c r="B10" s="1472">
        <v>439</v>
      </c>
      <c r="C10" s="1472">
        <v>327</v>
      </c>
      <c r="D10" s="1472">
        <f t="shared" si="3"/>
        <v>327</v>
      </c>
      <c r="E10" s="1472">
        <v>627</v>
      </c>
      <c r="F10" s="1473">
        <v>283</v>
      </c>
      <c r="G10" s="3272">
        <v>2017</v>
      </c>
      <c r="H10" s="1465">
        <v>4</v>
      </c>
      <c r="I10" s="1465">
        <v>1.71</v>
      </c>
      <c r="J10" s="1465">
        <v>1.78</v>
      </c>
      <c r="K10" s="1465">
        <v>1.71</v>
      </c>
      <c r="L10" s="1466">
        <v>1.43</v>
      </c>
      <c r="N10" s="1475">
        <f t="shared" si="6"/>
        <v>1.7100000000000001E-2</v>
      </c>
      <c r="O10" s="1476">
        <f t="shared" si="7"/>
        <v>1.78E-2</v>
      </c>
      <c r="P10" s="1476">
        <f t="shared" si="7"/>
        <v>1.7100000000000001E-2</v>
      </c>
      <c r="Q10" s="1476">
        <f t="shared" si="7"/>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3017</v>
      </c>
      <c r="B11" s="1480">
        <f t="shared" ref="B11:C13" si="8">B12*(1+N11)</f>
        <v>431.80730811680002</v>
      </c>
      <c r="C11" s="1480">
        <f t="shared" si="8"/>
        <v>320.57880516480003</v>
      </c>
      <c r="D11" s="1480">
        <f t="shared" si="3"/>
        <v>320.57880516480003</v>
      </c>
      <c r="E11" s="1480">
        <f t="shared" ref="E11:F13" si="9">E12*(1+P11)</f>
        <v>615.96110553196797</v>
      </c>
      <c r="F11" s="1480">
        <f t="shared" si="9"/>
        <v>279.46777300108801</v>
      </c>
      <c r="G11" s="3267"/>
      <c r="H11" s="1467">
        <v>3</v>
      </c>
      <c r="I11" s="1467">
        <v>2.98</v>
      </c>
      <c r="J11" s="1467">
        <v>2.11</v>
      </c>
      <c r="K11" s="1467">
        <v>3.24</v>
      </c>
      <c r="L11" s="1481">
        <v>1.72</v>
      </c>
      <c r="M11" s="1474"/>
      <c r="N11" s="1475">
        <f t="shared" si="6"/>
        <v>2.98E-2</v>
      </c>
      <c r="O11" s="1476">
        <f t="shared" si="7"/>
        <v>2.1099999999999997E-2</v>
      </c>
      <c r="P11" s="1476">
        <f t="shared" si="7"/>
        <v>3.2400000000000005E-2</v>
      </c>
      <c r="Q11" s="1476">
        <f t="shared" si="7"/>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8"/>
        <v>419.31181600000002</v>
      </c>
      <c r="C12" s="1480">
        <f t="shared" si="8"/>
        <v>313.95436800000004</v>
      </c>
      <c r="D12" s="1480">
        <f t="shared" si="3"/>
        <v>313.95436800000004</v>
      </c>
      <c r="E12" s="1480">
        <f t="shared" si="9"/>
        <v>596.63028431999999</v>
      </c>
      <c r="F12" s="1480">
        <f t="shared" si="9"/>
        <v>274.74220703999998</v>
      </c>
      <c r="G12" s="3267"/>
      <c r="H12" s="1468">
        <v>2</v>
      </c>
      <c r="I12" s="1468">
        <v>3.4</v>
      </c>
      <c r="J12" s="1468">
        <v>2</v>
      </c>
      <c r="K12" s="1468">
        <v>3.82</v>
      </c>
      <c r="L12" s="1482">
        <v>1.68</v>
      </c>
      <c r="M12" s="1474"/>
      <c r="N12" s="1475">
        <f t="shared" si="6"/>
        <v>3.4000000000000002E-2</v>
      </c>
      <c r="O12" s="1476">
        <f t="shared" si="7"/>
        <v>0.02</v>
      </c>
      <c r="P12" s="1476">
        <f t="shared" si="7"/>
        <v>3.8199999999999998E-2</v>
      </c>
      <c r="Q12" s="1476">
        <f t="shared" si="7"/>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 t="shared" si="8"/>
        <v>405.524</v>
      </c>
      <c r="C13" s="1480">
        <f t="shared" si="8"/>
        <v>307.79840000000002</v>
      </c>
      <c r="D13" s="1480">
        <f t="shared" si="3"/>
        <v>307.79840000000002</v>
      </c>
      <c r="E13" s="1480">
        <f t="shared" si="9"/>
        <v>574.67759999999998</v>
      </c>
      <c r="F13" s="1480">
        <f t="shared" si="9"/>
        <v>270.20280000000002</v>
      </c>
      <c r="G13" s="3276"/>
      <c r="H13" s="1467">
        <v>1</v>
      </c>
      <c r="I13" s="1467">
        <v>3.45</v>
      </c>
      <c r="J13" s="1467">
        <v>1.92</v>
      </c>
      <c r="K13" s="1467">
        <v>3.92</v>
      </c>
      <c r="L13" s="1481">
        <v>1.58</v>
      </c>
      <c r="M13" s="1474"/>
      <c r="N13" s="1475">
        <f t="shared" si="6"/>
        <v>3.4500000000000003E-2</v>
      </c>
      <c r="O13" s="1476">
        <f t="shared" ref="O13:Q28" si="10">J13/100</f>
        <v>1.9199999999999998E-2</v>
      </c>
      <c r="P13" s="1476">
        <f t="shared" si="10"/>
        <v>3.9199999999999999E-2</v>
      </c>
      <c r="Q13" s="1476">
        <f t="shared" si="10"/>
        <v>1.5800000000000002E-2</v>
      </c>
      <c r="R13" s="1477"/>
      <c r="S13" s="1475">
        <f>B13/B14-1</f>
        <v>3.4499999999999975E-2</v>
      </c>
      <c r="T13" s="1476">
        <f>C13/C14-1</f>
        <v>1.9200000000000106E-2</v>
      </c>
      <c r="U13" s="1476">
        <f>D13/D14-1</f>
        <v>1.9200000000000106E-2</v>
      </c>
      <c r="V13" s="1476">
        <f>E13/E14-1</f>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 t="shared" si="3"/>
        <v>302</v>
      </c>
      <c r="E14" s="1472">
        <v>553</v>
      </c>
      <c r="F14" s="1473">
        <v>266</v>
      </c>
      <c r="G14" s="3272">
        <v>2016</v>
      </c>
      <c r="H14" s="1465">
        <v>4</v>
      </c>
      <c r="I14" s="1465">
        <v>4.5599999999999996</v>
      </c>
      <c r="J14" s="1465">
        <v>2.15</v>
      </c>
      <c r="K14" s="1465">
        <v>5.32</v>
      </c>
      <c r="L14" s="1466">
        <v>1.57</v>
      </c>
      <c r="N14" s="1475">
        <f t="shared" si="6"/>
        <v>4.5599999999999995E-2</v>
      </c>
      <c r="O14" s="1476">
        <f t="shared" si="10"/>
        <v>2.1499999999999998E-2</v>
      </c>
      <c r="P14" s="1476">
        <f t="shared" si="10"/>
        <v>5.3200000000000004E-2</v>
      </c>
      <c r="Q14" s="1476">
        <f t="shared" si="10"/>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11">B14/(1+N14)</f>
        <v>374.90436113236416</v>
      </c>
      <c r="C15" s="1480">
        <f t="shared" si="11"/>
        <v>295.64366128242779</v>
      </c>
      <c r="D15" s="1480">
        <f t="shared" ref="D15:D74" si="12">C15</f>
        <v>295.64366128242779</v>
      </c>
      <c r="E15" s="1480">
        <f t="shared" ref="E15:F17" si="13">E14/(1+P14)</f>
        <v>525.06646410938095</v>
      </c>
      <c r="F15" s="1480">
        <f t="shared" si="13"/>
        <v>261.88835286009646</v>
      </c>
      <c r="G15" s="3267"/>
      <c r="H15" s="1467">
        <v>3</v>
      </c>
      <c r="I15" s="1467">
        <v>4.12</v>
      </c>
      <c r="J15" s="1467">
        <v>2</v>
      </c>
      <c r="K15" s="1467">
        <v>4.79</v>
      </c>
      <c r="L15" s="1481">
        <v>1.97</v>
      </c>
      <c r="N15" s="1475">
        <f t="shared" ref="N15:Q49" si="14">I15/100</f>
        <v>4.1200000000000001E-2</v>
      </c>
      <c r="O15" s="1476">
        <f t="shared" si="10"/>
        <v>0.02</v>
      </c>
      <c r="P15" s="1476">
        <f t="shared" si="10"/>
        <v>4.7899999999999998E-2</v>
      </c>
      <c r="Q15" s="1476">
        <f t="shared" si="10"/>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11"/>
        <v>360.06949782209392</v>
      </c>
      <c r="C16" s="1480">
        <f t="shared" si="11"/>
        <v>289.84672674747821</v>
      </c>
      <c r="D16" s="1480">
        <f t="shared" si="12"/>
        <v>289.84672674747821</v>
      </c>
      <c r="E16" s="1480">
        <f t="shared" si="13"/>
        <v>501.06543001181495</v>
      </c>
      <c r="F16" s="1480">
        <f t="shared" si="13"/>
        <v>256.82882500744967</v>
      </c>
      <c r="G16" s="3267"/>
      <c r="H16" s="1468">
        <v>2</v>
      </c>
      <c r="I16" s="1468">
        <v>3.85</v>
      </c>
      <c r="J16" s="1468">
        <v>1.95</v>
      </c>
      <c r="K16" s="1468">
        <v>4.4800000000000004</v>
      </c>
      <c r="L16" s="1482">
        <v>1.41</v>
      </c>
      <c r="N16" s="1475">
        <f t="shared" si="14"/>
        <v>3.85E-2</v>
      </c>
      <c r="O16" s="1476">
        <f t="shared" si="10"/>
        <v>1.95E-2</v>
      </c>
      <c r="P16" s="1476">
        <f t="shared" si="10"/>
        <v>4.4800000000000006E-2</v>
      </c>
      <c r="Q16" s="1476">
        <f t="shared" si="10"/>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11"/>
        <v>346.720748986128</v>
      </c>
      <c r="C17" s="1480">
        <f t="shared" si="11"/>
        <v>284.30282172386285</v>
      </c>
      <c r="D17" s="1480">
        <f t="shared" si="12"/>
        <v>284.30282172386285</v>
      </c>
      <c r="E17" s="1480">
        <f t="shared" si="13"/>
        <v>479.58023546306947</v>
      </c>
      <c r="F17" s="1480">
        <f t="shared" si="13"/>
        <v>253.25788877571213</v>
      </c>
      <c r="G17" s="3268"/>
      <c r="H17" s="1467">
        <v>1</v>
      </c>
      <c r="I17" s="1467">
        <v>4.09</v>
      </c>
      <c r="J17" s="1467">
        <v>2.93</v>
      </c>
      <c r="K17" s="1467">
        <v>4.54</v>
      </c>
      <c r="L17" s="1481">
        <v>1.48</v>
      </c>
      <c r="N17" s="1475">
        <f t="shared" si="14"/>
        <v>4.0899999999999999E-2</v>
      </c>
      <c r="O17" s="1476">
        <f t="shared" si="10"/>
        <v>2.9300000000000003E-2</v>
      </c>
      <c r="P17" s="1476">
        <f t="shared" si="10"/>
        <v>4.5400000000000003E-2</v>
      </c>
      <c r="Q17" s="1476">
        <f t="shared" si="10"/>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12"/>
        <v>277</v>
      </c>
      <c r="E18" s="1472">
        <v>459</v>
      </c>
      <c r="F18" s="1473">
        <v>249</v>
      </c>
      <c r="G18" s="3266">
        <v>2015</v>
      </c>
      <c r="H18" s="1485">
        <v>4</v>
      </c>
      <c r="I18" s="1485">
        <v>1.63</v>
      </c>
      <c r="J18" s="1485">
        <v>1.1100000000000001</v>
      </c>
      <c r="K18" s="1485">
        <v>1.77</v>
      </c>
      <c r="L18" s="1486">
        <v>1.89</v>
      </c>
      <c r="N18" s="1487">
        <f t="shared" si="14"/>
        <v>1.6299999999999999E-2</v>
      </c>
      <c r="O18" s="1488">
        <f t="shared" si="10"/>
        <v>1.11E-2</v>
      </c>
      <c r="P18" s="1488">
        <f t="shared" si="10"/>
        <v>1.77E-2</v>
      </c>
      <c r="Q18" s="1488">
        <f t="shared" si="10"/>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15">B18/(1+N18)</f>
        <v>327.65915576109415</v>
      </c>
      <c r="C19" s="1480">
        <f t="shared" si="15"/>
        <v>273.95905449510434</v>
      </c>
      <c r="D19" s="1480">
        <f t="shared" si="12"/>
        <v>273.95905449510434</v>
      </c>
      <c r="E19" s="1480">
        <f t="shared" ref="E19:F21" si="16">E18/(1+P18)</f>
        <v>451.01699911565294</v>
      </c>
      <c r="F19" s="1480">
        <f t="shared" si="16"/>
        <v>244.38119540681129</v>
      </c>
      <c r="G19" s="3267"/>
      <c r="H19" s="1490">
        <v>3</v>
      </c>
      <c r="I19" s="1490">
        <v>1.65</v>
      </c>
      <c r="J19" s="1490">
        <v>0.92</v>
      </c>
      <c r="K19" s="1490">
        <v>1.88</v>
      </c>
      <c r="L19" s="1491">
        <v>1.26</v>
      </c>
      <c r="N19" s="1475">
        <f t="shared" si="14"/>
        <v>1.6500000000000001E-2</v>
      </c>
      <c r="O19" s="1492">
        <f t="shared" si="10"/>
        <v>9.1999999999999998E-3</v>
      </c>
      <c r="P19" s="1492">
        <f t="shared" si="10"/>
        <v>1.8799999999999997E-2</v>
      </c>
      <c r="Q19" s="1492">
        <f t="shared" si="10"/>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15"/>
        <v>322.34053690220776</v>
      </c>
      <c r="C20" s="1480">
        <f t="shared" si="15"/>
        <v>271.46160770422546</v>
      </c>
      <c r="D20" s="1480">
        <f t="shared" si="12"/>
        <v>271.46160770422546</v>
      </c>
      <c r="E20" s="1480">
        <f t="shared" si="16"/>
        <v>442.69434542172456</v>
      </c>
      <c r="F20" s="1480">
        <f t="shared" si="16"/>
        <v>241.34030753190925</v>
      </c>
      <c r="G20" s="3267"/>
      <c r="H20" s="1468">
        <v>2</v>
      </c>
      <c r="I20" s="1468">
        <v>0.77</v>
      </c>
      <c r="J20" s="1468">
        <v>0.69</v>
      </c>
      <c r="K20" s="1468">
        <v>0.8</v>
      </c>
      <c r="L20" s="1482">
        <v>0.88</v>
      </c>
      <c r="N20" s="1475">
        <f t="shared" si="14"/>
        <v>7.7000000000000002E-3</v>
      </c>
      <c r="O20" s="1492">
        <f t="shared" si="10"/>
        <v>6.8999999999999999E-3</v>
      </c>
      <c r="P20" s="1492">
        <f t="shared" si="10"/>
        <v>8.0000000000000002E-3</v>
      </c>
      <c r="Q20" s="1492">
        <f t="shared" si="10"/>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15"/>
        <v>319.87748030386797</v>
      </c>
      <c r="C21" s="1480">
        <f t="shared" si="15"/>
        <v>269.60135833173649</v>
      </c>
      <c r="D21" s="1480">
        <f t="shared" si="12"/>
        <v>269.60135833173649</v>
      </c>
      <c r="E21" s="1480">
        <f t="shared" si="16"/>
        <v>439.18089823583784</v>
      </c>
      <c r="F21" s="1480">
        <f t="shared" si="16"/>
        <v>239.23503918706311</v>
      </c>
      <c r="G21" s="3268"/>
      <c r="H21" s="1467">
        <v>1</v>
      </c>
      <c r="I21" s="1467">
        <v>0.51</v>
      </c>
      <c r="J21" s="1467">
        <v>0.54</v>
      </c>
      <c r="K21" s="1467">
        <v>0.48</v>
      </c>
      <c r="L21" s="1481">
        <v>0.93</v>
      </c>
      <c r="N21" s="1483">
        <f t="shared" si="14"/>
        <v>5.1000000000000004E-3</v>
      </c>
      <c r="O21" s="1484">
        <f t="shared" si="10"/>
        <v>5.4000000000000003E-3</v>
      </c>
      <c r="P21" s="1484">
        <f t="shared" si="10"/>
        <v>4.7999999999999996E-3</v>
      </c>
      <c r="Q21" s="1484">
        <f t="shared" si="10"/>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12"/>
        <v>268</v>
      </c>
      <c r="E22" s="1493">
        <v>437</v>
      </c>
      <c r="F22" s="1494">
        <v>237</v>
      </c>
      <c r="G22" s="3266">
        <v>2014</v>
      </c>
      <c r="H22" s="1485">
        <v>4</v>
      </c>
      <c r="I22" s="1485">
        <v>0.21</v>
      </c>
      <c r="J22" s="1485">
        <v>0.41</v>
      </c>
      <c r="K22" s="1485">
        <v>0.12</v>
      </c>
      <c r="L22" s="1486">
        <v>0.89</v>
      </c>
      <c r="N22" s="1475">
        <f t="shared" si="14"/>
        <v>2.0999999999999999E-3</v>
      </c>
      <c r="O22" s="1476">
        <f t="shared" si="10"/>
        <v>4.0999999999999995E-3</v>
      </c>
      <c r="P22" s="1476">
        <f t="shared" si="10"/>
        <v>1.1999999999999999E-3</v>
      </c>
      <c r="Q22" s="1476">
        <f t="shared" si="10"/>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17">B22/(1+N22)</f>
        <v>317.33359944117353</v>
      </c>
      <c r="C23" s="1480">
        <f t="shared" si="17"/>
        <v>266.90568668459315</v>
      </c>
      <c r="D23" s="1480">
        <f t="shared" si="12"/>
        <v>266.90568668459315</v>
      </c>
      <c r="E23" s="1480">
        <f t="shared" ref="E23:F25" si="18">E22/(1+P22)</f>
        <v>436.47622852576905</v>
      </c>
      <c r="F23" s="1480">
        <f t="shared" si="18"/>
        <v>234.90930716622066</v>
      </c>
      <c r="G23" s="3267"/>
      <c r="H23" s="1495">
        <v>3</v>
      </c>
      <c r="I23" s="1495">
        <v>0.83</v>
      </c>
      <c r="J23" s="1495">
        <v>1.47</v>
      </c>
      <c r="K23" s="1495">
        <v>0.65</v>
      </c>
      <c r="L23" s="1496">
        <v>0.72</v>
      </c>
      <c r="N23" s="1475">
        <f t="shared" si="14"/>
        <v>8.3000000000000001E-3</v>
      </c>
      <c r="O23" s="1476">
        <f t="shared" si="10"/>
        <v>1.47E-2</v>
      </c>
      <c r="P23" s="1476">
        <f t="shared" si="10"/>
        <v>6.5000000000000006E-3</v>
      </c>
      <c r="Q23" s="1476">
        <f t="shared" si="10"/>
        <v>7.1999999999999998E-3</v>
      </c>
      <c r="R23" s="1477"/>
      <c r="S23" s="1475"/>
      <c r="T23" s="1476"/>
      <c r="U23" s="1476"/>
      <c r="V23" s="1476"/>
      <c r="X23" s="1462">
        <f>ROUND(SUMPRODUCT(PRODUCT(1+N23:N$24)),4)</f>
        <v>1.0325</v>
      </c>
      <c r="Y23" s="1462">
        <f>ROUND(SUMPRODUCT(PRODUCT(1+O23:O$24)),4)</f>
        <v>1.0353000000000001</v>
      </c>
      <c r="Z23" s="1462">
        <f>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17"/>
        <v>314.72141172386546</v>
      </c>
      <c r="C24" s="1480">
        <f t="shared" si="17"/>
        <v>263.03901319069001</v>
      </c>
      <c r="D24" s="1480">
        <f t="shared" si="12"/>
        <v>263.03901319069001</v>
      </c>
      <c r="E24" s="1480">
        <f t="shared" si="18"/>
        <v>433.65745506782821</v>
      </c>
      <c r="F24" s="1480">
        <f t="shared" si="18"/>
        <v>233.23005080045735</v>
      </c>
      <c r="G24" s="3267"/>
      <c r="H24" s="1485">
        <v>2</v>
      </c>
      <c r="I24" s="1485">
        <v>2.4</v>
      </c>
      <c r="J24" s="1485">
        <v>2.0299999999999998</v>
      </c>
      <c r="K24" s="1485">
        <v>2.59</v>
      </c>
      <c r="L24" s="1486">
        <v>1.52</v>
      </c>
      <c r="N24" s="1475">
        <f t="shared" si="14"/>
        <v>2.4E-2</v>
      </c>
      <c r="O24" s="1476">
        <f t="shared" si="10"/>
        <v>2.0299999999999999E-2</v>
      </c>
      <c r="P24" s="1476">
        <f t="shared" si="10"/>
        <v>2.5899999999999999E-2</v>
      </c>
      <c r="Q24" s="1476">
        <f t="shared" si="10"/>
        <v>1.52E-2</v>
      </c>
      <c r="R24" s="1477"/>
      <c r="S24" s="1475"/>
      <c r="T24" s="1476"/>
      <c r="U24" s="1476"/>
      <c r="V24" s="1476"/>
      <c r="X24" s="1462">
        <f>1+N24</f>
        <v>1.024</v>
      </c>
      <c r="Y24" s="1462">
        <f>1+O24</f>
        <v>1.0203</v>
      </c>
      <c r="Z24" s="1462">
        <f>Y24</f>
        <v>1.0203</v>
      </c>
      <c r="AA24" s="1462">
        <f>1+P24</f>
        <v>1.0259</v>
      </c>
      <c r="AB24" s="1462">
        <f>1+Q24</f>
        <v>1.0152000000000001</v>
      </c>
      <c r="AD24" s="1463">
        <f>ROUND(AVERAGE(I24:I$25)/100,4)</f>
        <v>2.69E-2</v>
      </c>
      <c r="AE24" s="1463">
        <f>ROUND(AVERAGE(J24:J$25)/100,4)</f>
        <v>2.1899999999999999E-2</v>
      </c>
      <c r="AF24" s="1463">
        <f>AE24</f>
        <v>2.1899999999999999E-2</v>
      </c>
      <c r="AG24" s="1463">
        <f>ROUND(AVERAGE(K24:K$25)/100,4)</f>
        <v>2.9399999999999999E-2</v>
      </c>
      <c r="AH24" s="1463">
        <f>ROUND(AVERAGE(L24:L$25)/100,4)</f>
        <v>1.44E-2</v>
      </c>
    </row>
    <row r="25" spans="1:34" s="1501" customFormat="1" ht="13.5" thickBot="1">
      <c r="A25" s="1497" t="s">
        <v>144</v>
      </c>
      <c r="B25" s="1498">
        <f t="shared" si="17"/>
        <v>307.34512863658733</v>
      </c>
      <c r="C25" s="1498">
        <f t="shared" si="17"/>
        <v>257.80556031626975</v>
      </c>
      <c r="D25" s="1498">
        <f t="shared" si="12"/>
        <v>257.80556031626975</v>
      </c>
      <c r="E25" s="1498">
        <f t="shared" si="18"/>
        <v>422.70928459677179</v>
      </c>
      <c r="F25" s="1498">
        <f t="shared" si="18"/>
        <v>229.73803270336617</v>
      </c>
      <c r="G25" s="3268"/>
      <c r="H25" s="1499">
        <v>1</v>
      </c>
      <c r="I25" s="1499">
        <v>2.97</v>
      </c>
      <c r="J25" s="1499">
        <v>2.34</v>
      </c>
      <c r="K25" s="1499">
        <v>3.28</v>
      </c>
      <c r="L25" s="1500">
        <v>1.36</v>
      </c>
      <c r="N25" s="1502">
        <f t="shared" si="14"/>
        <v>2.9700000000000001E-2</v>
      </c>
      <c r="O25" s="1503">
        <f t="shared" si="10"/>
        <v>2.3399999999999997E-2</v>
      </c>
      <c r="P25" s="1503">
        <f t="shared" si="10"/>
        <v>3.2799999999999996E-2</v>
      </c>
      <c r="Q25" s="1503">
        <f t="shared" si="10"/>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12"/>
        <v>252</v>
      </c>
      <c r="E26" s="1472">
        <v>409</v>
      </c>
      <c r="F26" s="1473">
        <v>227</v>
      </c>
      <c r="G26" s="3273">
        <v>2013</v>
      </c>
      <c r="H26" s="1509">
        <v>4</v>
      </c>
      <c r="I26" s="1509">
        <v>1.83</v>
      </c>
      <c r="J26" s="1509">
        <v>1.68</v>
      </c>
      <c r="K26" s="1509">
        <v>1.97</v>
      </c>
      <c r="L26" s="1510">
        <v>0.87</v>
      </c>
      <c r="N26" s="1487">
        <f t="shared" si="14"/>
        <v>1.83E-2</v>
      </c>
      <c r="O26" s="1488">
        <f t="shared" si="10"/>
        <v>1.6799999999999999E-2</v>
      </c>
      <c r="P26" s="1488">
        <f t="shared" si="10"/>
        <v>1.9699999999999999E-2</v>
      </c>
      <c r="Q26" s="1488">
        <f t="shared" si="10"/>
        <v>8.6999999999999994E-3</v>
      </c>
      <c r="R26" s="1477"/>
      <c r="S26" s="1478"/>
      <c r="T26" s="1479"/>
      <c r="U26" s="1479"/>
      <c r="V26" s="1479"/>
      <c r="X26" s="1479"/>
      <c r="Y26" s="1479"/>
      <c r="Z26" s="1479"/>
    </row>
    <row r="27" spans="1:34">
      <c r="A27" s="1464" t="s">
        <v>1160</v>
      </c>
      <c r="B27" s="1480">
        <f t="shared" ref="B27:C29" si="19">B26/(1+N26)</f>
        <v>293.62663262299913</v>
      </c>
      <c r="C27" s="1480">
        <f t="shared" si="19"/>
        <v>247.83634933123525</v>
      </c>
      <c r="D27" s="1480">
        <f t="shared" si="12"/>
        <v>247.83634933123525</v>
      </c>
      <c r="E27" s="1480">
        <f t="shared" ref="E27:F29" si="20">E26/(1+P26)</f>
        <v>401.09836226341076</v>
      </c>
      <c r="F27" s="1480">
        <f t="shared" si="20"/>
        <v>225.04213343908003</v>
      </c>
      <c r="G27" s="3274"/>
      <c r="H27" s="1490">
        <v>3</v>
      </c>
      <c r="I27" s="1490">
        <v>1.86</v>
      </c>
      <c r="J27" s="1490">
        <v>1.72</v>
      </c>
      <c r="K27" s="1490">
        <v>1.98</v>
      </c>
      <c r="L27" s="1491">
        <v>0.88</v>
      </c>
      <c r="N27" s="1475">
        <f t="shared" si="14"/>
        <v>1.8600000000000002E-2</v>
      </c>
      <c r="O27" s="1492">
        <f t="shared" si="10"/>
        <v>1.72E-2</v>
      </c>
      <c r="P27" s="1492">
        <f t="shared" si="10"/>
        <v>1.9799999999999998E-2</v>
      </c>
      <c r="Q27" s="1492">
        <f t="shared" si="10"/>
        <v>8.8000000000000005E-3</v>
      </c>
      <c r="R27" s="1477"/>
      <c r="S27" s="1475"/>
      <c r="T27" s="1476"/>
      <c r="U27" s="1476"/>
      <c r="V27" s="1476"/>
    </row>
    <row r="28" spans="1:34">
      <c r="A28" s="1464" t="s">
        <v>1161</v>
      </c>
      <c r="B28" s="1480">
        <f t="shared" si="19"/>
        <v>288.2649053828776</v>
      </c>
      <c r="C28" s="1480">
        <f t="shared" si="19"/>
        <v>243.64564425013293</v>
      </c>
      <c r="D28" s="1480">
        <f t="shared" si="12"/>
        <v>243.64564425013293</v>
      </c>
      <c r="E28" s="1480">
        <f t="shared" si="20"/>
        <v>393.31080825986544</v>
      </c>
      <c r="F28" s="1480">
        <f t="shared" si="20"/>
        <v>223.07903790551154</v>
      </c>
      <c r="G28" s="3274"/>
      <c r="H28" s="1468">
        <v>2</v>
      </c>
      <c r="I28" s="1468">
        <v>2.04</v>
      </c>
      <c r="J28" s="1468">
        <v>2.33</v>
      </c>
      <c r="K28" s="1468">
        <v>2.0699999999999998</v>
      </c>
      <c r="L28" s="1482">
        <v>0.69</v>
      </c>
      <c r="N28" s="1475">
        <f t="shared" si="14"/>
        <v>2.0400000000000001E-2</v>
      </c>
      <c r="O28" s="1492">
        <f t="shared" si="10"/>
        <v>2.3300000000000001E-2</v>
      </c>
      <c r="P28" s="1492">
        <f t="shared" si="10"/>
        <v>2.07E-2</v>
      </c>
      <c r="Q28" s="1492">
        <f t="shared" si="10"/>
        <v>6.8999999999999999E-3</v>
      </c>
      <c r="R28" s="1477"/>
      <c r="S28" s="1475"/>
      <c r="T28" s="1476"/>
      <c r="U28" s="1476"/>
      <c r="V28" s="1476"/>
      <c r="X28" s="1511"/>
      <c r="Y28" s="1512"/>
    </row>
    <row r="29" spans="1:34">
      <c r="A29" s="1464" t="s">
        <v>1162</v>
      </c>
      <c r="B29" s="1480">
        <f t="shared" si="19"/>
        <v>282.50186729015837</v>
      </c>
      <c r="C29" s="1480">
        <f t="shared" si="19"/>
        <v>238.09796174155468</v>
      </c>
      <c r="D29" s="1480">
        <f t="shared" si="12"/>
        <v>238.09796174155468</v>
      </c>
      <c r="E29" s="1480">
        <f t="shared" si="20"/>
        <v>385.33438646014054</v>
      </c>
      <c r="F29" s="1480">
        <f t="shared" si="20"/>
        <v>221.55034055567739</v>
      </c>
      <c r="G29" s="3275"/>
      <c r="H29" s="1467">
        <v>1</v>
      </c>
      <c r="I29" s="1467">
        <v>1.67</v>
      </c>
      <c r="J29" s="1467">
        <v>1.31</v>
      </c>
      <c r="K29" s="1467">
        <v>1.85</v>
      </c>
      <c r="L29" s="1481">
        <v>0.96</v>
      </c>
      <c r="N29" s="1483">
        <f t="shared" si="14"/>
        <v>1.67E-2</v>
      </c>
      <c r="O29" s="1484">
        <f t="shared" si="14"/>
        <v>1.3100000000000001E-2</v>
      </c>
      <c r="P29" s="1484">
        <f t="shared" si="14"/>
        <v>1.8500000000000003E-2</v>
      </c>
      <c r="Q29" s="1484">
        <f t="shared" si="14"/>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12"/>
        <v>234</v>
      </c>
      <c r="E30" s="1514">
        <v>379</v>
      </c>
      <c r="F30" s="1515">
        <v>220</v>
      </c>
      <c r="G30" s="3266">
        <v>2012</v>
      </c>
      <c r="H30" s="1485">
        <v>4</v>
      </c>
      <c r="I30" s="1485">
        <v>0.91</v>
      </c>
      <c r="J30" s="1485">
        <v>0.68</v>
      </c>
      <c r="K30" s="1485">
        <v>0.98</v>
      </c>
      <c r="L30" s="1486">
        <v>0.9</v>
      </c>
      <c r="N30" s="1475">
        <f t="shared" si="14"/>
        <v>9.1000000000000004E-3</v>
      </c>
      <c r="O30" s="1476">
        <f t="shared" si="14"/>
        <v>6.8000000000000005E-3</v>
      </c>
      <c r="P30" s="1476">
        <f t="shared" si="14"/>
        <v>9.7999999999999997E-3</v>
      </c>
      <c r="Q30" s="1476">
        <f t="shared" si="14"/>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12"/>
        <v>232.41954707985698</v>
      </c>
      <c r="E31" s="1480">
        <f t="shared" ref="E31:F33" si="21">E30/(1+P30)</f>
        <v>375.32184591008121</v>
      </c>
      <c r="F31" s="1480">
        <f t="shared" si="21"/>
        <v>218.03766105054513</v>
      </c>
      <c r="G31" s="3267"/>
      <c r="H31" s="1490">
        <v>3</v>
      </c>
      <c r="I31" s="1490">
        <v>0.09</v>
      </c>
      <c r="J31" s="1490">
        <v>0.28999999999999998</v>
      </c>
      <c r="K31" s="1490">
        <v>-0.01</v>
      </c>
      <c r="L31" s="1491">
        <v>0.57999999999999996</v>
      </c>
      <c r="N31" s="1475">
        <f t="shared" si="14"/>
        <v>8.9999999999999998E-4</v>
      </c>
      <c r="O31" s="1476">
        <f t="shared" si="14"/>
        <v>2.8999999999999998E-3</v>
      </c>
      <c r="P31" s="1476">
        <f t="shared" si="14"/>
        <v>-1E-4</v>
      </c>
      <c r="Q31" s="1476">
        <f t="shared" si="14"/>
        <v>5.7999999999999996E-3</v>
      </c>
      <c r="R31" s="1477"/>
      <c r="S31" s="1475"/>
      <c r="T31" s="1476"/>
      <c r="U31" s="1476"/>
      <c r="V31" s="1476"/>
    </row>
    <row r="32" spans="1:34">
      <c r="A32" s="1464" t="s">
        <v>1165</v>
      </c>
      <c r="B32" s="1480">
        <f>B31/(1+N31)</f>
        <v>275.24529281292263</v>
      </c>
      <c r="C32" s="1480">
        <f>C31/(1+O31)</f>
        <v>231.74747938962707</v>
      </c>
      <c r="D32" s="1480">
        <f t="shared" si="12"/>
        <v>231.74747938962707</v>
      </c>
      <c r="E32" s="1480">
        <f t="shared" si="21"/>
        <v>375.35938184826603</v>
      </c>
      <c r="F32" s="1480">
        <f t="shared" si="21"/>
        <v>216.78033510692495</v>
      </c>
      <c r="G32" s="3267"/>
      <c r="H32" s="1468">
        <v>2</v>
      </c>
      <c r="I32" s="1468">
        <v>0.02</v>
      </c>
      <c r="J32" s="1468">
        <v>0.12</v>
      </c>
      <c r="K32" s="1468">
        <v>-0.08</v>
      </c>
      <c r="L32" s="1482">
        <v>1.24</v>
      </c>
      <c r="N32" s="1475">
        <f t="shared" si="14"/>
        <v>2.0000000000000001E-4</v>
      </c>
      <c r="O32" s="1476">
        <f t="shared" si="14"/>
        <v>1.1999999999999999E-3</v>
      </c>
      <c r="P32" s="1476">
        <f t="shared" si="14"/>
        <v>-8.0000000000000004E-4</v>
      </c>
      <c r="Q32" s="1476">
        <f t="shared" si="14"/>
        <v>1.24E-2</v>
      </c>
      <c r="R32" s="1477"/>
      <c r="S32" s="1475"/>
      <c r="T32" s="1476"/>
      <c r="U32" s="1476"/>
      <c r="V32" s="1476"/>
    </row>
    <row r="33" spans="1:26" ht="13.5" thickBot="1">
      <c r="A33" s="1464" t="s">
        <v>1166</v>
      </c>
      <c r="B33" s="1480">
        <f>B32/(1+N32)</f>
        <v>275.19025476197027</v>
      </c>
      <c r="C33" s="1516">
        <v>232</v>
      </c>
      <c r="D33" s="1516">
        <f t="shared" si="12"/>
        <v>232</v>
      </c>
      <c r="E33" s="1480">
        <f t="shared" si="21"/>
        <v>375.65990977608692</v>
      </c>
      <c r="F33" s="1480">
        <f t="shared" si="21"/>
        <v>214.12518283971252</v>
      </c>
      <c r="G33" s="3268"/>
      <c r="H33" s="1467">
        <v>1</v>
      </c>
      <c r="I33" s="1467">
        <v>0.02</v>
      </c>
      <c r="J33" s="1467">
        <v>0.13</v>
      </c>
      <c r="K33" s="1467">
        <v>-0.04</v>
      </c>
      <c r="L33" s="1481">
        <v>0.46</v>
      </c>
      <c r="N33" s="1475">
        <f t="shared" si="14"/>
        <v>2.0000000000000001E-4</v>
      </c>
      <c r="O33" s="1476">
        <f t="shared" si="14"/>
        <v>1.2999999999999999E-3</v>
      </c>
      <c r="P33" s="1476">
        <f t="shared" si="14"/>
        <v>-4.0000000000000002E-4</v>
      </c>
      <c r="Q33" s="1476">
        <f t="shared" si="14"/>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12"/>
        <v>232</v>
      </c>
      <c r="E34" s="1472">
        <v>376</v>
      </c>
      <c r="F34" s="1473">
        <v>213</v>
      </c>
      <c r="G34" s="3266">
        <v>2011</v>
      </c>
      <c r="H34" s="1485">
        <v>4</v>
      </c>
      <c r="I34" s="1485">
        <v>-0.2</v>
      </c>
      <c r="J34" s="1485">
        <v>0.04</v>
      </c>
      <c r="K34" s="1485">
        <v>-0.34</v>
      </c>
      <c r="L34" s="1486">
        <v>0.46</v>
      </c>
      <c r="N34" s="1487">
        <f t="shared" si="14"/>
        <v>-2E-3</v>
      </c>
      <c r="O34" s="1488">
        <f t="shared" si="14"/>
        <v>4.0000000000000002E-4</v>
      </c>
      <c r="P34" s="1488">
        <f t="shared" si="14"/>
        <v>-3.4000000000000002E-3</v>
      </c>
      <c r="Q34" s="1488">
        <f t="shared" si="14"/>
        <v>4.5999999999999999E-3</v>
      </c>
      <c r="R34" s="1477"/>
      <c r="S34" s="1478"/>
      <c r="T34" s="1479"/>
      <c r="U34" s="1479"/>
      <c r="V34" s="1479"/>
      <c r="X34" s="1479"/>
      <c r="Y34" s="1479"/>
      <c r="Z34" s="1479"/>
    </row>
    <row r="35" spans="1:26">
      <c r="A35" s="1464" t="s">
        <v>1168</v>
      </c>
      <c r="B35" s="1480">
        <f t="shared" ref="B35:C37" si="22">B34/(1+N34)</f>
        <v>275.55110220440883</v>
      </c>
      <c r="C35" s="1480">
        <f t="shared" si="22"/>
        <v>231.90723710515795</v>
      </c>
      <c r="D35" s="1480">
        <f t="shared" si="12"/>
        <v>231.90723710515795</v>
      </c>
      <c r="E35" s="1480">
        <f t="shared" ref="E35:F37" si="23">E34/(1+P34)</f>
        <v>377.28276138872161</v>
      </c>
      <c r="F35" s="1480">
        <f t="shared" si="23"/>
        <v>212.02468644236512</v>
      </c>
      <c r="G35" s="3267">
        <v>2011</v>
      </c>
      <c r="H35" s="1490">
        <v>3</v>
      </c>
      <c r="I35" s="1490">
        <v>0.13</v>
      </c>
      <c r="J35" s="1490">
        <v>0.75</v>
      </c>
      <c r="K35" s="1490">
        <v>-0.08</v>
      </c>
      <c r="L35" s="1491">
        <v>0.53</v>
      </c>
      <c r="N35" s="1475">
        <f t="shared" si="14"/>
        <v>1.2999999999999999E-3</v>
      </c>
      <c r="O35" s="1492">
        <f t="shared" si="14"/>
        <v>7.4999999999999997E-3</v>
      </c>
      <c r="P35" s="1492">
        <f t="shared" si="14"/>
        <v>-8.0000000000000004E-4</v>
      </c>
      <c r="Q35" s="1492">
        <f t="shared" si="14"/>
        <v>5.3E-3</v>
      </c>
      <c r="R35" s="1477"/>
      <c r="S35" s="1475"/>
      <c r="T35" s="1476"/>
      <c r="U35" s="1476"/>
      <c r="V35" s="1476"/>
    </row>
    <row r="36" spans="1:26">
      <c r="A36" s="1464" t="s">
        <v>1169</v>
      </c>
      <c r="B36" s="1480">
        <f t="shared" si="22"/>
        <v>275.19335084830601</v>
      </c>
      <c r="C36" s="1480">
        <f t="shared" si="22"/>
        <v>230.18088050139744</v>
      </c>
      <c r="D36" s="1480">
        <f t="shared" si="12"/>
        <v>230.18088050139744</v>
      </c>
      <c r="E36" s="1480">
        <f t="shared" si="23"/>
        <v>377.58482925212331</v>
      </c>
      <c r="F36" s="1480">
        <f t="shared" si="23"/>
        <v>210.90687997847917</v>
      </c>
      <c r="G36" s="3267">
        <v>2011</v>
      </c>
      <c r="H36" s="1468">
        <v>2</v>
      </c>
      <c r="I36" s="1468">
        <v>-0.4</v>
      </c>
      <c r="J36" s="1468">
        <v>0.17</v>
      </c>
      <c r="K36" s="1468">
        <v>-0.57999999999999996</v>
      </c>
      <c r="L36" s="1482">
        <v>-0.2</v>
      </c>
      <c r="N36" s="1475">
        <f t="shared" si="14"/>
        <v>-4.0000000000000001E-3</v>
      </c>
      <c r="O36" s="1492">
        <f t="shared" si="14"/>
        <v>1.7000000000000001E-3</v>
      </c>
      <c r="P36" s="1492">
        <f t="shared" si="14"/>
        <v>-5.7999999999999996E-3</v>
      </c>
      <c r="Q36" s="1492">
        <f t="shared" si="14"/>
        <v>-2E-3</v>
      </c>
      <c r="R36" s="1477"/>
      <c r="S36" s="1475"/>
      <c r="T36" s="1476"/>
      <c r="U36" s="1476"/>
      <c r="V36" s="1476"/>
    </row>
    <row r="37" spans="1:26" ht="13.5" thickBot="1">
      <c r="A37" s="1464" t="s">
        <v>1170</v>
      </c>
      <c r="B37" s="1480">
        <f t="shared" si="22"/>
        <v>276.29854502841971</v>
      </c>
      <c r="C37" s="1480">
        <f t="shared" si="22"/>
        <v>229.79023709833027</v>
      </c>
      <c r="D37" s="1480">
        <f t="shared" si="12"/>
        <v>229.79023709833027</v>
      </c>
      <c r="E37" s="1480">
        <f t="shared" si="23"/>
        <v>379.78759731655936</v>
      </c>
      <c r="F37" s="1480">
        <f t="shared" si="23"/>
        <v>211.32953905659235</v>
      </c>
      <c r="G37" s="3268">
        <v>2011</v>
      </c>
      <c r="H37" s="1467">
        <v>1</v>
      </c>
      <c r="I37" s="1467">
        <v>2.65</v>
      </c>
      <c r="J37" s="1467">
        <v>3.76</v>
      </c>
      <c r="K37" s="1467">
        <v>1.89</v>
      </c>
      <c r="L37" s="1481">
        <v>7.95</v>
      </c>
      <c r="N37" s="1483">
        <f t="shared" si="14"/>
        <v>2.6499999999999999E-2</v>
      </c>
      <c r="O37" s="1484">
        <f t="shared" si="14"/>
        <v>3.7599999999999995E-2</v>
      </c>
      <c r="P37" s="1484">
        <f t="shared" si="14"/>
        <v>1.89E-2</v>
      </c>
      <c r="Q37" s="1484">
        <f t="shared" si="14"/>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12"/>
        <v>221</v>
      </c>
      <c r="E38" s="1472">
        <v>373</v>
      </c>
      <c r="F38" s="1473">
        <v>196</v>
      </c>
      <c r="G38" s="3266">
        <v>2010</v>
      </c>
      <c r="H38" s="1485">
        <v>4</v>
      </c>
      <c r="I38" s="1485">
        <v>5.72</v>
      </c>
      <c r="J38" s="1485">
        <v>6.57</v>
      </c>
      <c r="K38" s="1485">
        <v>5.72</v>
      </c>
      <c r="L38" s="1486">
        <v>2.72</v>
      </c>
      <c r="N38" s="1475">
        <f t="shared" si="14"/>
        <v>5.7200000000000001E-2</v>
      </c>
      <c r="O38" s="1476">
        <f t="shared" si="14"/>
        <v>6.5700000000000008E-2</v>
      </c>
      <c r="P38" s="1476">
        <f t="shared" si="14"/>
        <v>5.7200000000000001E-2</v>
      </c>
      <c r="Q38" s="1476">
        <f t="shared" si="14"/>
        <v>2.7200000000000002E-2</v>
      </c>
      <c r="R38" s="1477"/>
      <c r="S38" s="1478"/>
      <c r="T38" s="1479"/>
      <c r="U38" s="1479"/>
      <c r="V38" s="1479"/>
      <c r="X38" s="1479"/>
      <c r="Y38" s="1479"/>
      <c r="Z38" s="1479"/>
    </row>
    <row r="39" spans="1:26">
      <c r="A39" s="1464" t="s">
        <v>1172</v>
      </c>
      <c r="B39" s="1480">
        <f t="shared" ref="B39:C41" si="24">B38/(1+N38)</f>
        <v>254.44570563753314</v>
      </c>
      <c r="C39" s="1480">
        <f t="shared" si="24"/>
        <v>207.37543398705074</v>
      </c>
      <c r="D39" s="1480">
        <f t="shared" si="12"/>
        <v>207.37543398705074</v>
      </c>
      <c r="E39" s="1480">
        <f t="shared" ref="E39:F41" si="25">E38/(1+P38)</f>
        <v>352.81876655315932</v>
      </c>
      <c r="F39" s="1480">
        <f t="shared" si="25"/>
        <v>190.809968847352</v>
      </c>
      <c r="G39" s="3267">
        <v>2010</v>
      </c>
      <c r="H39" s="1490">
        <v>3</v>
      </c>
      <c r="I39" s="1490">
        <v>4.7300000000000004</v>
      </c>
      <c r="J39" s="1490">
        <v>3.9</v>
      </c>
      <c r="K39" s="1490">
        <v>5.03</v>
      </c>
      <c r="L39" s="1491">
        <v>4.21</v>
      </c>
      <c r="N39" s="1475">
        <f t="shared" si="14"/>
        <v>4.7300000000000002E-2</v>
      </c>
      <c r="O39" s="1476">
        <f t="shared" si="14"/>
        <v>3.9E-2</v>
      </c>
      <c r="P39" s="1476">
        <f t="shared" si="14"/>
        <v>5.0300000000000004E-2</v>
      </c>
      <c r="Q39" s="1476">
        <f t="shared" si="14"/>
        <v>4.2099999999999999E-2</v>
      </c>
      <c r="R39" s="1477"/>
      <c r="S39" s="1475"/>
      <c r="T39" s="1476"/>
      <c r="U39" s="1476"/>
      <c r="V39" s="1476"/>
    </row>
    <row r="40" spans="1:26">
      <c r="A40" s="1464" t="s">
        <v>1173</v>
      </c>
      <c r="B40" s="1480">
        <f t="shared" si="24"/>
        <v>242.95398227588385</v>
      </c>
      <c r="C40" s="1480">
        <f t="shared" si="24"/>
        <v>199.59137053614126</v>
      </c>
      <c r="D40" s="1480">
        <f t="shared" si="12"/>
        <v>199.59137053614126</v>
      </c>
      <c r="E40" s="1480">
        <f t="shared" si="25"/>
        <v>335.92189522342125</v>
      </c>
      <c r="F40" s="1480">
        <f t="shared" si="25"/>
        <v>183.10139991109489</v>
      </c>
      <c r="G40" s="3267">
        <v>2010</v>
      </c>
      <c r="H40" s="1468">
        <v>2</v>
      </c>
      <c r="I40" s="1468">
        <v>4.6900000000000004</v>
      </c>
      <c r="J40" s="1468">
        <v>3.55</v>
      </c>
      <c r="K40" s="1468">
        <v>5.07</v>
      </c>
      <c r="L40" s="1482">
        <v>4.2300000000000004</v>
      </c>
      <c r="N40" s="1475">
        <f t="shared" si="14"/>
        <v>4.6900000000000004E-2</v>
      </c>
      <c r="O40" s="1476">
        <f t="shared" si="14"/>
        <v>3.5499999999999997E-2</v>
      </c>
      <c r="P40" s="1476">
        <f t="shared" si="14"/>
        <v>5.0700000000000002E-2</v>
      </c>
      <c r="Q40" s="1476">
        <f t="shared" si="14"/>
        <v>4.2300000000000004E-2</v>
      </c>
      <c r="R40" s="1477"/>
      <c r="S40" s="1475"/>
      <c r="T40" s="1476"/>
      <c r="U40" s="1476"/>
      <c r="V40" s="1476"/>
    </row>
    <row r="41" spans="1:26" ht="13.5" thickBot="1">
      <c r="A41" s="1464" t="s">
        <v>1174</v>
      </c>
      <c r="B41" s="1480">
        <f t="shared" si="24"/>
        <v>232.06990378821649</v>
      </c>
      <c r="C41" s="1480">
        <f t="shared" si="24"/>
        <v>192.74878854286936</v>
      </c>
      <c r="D41" s="1480">
        <f t="shared" si="12"/>
        <v>192.74878854286936</v>
      </c>
      <c r="E41" s="1480">
        <f t="shared" si="25"/>
        <v>319.71247284992984</v>
      </c>
      <c r="F41" s="1480">
        <f t="shared" si="25"/>
        <v>175.67053622862409</v>
      </c>
      <c r="G41" s="3268">
        <v>2010</v>
      </c>
      <c r="H41" s="1467">
        <v>1</v>
      </c>
      <c r="I41" s="1467">
        <v>5.4</v>
      </c>
      <c r="J41" s="1467">
        <v>3.2</v>
      </c>
      <c r="K41" s="1467">
        <v>6.16</v>
      </c>
      <c r="L41" s="1481">
        <v>4.51</v>
      </c>
      <c r="N41" s="1475">
        <f t="shared" si="14"/>
        <v>5.4000000000000006E-2</v>
      </c>
      <c r="O41" s="1476">
        <f t="shared" si="14"/>
        <v>3.2000000000000001E-2</v>
      </c>
      <c r="P41" s="1476">
        <f t="shared" si="14"/>
        <v>6.1600000000000002E-2</v>
      </c>
      <c r="Q41" s="1476">
        <f t="shared" si="14"/>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12"/>
        <v>187</v>
      </c>
      <c r="E42" s="1472">
        <v>301</v>
      </c>
      <c r="F42" s="1473">
        <v>168</v>
      </c>
      <c r="G42" s="3266">
        <v>2009</v>
      </c>
      <c r="H42" s="1485">
        <v>4</v>
      </c>
      <c r="I42" s="1485">
        <v>2.2999999999999998</v>
      </c>
      <c r="J42" s="1485">
        <v>1.04</v>
      </c>
      <c r="K42" s="1485">
        <v>2.84</v>
      </c>
      <c r="L42" s="1486">
        <v>0.67</v>
      </c>
      <c r="N42" s="1487">
        <f t="shared" si="14"/>
        <v>2.3E-2</v>
      </c>
      <c r="O42" s="1488">
        <f t="shared" si="14"/>
        <v>1.04E-2</v>
      </c>
      <c r="P42" s="1488">
        <f t="shared" si="14"/>
        <v>2.8399999999999998E-2</v>
      </c>
      <c r="Q42" s="1488">
        <f t="shared" si="14"/>
        <v>6.7000000000000002E-3</v>
      </c>
      <c r="R42" s="1477"/>
      <c r="S42" s="1478"/>
      <c r="T42" s="1479"/>
      <c r="U42" s="1479"/>
      <c r="V42" s="1479"/>
      <c r="X42" s="1479"/>
      <c r="Y42" s="1479"/>
      <c r="Z42" s="1479"/>
    </row>
    <row r="43" spans="1:26">
      <c r="A43" s="1464" t="s">
        <v>1176</v>
      </c>
      <c r="B43" s="1480">
        <f t="shared" ref="B43:C45" si="26">B42/(1+N42)</f>
        <v>215.05376344086022</v>
      </c>
      <c r="C43" s="1480">
        <f t="shared" si="26"/>
        <v>185.0752177355503</v>
      </c>
      <c r="D43" s="1480">
        <f t="shared" si="12"/>
        <v>185.0752177355503</v>
      </c>
      <c r="E43" s="1480">
        <f t="shared" ref="E43:F45" si="27">E42/(1+P42)</f>
        <v>292.68767016725008</v>
      </c>
      <c r="F43" s="1480">
        <f t="shared" si="27"/>
        <v>166.88189132810174</v>
      </c>
      <c r="G43" s="3267">
        <v>2009</v>
      </c>
      <c r="H43" s="1490">
        <v>3</v>
      </c>
      <c r="I43" s="1490">
        <v>2.1</v>
      </c>
      <c r="J43" s="1490">
        <v>1.86</v>
      </c>
      <c r="K43" s="1490">
        <v>2.29</v>
      </c>
      <c r="L43" s="1491">
        <v>0.85</v>
      </c>
      <c r="N43" s="1475">
        <f t="shared" si="14"/>
        <v>2.1000000000000001E-2</v>
      </c>
      <c r="O43" s="1492">
        <f t="shared" si="14"/>
        <v>1.8600000000000002E-2</v>
      </c>
      <c r="P43" s="1492">
        <f t="shared" si="14"/>
        <v>2.29E-2</v>
      </c>
      <c r="Q43" s="1492">
        <f t="shared" si="14"/>
        <v>8.5000000000000006E-3</v>
      </c>
      <c r="R43" s="1477"/>
      <c r="S43" s="1475"/>
      <c r="T43" s="1476"/>
      <c r="U43" s="1476"/>
      <c r="V43" s="1476"/>
    </row>
    <row r="44" spans="1:26">
      <c r="A44" s="1464" t="s">
        <v>1177</v>
      </c>
      <c r="B44" s="1480">
        <f t="shared" si="26"/>
        <v>210.630522469011</v>
      </c>
      <c r="C44" s="1480">
        <f t="shared" si="26"/>
        <v>181.69567812247232</v>
      </c>
      <c r="D44" s="1480">
        <f t="shared" si="12"/>
        <v>181.69567812247232</v>
      </c>
      <c r="E44" s="1480">
        <f t="shared" si="27"/>
        <v>286.13517466736738</v>
      </c>
      <c r="F44" s="1480">
        <f t="shared" si="27"/>
        <v>165.47535084591149</v>
      </c>
      <c r="G44" s="3267">
        <v>2009</v>
      </c>
      <c r="H44" s="1468">
        <v>2</v>
      </c>
      <c r="I44" s="1468">
        <v>0.86</v>
      </c>
      <c r="J44" s="1468">
        <v>-1.1299999999999999</v>
      </c>
      <c r="K44" s="1468">
        <v>1.79</v>
      </c>
      <c r="L44" s="1482">
        <v>-2.0699999999999998</v>
      </c>
      <c r="N44" s="1475">
        <f t="shared" si="14"/>
        <v>8.6E-3</v>
      </c>
      <c r="O44" s="1492">
        <f t="shared" si="14"/>
        <v>-1.1299999999999999E-2</v>
      </c>
      <c r="P44" s="1492">
        <f t="shared" si="14"/>
        <v>1.7899999999999999E-2</v>
      </c>
      <c r="Q44" s="1492">
        <f t="shared" si="14"/>
        <v>-2.07E-2</v>
      </c>
      <c r="R44" s="1477"/>
      <c r="S44" s="1475"/>
      <c r="T44" s="1476"/>
      <c r="U44" s="1476"/>
      <c r="V44" s="1476"/>
    </row>
    <row r="45" spans="1:26">
      <c r="A45" s="1464" t="s">
        <v>1178</v>
      </c>
      <c r="B45" s="1480">
        <f t="shared" si="26"/>
        <v>208.83454537875372</v>
      </c>
      <c r="C45" s="1480">
        <f t="shared" si="26"/>
        <v>183.77230517090351</v>
      </c>
      <c r="D45" s="1480">
        <f t="shared" si="12"/>
        <v>183.77230517090351</v>
      </c>
      <c r="E45" s="1480">
        <f t="shared" si="27"/>
        <v>281.10342338870947</v>
      </c>
      <c r="F45" s="1480">
        <f t="shared" si="27"/>
        <v>168.97309388942256</v>
      </c>
      <c r="G45" s="3268">
        <v>2009</v>
      </c>
      <c r="H45" s="1467">
        <v>1</v>
      </c>
      <c r="I45" s="1467">
        <v>-2.64</v>
      </c>
      <c r="J45" s="1467">
        <v>-2.5299999999999998</v>
      </c>
      <c r="K45" s="1467">
        <v>-3.02</v>
      </c>
      <c r="L45" s="1481">
        <v>1.52</v>
      </c>
      <c r="N45" s="1483">
        <f t="shared" si="14"/>
        <v>-2.64E-2</v>
      </c>
      <c r="O45" s="1484">
        <f t="shared" si="14"/>
        <v>-2.53E-2</v>
      </c>
      <c r="P45" s="1484">
        <f t="shared" si="14"/>
        <v>-3.0200000000000001E-2</v>
      </c>
      <c r="Q45" s="1484">
        <f t="shared" si="14"/>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12"/>
        <v>188</v>
      </c>
      <c r="E46" s="1514">
        <v>289</v>
      </c>
      <c r="F46" s="1515">
        <v>166</v>
      </c>
      <c r="G46" s="3266">
        <v>2008</v>
      </c>
      <c r="H46" s="1485">
        <v>4</v>
      </c>
      <c r="I46" s="1485">
        <v>1.73</v>
      </c>
      <c r="J46" s="1485">
        <v>0.03</v>
      </c>
      <c r="K46" s="1485">
        <v>2.59</v>
      </c>
      <c r="L46" s="1486">
        <v>-1.66</v>
      </c>
      <c r="N46" s="1475">
        <f t="shared" si="14"/>
        <v>1.7299999999999999E-2</v>
      </c>
      <c r="O46" s="1476">
        <f t="shared" si="14"/>
        <v>2.9999999999999997E-4</v>
      </c>
      <c r="P46" s="1476">
        <f t="shared" si="14"/>
        <v>2.5899999999999999E-2</v>
      </c>
      <c r="Q46" s="1476">
        <f t="shared" si="14"/>
        <v>-1.66E-2</v>
      </c>
      <c r="R46" s="1477"/>
      <c r="S46" s="1478"/>
      <c r="T46" s="1479"/>
      <c r="U46" s="1479"/>
      <c r="V46" s="1479"/>
      <c r="X46" s="1479"/>
      <c r="Y46" s="1479"/>
      <c r="Z46" s="1479"/>
    </row>
    <row r="47" spans="1:26">
      <c r="A47" s="1464" t="s">
        <v>1180</v>
      </c>
      <c r="B47" s="1480">
        <f t="shared" ref="B47:C49" si="28">B46/(1+N46)</f>
        <v>210.36075887152265</v>
      </c>
      <c r="C47" s="1480">
        <f t="shared" si="28"/>
        <v>187.94361691492554</v>
      </c>
      <c r="D47" s="1480">
        <f t="shared" si="12"/>
        <v>187.94361691492554</v>
      </c>
      <c r="E47" s="1480">
        <f t="shared" ref="E47:F49" si="29">E46/(1+P46)</f>
        <v>281.70386977288234</v>
      </c>
      <c r="F47" s="1480">
        <f t="shared" si="29"/>
        <v>168.80211511083994</v>
      </c>
      <c r="G47" s="3267">
        <v>2008</v>
      </c>
      <c r="H47" s="1490">
        <v>3</v>
      </c>
      <c r="I47" s="1490">
        <v>1.96</v>
      </c>
      <c r="J47" s="1490">
        <v>2.36</v>
      </c>
      <c r="K47" s="1490">
        <v>1.82</v>
      </c>
      <c r="L47" s="1491">
        <v>2.2200000000000002</v>
      </c>
      <c r="N47" s="1475">
        <f t="shared" si="14"/>
        <v>1.9599999999999999E-2</v>
      </c>
      <c r="O47" s="1476">
        <f t="shared" si="14"/>
        <v>2.3599999999999999E-2</v>
      </c>
      <c r="P47" s="1476">
        <f t="shared" si="14"/>
        <v>1.8200000000000001E-2</v>
      </c>
      <c r="Q47" s="1476">
        <f t="shared" si="14"/>
        <v>2.2200000000000001E-2</v>
      </c>
      <c r="R47" s="1477"/>
      <c r="S47" s="1475"/>
      <c r="T47" s="1476"/>
      <c r="U47" s="1476"/>
      <c r="V47" s="1476"/>
    </row>
    <row r="48" spans="1:26">
      <c r="A48" s="1464" t="s">
        <v>1181</v>
      </c>
      <c r="B48" s="1480">
        <f t="shared" si="28"/>
        <v>206.31694671589116</v>
      </c>
      <c r="C48" s="1480">
        <f t="shared" si="28"/>
        <v>183.61041121036101</v>
      </c>
      <c r="D48" s="1480">
        <f t="shared" si="12"/>
        <v>183.61041121036101</v>
      </c>
      <c r="E48" s="1480">
        <f t="shared" si="29"/>
        <v>276.66850301795557</v>
      </c>
      <c r="F48" s="1480">
        <f t="shared" si="29"/>
        <v>165.1360938278614</v>
      </c>
      <c r="G48" s="3267">
        <v>2008</v>
      </c>
      <c r="H48" s="1468">
        <v>2</v>
      </c>
      <c r="I48" s="1468">
        <v>4.93</v>
      </c>
      <c r="J48" s="1468">
        <v>7.38</v>
      </c>
      <c r="K48" s="1468">
        <v>3.98</v>
      </c>
      <c r="L48" s="1482">
        <v>6.86</v>
      </c>
      <c r="N48" s="1475">
        <f t="shared" si="14"/>
        <v>4.9299999999999997E-2</v>
      </c>
      <c r="O48" s="1476">
        <f t="shared" si="14"/>
        <v>7.3800000000000004E-2</v>
      </c>
      <c r="P48" s="1476">
        <f t="shared" si="14"/>
        <v>3.9800000000000002E-2</v>
      </c>
      <c r="Q48" s="1476">
        <f t="shared" si="14"/>
        <v>6.8600000000000008E-2</v>
      </c>
      <c r="R48" s="1477"/>
      <c r="S48" s="1475"/>
      <c r="T48" s="1476"/>
      <c r="U48" s="1476"/>
      <c r="V48" s="1476"/>
    </row>
    <row r="49" spans="1:26" s="1520" customFormat="1" ht="13.5" thickBot="1">
      <c r="A49" s="1464" t="s">
        <v>1182</v>
      </c>
      <c r="B49" s="1517">
        <f t="shared" si="28"/>
        <v>196.62341248059772</v>
      </c>
      <c r="C49" s="1517">
        <f t="shared" si="28"/>
        <v>170.99125648199012</v>
      </c>
      <c r="D49" s="1517">
        <f t="shared" si="12"/>
        <v>170.99125648199012</v>
      </c>
      <c r="E49" s="1517">
        <f t="shared" si="29"/>
        <v>266.07857570490052</v>
      </c>
      <c r="F49" s="1517">
        <f t="shared" si="29"/>
        <v>154.53499328828505</v>
      </c>
      <c r="G49" s="3268">
        <v>2008</v>
      </c>
      <c r="H49" s="1518">
        <v>1</v>
      </c>
      <c r="I49" s="1518">
        <v>4.1399999999999997</v>
      </c>
      <c r="J49" s="1518">
        <v>3.45</v>
      </c>
      <c r="K49" s="1518">
        <v>4.95</v>
      </c>
      <c r="L49" s="1519">
        <v>4.82</v>
      </c>
      <c r="N49" s="1521">
        <f t="shared" si="14"/>
        <v>4.1399999999999999E-2</v>
      </c>
      <c r="O49" s="1522">
        <f t="shared" si="14"/>
        <v>3.4500000000000003E-2</v>
      </c>
      <c r="P49" s="1522">
        <f t="shared" si="14"/>
        <v>4.9500000000000002E-2</v>
      </c>
      <c r="Q49" s="1522">
        <f t="shared" si="14"/>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12"/>
        <v>165</v>
      </c>
      <c r="E50" s="1472">
        <v>254</v>
      </c>
      <c r="F50" s="1473">
        <v>148</v>
      </c>
      <c r="G50" s="3266">
        <v>2007</v>
      </c>
      <c r="H50" s="1525">
        <v>4</v>
      </c>
      <c r="I50" s="1525">
        <v>5.51</v>
      </c>
      <c r="J50" s="1525">
        <v>4.8899999999999997</v>
      </c>
      <c r="K50" s="1525">
        <v>6.43</v>
      </c>
      <c r="L50" s="1526">
        <v>5.36</v>
      </c>
      <c r="N50" s="1527">
        <f t="shared" ref="N50:O53" si="30">B50/B51-1</f>
        <v>4.1339718365245526E-2</v>
      </c>
      <c r="O50" s="1528">
        <f t="shared" si="30"/>
        <v>4.0324492593776018E-2</v>
      </c>
      <c r="P50" s="1528">
        <f t="shared" ref="P50:Q53" si="31">E50/E51-1</f>
        <v>6.1625555347990968E-2</v>
      </c>
      <c r="Q50" s="1528">
        <f t="shared" si="31"/>
        <v>4.6757569250590603E-2</v>
      </c>
      <c r="R50" s="1477"/>
      <c r="S50" s="1478"/>
      <c r="T50" s="1479"/>
      <c r="U50" s="1479"/>
      <c r="V50" s="1479"/>
      <c r="X50" s="1479"/>
      <c r="Y50" s="1479"/>
      <c r="Z50" s="1479"/>
    </row>
    <row r="51" spans="1:26">
      <c r="A51" s="1464" t="s">
        <v>1184</v>
      </c>
      <c r="B51" s="1480">
        <f t="shared" ref="B51:C53" si="32">B52+(B$50-B$54)*I51/SUM(I$50:I$53)</f>
        <v>180.5366651097618</v>
      </c>
      <c r="C51" s="1480">
        <f t="shared" si="32"/>
        <v>158.60435967302453</v>
      </c>
      <c r="D51" s="1480">
        <f t="shared" si="12"/>
        <v>158.60435967302453</v>
      </c>
      <c r="E51" s="1480">
        <f t="shared" ref="E51:F53" si="33">E52+(E$50-E$54)*K51/SUM(K$50:K$53)</f>
        <v>239.25573260785075</v>
      </c>
      <c r="F51" s="1480">
        <f t="shared" si="33"/>
        <v>141.38899430740037</v>
      </c>
      <c r="G51" s="3267">
        <v>2007</v>
      </c>
      <c r="H51" s="1490">
        <v>3</v>
      </c>
      <c r="I51" s="1490">
        <v>8.65</v>
      </c>
      <c r="J51" s="1490">
        <v>8.06</v>
      </c>
      <c r="K51" s="1490">
        <v>9.94</v>
      </c>
      <c r="L51" s="1491">
        <v>5.8</v>
      </c>
      <c r="N51" s="1527">
        <f t="shared" si="30"/>
        <v>6.940217571740015E-2</v>
      </c>
      <c r="O51" s="1528">
        <f t="shared" si="30"/>
        <v>7.1197482471153428E-2</v>
      </c>
      <c r="P51" s="1528">
        <f t="shared" si="31"/>
        <v>0.10529679922579582</v>
      </c>
      <c r="Q51" s="1528">
        <f t="shared" si="31"/>
        <v>5.3292245059512133E-2</v>
      </c>
      <c r="R51" s="1477"/>
      <c r="S51" s="1475"/>
      <c r="T51" s="1476"/>
      <c r="U51" s="1476"/>
      <c r="V51" s="1476"/>
      <c r="X51" s="1529"/>
      <c r="Y51" s="1529"/>
      <c r="Z51" s="1529"/>
    </row>
    <row r="52" spans="1:26">
      <c r="A52" s="1464" t="s">
        <v>1185</v>
      </c>
      <c r="B52" s="1480">
        <f t="shared" si="32"/>
        <v>168.82017748715555</v>
      </c>
      <c r="C52" s="1480">
        <f t="shared" si="32"/>
        <v>148.06267029972753</v>
      </c>
      <c r="D52" s="1480">
        <f t="shared" si="12"/>
        <v>148.06267029972753</v>
      </c>
      <c r="E52" s="1480">
        <f t="shared" si="33"/>
        <v>216.46288379323747</v>
      </c>
      <c r="F52" s="1480">
        <f t="shared" si="33"/>
        <v>134.23529411764704</v>
      </c>
      <c r="G52" s="3267">
        <v>2007</v>
      </c>
      <c r="H52" s="1468">
        <v>2</v>
      </c>
      <c r="I52" s="1468">
        <v>3.67</v>
      </c>
      <c r="J52" s="1468">
        <v>2.3199999999999998</v>
      </c>
      <c r="K52" s="1468">
        <v>5.0199999999999996</v>
      </c>
      <c r="L52" s="1482">
        <v>6.71</v>
      </c>
      <c r="N52" s="1527">
        <f t="shared" si="30"/>
        <v>3.0339138143848032E-2</v>
      </c>
      <c r="O52" s="1528">
        <f t="shared" si="30"/>
        <v>2.0922341588790472E-2</v>
      </c>
      <c r="P52" s="1528">
        <f t="shared" si="31"/>
        <v>5.6164796592717003E-2</v>
      </c>
      <c r="Q52" s="1528">
        <f t="shared" si="31"/>
        <v>6.5704536723887319E-2</v>
      </c>
      <c r="R52" s="1477"/>
      <c r="S52" s="1475"/>
      <c r="T52" s="1476"/>
      <c r="U52" s="1476"/>
      <c r="V52" s="1476"/>
      <c r="X52" s="1529"/>
      <c r="Y52" s="1529"/>
      <c r="Z52" s="1529"/>
    </row>
    <row r="53" spans="1:26">
      <c r="A53" s="1464" t="s">
        <v>1186</v>
      </c>
      <c r="B53" s="1480">
        <f t="shared" si="32"/>
        <v>163.84913591779542</v>
      </c>
      <c r="C53" s="1480">
        <f t="shared" si="32"/>
        <v>145.0283378746594</v>
      </c>
      <c r="D53" s="1480">
        <f t="shared" si="12"/>
        <v>145.0283378746594</v>
      </c>
      <c r="E53" s="1480">
        <f t="shared" si="33"/>
        <v>204.95180722891567</v>
      </c>
      <c r="F53" s="1480">
        <f t="shared" si="33"/>
        <v>125.95920303605313</v>
      </c>
      <c r="G53" s="3268">
        <v>2007</v>
      </c>
      <c r="H53" s="1467">
        <v>1</v>
      </c>
      <c r="I53" s="1467">
        <v>3.58</v>
      </c>
      <c r="J53" s="1467">
        <v>3.08</v>
      </c>
      <c r="K53" s="1467">
        <v>4.34</v>
      </c>
      <c r="L53" s="1481">
        <v>3.21</v>
      </c>
      <c r="N53" s="1530">
        <f t="shared" si="30"/>
        <v>3.0497710174814063E-2</v>
      </c>
      <c r="O53" s="1531">
        <f t="shared" si="30"/>
        <v>2.8569772160704998E-2</v>
      </c>
      <c r="P53" s="1531">
        <f t="shared" si="31"/>
        <v>5.1034908866234296E-2</v>
      </c>
      <c r="Q53" s="1531">
        <f t="shared" si="31"/>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12"/>
        <v>141</v>
      </c>
      <c r="E54" s="1493">
        <v>195</v>
      </c>
      <c r="F54" s="1494">
        <v>122</v>
      </c>
      <c r="G54" s="3266">
        <v>2006</v>
      </c>
      <c r="H54" s="1485">
        <v>4</v>
      </c>
      <c r="I54" s="1485">
        <v>3.79</v>
      </c>
      <c r="J54" s="1485">
        <v>2.21</v>
      </c>
      <c r="K54" s="1485">
        <v>5.65</v>
      </c>
      <c r="L54" s="1486">
        <v>5.41</v>
      </c>
      <c r="N54" s="1527">
        <f t="shared" ref="N54:O57" si="34">I54/SUM(I$54:I$57)*(B$54/B$58-1)</f>
        <v>7.245466462748526E-2</v>
      </c>
      <c r="O54" s="1528">
        <f t="shared" si="34"/>
        <v>2.3237230038062766E-2</v>
      </c>
      <c r="P54" s="1528">
        <f t="shared" ref="P54:Q57" si="35">K54/SUM(K$54:K$57)*(E$54/E$58-1)</f>
        <v>0.16146893866323722</v>
      </c>
      <c r="Q54" s="1528">
        <f t="shared" si="35"/>
        <v>5.0755230321793784E-2</v>
      </c>
      <c r="R54" s="1477"/>
      <c r="S54" s="1478"/>
      <c r="T54" s="1479"/>
      <c r="U54" s="1479"/>
      <c r="V54" s="1479"/>
      <c r="X54" s="1529"/>
      <c r="Y54" s="1529"/>
      <c r="Z54" s="1529"/>
    </row>
    <row r="55" spans="1:26">
      <c r="A55" s="1464" t="s">
        <v>1188</v>
      </c>
      <c r="B55" s="1480">
        <f t="shared" ref="B55:C57" si="36">B56+(B$54-B$58)*I55/SUM(I$54:I$57)</f>
        <v>149.00125628140702</v>
      </c>
      <c r="C55" s="1480">
        <f t="shared" si="36"/>
        <v>137.95592286501378</v>
      </c>
      <c r="D55" s="1480">
        <f t="shared" si="12"/>
        <v>137.95592286501378</v>
      </c>
      <c r="E55" s="1480">
        <f t="shared" ref="E55:F57" si="37">E56+(E$54-E$58)*K55/SUM(K$54:K$57)</f>
        <v>169.97231450719823</v>
      </c>
      <c r="F55" s="1480">
        <f t="shared" si="37"/>
        <v>116.21390374331551</v>
      </c>
      <c r="G55" s="3267">
        <v>2006</v>
      </c>
      <c r="H55" s="1490">
        <v>3</v>
      </c>
      <c r="I55" s="1490">
        <v>0.92</v>
      </c>
      <c r="J55" s="1490">
        <v>1.08</v>
      </c>
      <c r="K55" s="1490">
        <v>0.73</v>
      </c>
      <c r="L55" s="1491">
        <v>1.08</v>
      </c>
      <c r="N55" s="1527">
        <f t="shared" si="34"/>
        <v>1.7587939698492462E-2</v>
      </c>
      <c r="O55" s="1528">
        <f t="shared" si="34"/>
        <v>1.1355750425840628E-2</v>
      </c>
      <c r="P55" s="1528">
        <f t="shared" si="35"/>
        <v>2.0862358446754544E-2</v>
      </c>
      <c r="Q55" s="1528">
        <f t="shared" si="35"/>
        <v>1.0132282578103011E-2</v>
      </c>
      <c r="R55" s="1477"/>
      <c r="S55" s="1475"/>
      <c r="T55" s="1476"/>
      <c r="U55" s="1476"/>
      <c r="V55" s="1476"/>
      <c r="X55" s="1529"/>
      <c r="Y55" s="1529"/>
      <c r="Z55" s="1529"/>
    </row>
    <row r="56" spans="1:26">
      <c r="A56" s="1464" t="s">
        <v>1189</v>
      </c>
      <c r="B56" s="1480">
        <f t="shared" si="36"/>
        <v>146.57412060301507</v>
      </c>
      <c r="C56" s="1480">
        <f t="shared" si="36"/>
        <v>136.46831955922866</v>
      </c>
      <c r="D56" s="1480">
        <f t="shared" si="12"/>
        <v>136.46831955922866</v>
      </c>
      <c r="E56" s="1480">
        <f t="shared" si="37"/>
        <v>166.73864894795128</v>
      </c>
      <c r="F56" s="1480">
        <f t="shared" si="37"/>
        <v>115.05882352941177</v>
      </c>
      <c r="G56" s="3267">
        <v>2006</v>
      </c>
      <c r="H56" s="1468">
        <v>2</v>
      </c>
      <c r="I56" s="1468">
        <v>0.96</v>
      </c>
      <c r="J56" s="1468">
        <v>0.25</v>
      </c>
      <c r="K56" s="1468">
        <v>1.9</v>
      </c>
      <c r="L56" s="1482">
        <v>0.95</v>
      </c>
      <c r="N56" s="1527">
        <f t="shared" si="34"/>
        <v>1.8352632728861701E-2</v>
      </c>
      <c r="O56" s="1528">
        <f t="shared" si="34"/>
        <v>2.6286459319075526E-3</v>
      </c>
      <c r="P56" s="1528">
        <f t="shared" si="35"/>
        <v>5.4299289107991269E-2</v>
      </c>
      <c r="Q56" s="1528">
        <f t="shared" si="35"/>
        <v>8.9126559714794995E-3</v>
      </c>
      <c r="R56" s="1477"/>
      <c r="S56" s="1475"/>
      <c r="T56" s="1476"/>
      <c r="U56" s="1476"/>
      <c r="V56" s="1476"/>
      <c r="X56" s="1529"/>
      <c r="Y56" s="1529"/>
      <c r="Z56" s="1529"/>
    </row>
    <row r="57" spans="1:26">
      <c r="A57" s="1464" t="s">
        <v>1190</v>
      </c>
      <c r="B57" s="1480">
        <f t="shared" si="36"/>
        <v>144.04145728643215</v>
      </c>
      <c r="C57" s="1480">
        <f t="shared" si="36"/>
        <v>136.12396694214877</v>
      </c>
      <c r="D57" s="1480">
        <f t="shared" si="12"/>
        <v>136.12396694214877</v>
      </c>
      <c r="E57" s="1480">
        <f t="shared" si="37"/>
        <v>158.32225913621264</v>
      </c>
      <c r="F57" s="1480">
        <f t="shared" si="37"/>
        <v>114.04278074866311</v>
      </c>
      <c r="G57" s="3268">
        <v>2006</v>
      </c>
      <c r="H57" s="1467">
        <v>1</v>
      </c>
      <c r="I57" s="1467">
        <v>2.29</v>
      </c>
      <c r="J57" s="1467">
        <v>3.72</v>
      </c>
      <c r="K57" s="1467">
        <v>0.75</v>
      </c>
      <c r="L57" s="1481">
        <v>0.04</v>
      </c>
      <c r="N57" s="1530">
        <f t="shared" si="34"/>
        <v>4.3778675988638847E-2</v>
      </c>
      <c r="O57" s="1531">
        <f t="shared" si="34"/>
        <v>3.9114251466784385E-2</v>
      </c>
      <c r="P57" s="1531">
        <f t="shared" si="35"/>
        <v>2.1433929911049188E-2</v>
      </c>
      <c r="Q57" s="1531">
        <f t="shared" si="35"/>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12"/>
        <v>131</v>
      </c>
      <c r="E58" s="1493">
        <v>155</v>
      </c>
      <c r="F58" s="1494">
        <v>114</v>
      </c>
      <c r="G58" s="3266">
        <v>2005</v>
      </c>
      <c r="H58" s="1485">
        <v>4</v>
      </c>
      <c r="I58" s="1485">
        <v>3.29</v>
      </c>
      <c r="J58" s="1485">
        <v>1.44</v>
      </c>
      <c r="K58" s="1485">
        <v>0.66</v>
      </c>
      <c r="L58" s="1486">
        <v>7.78</v>
      </c>
      <c r="N58" s="1527">
        <f t="shared" ref="N58:O61" si="38">I58/SUM(I$58:I$61)*(B$58/B$62-1)</f>
        <v>9.9404603216919935E-2</v>
      </c>
      <c r="O58" s="1528">
        <f t="shared" si="38"/>
        <v>4.7636550760861554E-2</v>
      </c>
      <c r="P58" s="1528">
        <f t="shared" ref="P58:Q61" si="39">K58/SUM(K$58:K$61)*(E$58/E$62-1)</f>
        <v>8.3756345177664976E-2</v>
      </c>
      <c r="Q58" s="1528">
        <f t="shared" si="39"/>
        <v>5.2148766661559584E-2</v>
      </c>
      <c r="R58" s="1477"/>
      <c r="S58" s="1478"/>
      <c r="T58" s="1479"/>
      <c r="U58" s="1479"/>
      <c r="V58" s="1479"/>
      <c r="X58" s="1529"/>
      <c r="Y58" s="1529"/>
      <c r="Z58" s="1529"/>
    </row>
    <row r="59" spans="1:26">
      <c r="A59" s="1464" t="s">
        <v>1192</v>
      </c>
      <c r="B59" s="1480">
        <f t="shared" ref="B59:C61" si="40">B60+(B$58-B$62)*I59/SUM(I$58:I$61)</f>
        <v>125.9720430107527</v>
      </c>
      <c r="C59" s="1480">
        <f t="shared" si="40"/>
        <v>125.1883408071749</v>
      </c>
      <c r="D59" s="1480">
        <f t="shared" si="12"/>
        <v>125.1883408071749</v>
      </c>
      <c r="E59" s="1480">
        <f t="shared" ref="E59:F61" si="41">E60+(E$58-E$62)*K59/SUM(K$58:K$61)</f>
        <v>144.61421319796952</v>
      </c>
      <c r="F59" s="1480">
        <f t="shared" si="41"/>
        <v>108.42008196721311</v>
      </c>
      <c r="G59" s="3267">
        <v>2005</v>
      </c>
      <c r="H59" s="1490">
        <v>3</v>
      </c>
      <c r="I59" s="1490">
        <v>0.46</v>
      </c>
      <c r="J59" s="1490">
        <v>0.32</v>
      </c>
      <c r="K59" s="1490">
        <v>0.42</v>
      </c>
      <c r="L59" s="1491">
        <v>0.64</v>
      </c>
      <c r="N59" s="1527">
        <f t="shared" si="38"/>
        <v>1.3898515951301874E-2</v>
      </c>
      <c r="O59" s="1528">
        <f t="shared" si="38"/>
        <v>1.0585900169080346E-2</v>
      </c>
      <c r="P59" s="1528">
        <f t="shared" si="39"/>
        <v>5.3299492385786795E-2</v>
      </c>
      <c r="Q59" s="1528">
        <f t="shared" si="39"/>
        <v>4.2898728359123568E-3</v>
      </c>
      <c r="R59" s="1477"/>
      <c r="S59" s="1475"/>
      <c r="T59" s="1476"/>
      <c r="U59" s="1476"/>
      <c r="V59" s="1476"/>
      <c r="X59" s="1529"/>
      <c r="Y59" s="1529"/>
      <c r="Z59" s="1529"/>
    </row>
    <row r="60" spans="1:26">
      <c r="A60" s="1464" t="s">
        <v>1193</v>
      </c>
      <c r="B60" s="1480">
        <f t="shared" si="40"/>
        <v>124.29032258064517</v>
      </c>
      <c r="C60" s="1480">
        <f t="shared" si="40"/>
        <v>123.8968609865471</v>
      </c>
      <c r="D60" s="1480">
        <f t="shared" si="12"/>
        <v>123.8968609865471</v>
      </c>
      <c r="E60" s="1480">
        <f t="shared" si="41"/>
        <v>138.00507614213197</v>
      </c>
      <c r="F60" s="1480">
        <f t="shared" si="41"/>
        <v>107.96106557377048</v>
      </c>
      <c r="G60" s="3267">
        <v>2005</v>
      </c>
      <c r="H60" s="1468">
        <v>2</v>
      </c>
      <c r="I60" s="1468">
        <v>0.47</v>
      </c>
      <c r="J60" s="1468">
        <v>0.1</v>
      </c>
      <c r="K60" s="1468">
        <v>0.52</v>
      </c>
      <c r="L60" s="1482">
        <v>0.79</v>
      </c>
      <c r="N60" s="1527">
        <f t="shared" si="38"/>
        <v>1.420065760241713E-2</v>
      </c>
      <c r="O60" s="1528">
        <f t="shared" si="38"/>
        <v>3.3080938028376083E-3</v>
      </c>
      <c r="P60" s="1528">
        <f t="shared" si="39"/>
        <v>6.598984771573603E-2</v>
      </c>
      <c r="Q60" s="1528">
        <f t="shared" si="39"/>
        <v>5.2953117818293153E-3</v>
      </c>
      <c r="R60" s="1477"/>
      <c r="S60" s="1475"/>
      <c r="T60" s="1476"/>
      <c r="U60" s="1476"/>
      <c r="V60" s="1476"/>
      <c r="X60" s="1529"/>
      <c r="Y60" s="1529"/>
      <c r="Z60" s="1529"/>
    </row>
    <row r="61" spans="1:26">
      <c r="A61" s="1464" t="s">
        <v>1194</v>
      </c>
      <c r="B61" s="1480">
        <f t="shared" si="40"/>
        <v>122.57204301075269</v>
      </c>
      <c r="C61" s="1480">
        <f t="shared" si="40"/>
        <v>123.4932735426009</v>
      </c>
      <c r="D61" s="1480">
        <f t="shared" si="12"/>
        <v>123.4932735426009</v>
      </c>
      <c r="E61" s="1480">
        <f t="shared" si="41"/>
        <v>129.82233502538071</v>
      </c>
      <c r="F61" s="1480">
        <f t="shared" si="41"/>
        <v>107.39446721311475</v>
      </c>
      <c r="G61" s="3268">
        <v>2005</v>
      </c>
      <c r="H61" s="1467">
        <v>1</v>
      </c>
      <c r="I61" s="1467">
        <v>0.43</v>
      </c>
      <c r="J61" s="1467">
        <v>0.37</v>
      </c>
      <c r="K61" s="1467">
        <v>0.37</v>
      </c>
      <c r="L61" s="1481">
        <v>0.55000000000000004</v>
      </c>
      <c r="N61" s="1530">
        <f t="shared" si="38"/>
        <v>1.2992090997956099E-2</v>
      </c>
      <c r="O61" s="1531">
        <f t="shared" si="38"/>
        <v>1.2239947070499151E-2</v>
      </c>
      <c r="P61" s="1531">
        <f t="shared" si="39"/>
        <v>4.6954314720812178E-2</v>
      </c>
      <c r="Q61" s="1531">
        <f t="shared" si="39"/>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12"/>
        <v>122</v>
      </c>
      <c r="E62" s="1514">
        <v>124</v>
      </c>
      <c r="F62" s="1515">
        <v>107</v>
      </c>
      <c r="G62" s="3266">
        <v>2004</v>
      </c>
      <c r="H62" s="1485">
        <v>4</v>
      </c>
      <c r="I62" s="1485">
        <v>0.33</v>
      </c>
      <c r="J62" s="1485">
        <v>0.5</v>
      </c>
      <c r="K62" s="1485">
        <v>0.5</v>
      </c>
      <c r="L62" s="1486">
        <v>0</v>
      </c>
      <c r="N62" s="1527">
        <f t="shared" ref="N62:O65" si="42">I62/SUM(I$62:I$65)*(B$62/B$66-1)</f>
        <v>1.3391770148526898E-2</v>
      </c>
      <c r="O62" s="1528">
        <f t="shared" si="42"/>
        <v>1.063264221158958E-2</v>
      </c>
      <c r="P62" s="1528">
        <f t="shared" ref="P62:Q65" si="43">K62/SUM(K$62:K$65)*(E$62/E$66-1)</f>
        <v>2.2244466688911134E-2</v>
      </c>
      <c r="Q62" s="1528">
        <f t="shared" si="43"/>
        <v>0</v>
      </c>
      <c r="R62" s="1477"/>
      <c r="S62" s="1478"/>
      <c r="T62" s="1479"/>
      <c r="U62" s="1479"/>
      <c r="V62" s="1479"/>
      <c r="X62" s="1529"/>
      <c r="Y62" s="1529"/>
      <c r="Z62" s="1529"/>
    </row>
    <row r="63" spans="1:26">
      <c r="A63" s="1464" t="s">
        <v>1196</v>
      </c>
      <c r="B63" s="1480">
        <f t="shared" ref="B63:C65" si="44">B64+(B$62-B$66)*I63/SUM(I$62:I$65)</f>
        <v>119.51351351351352</v>
      </c>
      <c r="C63" s="1480">
        <f t="shared" si="44"/>
        <v>120.7878787878788</v>
      </c>
      <c r="D63" s="1480">
        <f t="shared" si="12"/>
        <v>120.7878787878788</v>
      </c>
      <c r="E63" s="1480">
        <f t="shared" ref="E63:F65" si="45">E64+(E$62-E$66)*K63/SUM(K$62:K$65)</f>
        <v>121.5975975975976</v>
      </c>
      <c r="F63" s="1480">
        <f t="shared" si="45"/>
        <v>107</v>
      </c>
      <c r="G63" s="3267">
        <v>2004</v>
      </c>
      <c r="H63" s="1490">
        <v>3</v>
      </c>
      <c r="I63" s="1490">
        <v>0.56000000000000005</v>
      </c>
      <c r="J63" s="1490">
        <v>0.8</v>
      </c>
      <c r="K63" s="1490">
        <v>0.83</v>
      </c>
      <c r="L63" s="1491">
        <v>0.06</v>
      </c>
      <c r="N63" s="1527">
        <f t="shared" si="42"/>
        <v>2.2725428130833527E-2</v>
      </c>
      <c r="O63" s="1528">
        <f t="shared" si="42"/>
        <v>1.7012227538543329E-2</v>
      </c>
      <c r="P63" s="1528">
        <f t="shared" si="43"/>
        <v>3.6925814703592477E-2</v>
      </c>
      <c r="Q63" s="1528">
        <f t="shared" si="43"/>
        <v>2.8846153846153744E-2</v>
      </c>
      <c r="R63" s="1477"/>
      <c r="S63" s="1475"/>
      <c r="T63" s="1476"/>
      <c r="U63" s="1476"/>
      <c r="V63" s="1476"/>
      <c r="X63" s="1529"/>
      <c r="Y63" s="1529"/>
      <c r="Z63" s="1529"/>
    </row>
    <row r="64" spans="1:26">
      <c r="A64" s="1464" t="s">
        <v>1197</v>
      </c>
      <c r="B64" s="1480">
        <f t="shared" si="44"/>
        <v>116.99099099099099</v>
      </c>
      <c r="C64" s="1480">
        <f t="shared" si="44"/>
        <v>118.84848484848486</v>
      </c>
      <c r="D64" s="1480">
        <f t="shared" si="12"/>
        <v>118.84848484848486</v>
      </c>
      <c r="E64" s="1480">
        <f t="shared" si="45"/>
        <v>117.60960960960961</v>
      </c>
      <c r="F64" s="1480">
        <f t="shared" si="45"/>
        <v>104</v>
      </c>
      <c r="G64" s="3267">
        <v>2004</v>
      </c>
      <c r="H64" s="1468">
        <v>2</v>
      </c>
      <c r="I64" s="1468">
        <v>1</v>
      </c>
      <c r="J64" s="1468">
        <v>1.5</v>
      </c>
      <c r="K64" s="1468">
        <v>1.5</v>
      </c>
      <c r="L64" s="1482">
        <v>0</v>
      </c>
      <c r="N64" s="1527">
        <f t="shared" si="42"/>
        <v>4.0581121662202721E-2</v>
      </c>
      <c r="O64" s="1528">
        <f t="shared" si="42"/>
        <v>3.1897926634768738E-2</v>
      </c>
      <c r="P64" s="1528">
        <f t="shared" si="43"/>
        <v>6.6733400066733395E-2</v>
      </c>
      <c r="Q64" s="1528">
        <f t="shared" si="43"/>
        <v>0</v>
      </c>
      <c r="R64" s="1477"/>
      <c r="S64" s="1475"/>
      <c r="T64" s="1476"/>
      <c r="U64" s="1476"/>
      <c r="V64" s="1476"/>
      <c r="X64" s="1529"/>
      <c r="Y64" s="1529"/>
      <c r="Z64" s="1529"/>
    </row>
    <row r="65" spans="1:26" s="1520" customFormat="1" ht="13.5" thickBot="1">
      <c r="A65" s="1464" t="s">
        <v>1198</v>
      </c>
      <c r="B65" s="1517">
        <f t="shared" si="44"/>
        <v>112.48648648648648</v>
      </c>
      <c r="C65" s="1517">
        <f t="shared" si="44"/>
        <v>115.21212121212122</v>
      </c>
      <c r="D65" s="1517">
        <f t="shared" si="12"/>
        <v>115.21212121212122</v>
      </c>
      <c r="E65" s="1517">
        <f t="shared" si="45"/>
        <v>110.4024024024024</v>
      </c>
      <c r="F65" s="1517">
        <f t="shared" si="45"/>
        <v>104</v>
      </c>
      <c r="G65" s="3268">
        <v>2004</v>
      </c>
      <c r="H65" s="1518">
        <v>1</v>
      </c>
      <c r="I65" s="1518">
        <v>0.33</v>
      </c>
      <c r="J65" s="1518">
        <v>0.5</v>
      </c>
      <c r="K65" s="1518">
        <v>0.5</v>
      </c>
      <c r="L65" s="1519">
        <v>0</v>
      </c>
      <c r="N65" s="1532">
        <f t="shared" si="42"/>
        <v>1.3391770148526898E-2</v>
      </c>
      <c r="O65" s="1533">
        <f t="shared" si="42"/>
        <v>1.063264221158958E-2</v>
      </c>
      <c r="P65" s="1533">
        <f t="shared" si="43"/>
        <v>2.2244466688911134E-2</v>
      </c>
      <c r="Q65" s="1533">
        <f t="shared" si="43"/>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12"/>
        <v>114</v>
      </c>
      <c r="E66" s="1535">
        <v>108</v>
      </c>
      <c r="F66" s="1536">
        <v>104</v>
      </c>
      <c r="G66" s="326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46">B68+(B$66-B$70)/4</f>
        <v>109.75</v>
      </c>
      <c r="C67" s="1539">
        <f t="shared" si="46"/>
        <v>112.25</v>
      </c>
      <c r="D67" s="1539">
        <f t="shared" si="12"/>
        <v>112.25</v>
      </c>
      <c r="E67" s="1539">
        <f t="shared" ref="E67:F69" si="47">E68+(E$66-E$70)/4</f>
        <v>107.25</v>
      </c>
      <c r="F67" s="1539">
        <f t="shared" si="47"/>
        <v>103.5</v>
      </c>
      <c r="G67" s="3267">
        <v>2003</v>
      </c>
      <c r="H67" s="1490">
        <v>3</v>
      </c>
      <c r="I67" s="1537"/>
      <c r="J67" s="1537"/>
      <c r="K67" s="1537"/>
      <c r="L67" s="1537"/>
      <c r="X67" s="1529"/>
      <c r="Y67" s="1529"/>
      <c r="Z67" s="1529"/>
    </row>
    <row r="68" spans="1:26">
      <c r="A68" s="1464" t="s">
        <v>1201</v>
      </c>
      <c r="B68" s="1539">
        <f t="shared" si="46"/>
        <v>108.5</v>
      </c>
      <c r="C68" s="1539">
        <f t="shared" si="46"/>
        <v>110.5</v>
      </c>
      <c r="D68" s="1539">
        <f t="shared" si="12"/>
        <v>110.5</v>
      </c>
      <c r="E68" s="1539">
        <f t="shared" si="47"/>
        <v>106.5</v>
      </c>
      <c r="F68" s="1539">
        <f t="shared" si="47"/>
        <v>103</v>
      </c>
      <c r="G68" s="3267">
        <v>2003</v>
      </c>
      <c r="H68" s="1468">
        <v>2</v>
      </c>
      <c r="I68" s="1537"/>
      <c r="J68" s="1537"/>
      <c r="K68" s="1537"/>
      <c r="L68" s="1537"/>
      <c r="X68" s="1529"/>
      <c r="Y68" s="1529"/>
      <c r="Z68" s="1529"/>
    </row>
    <row r="69" spans="1:26" ht="13.5" thickBot="1">
      <c r="A69" s="1464" t="s">
        <v>1202</v>
      </c>
      <c r="B69" s="1539">
        <f t="shared" si="46"/>
        <v>107.25</v>
      </c>
      <c r="C69" s="1539">
        <f t="shared" si="46"/>
        <v>108.75</v>
      </c>
      <c r="D69" s="1539">
        <f t="shared" si="12"/>
        <v>108.75</v>
      </c>
      <c r="E69" s="1539">
        <f t="shared" si="47"/>
        <v>105.75</v>
      </c>
      <c r="F69" s="1539">
        <f t="shared" si="47"/>
        <v>102.5</v>
      </c>
      <c r="G69" s="326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12"/>
        <v>107</v>
      </c>
      <c r="E70" s="1541">
        <v>105</v>
      </c>
      <c r="F70" s="1542">
        <v>102</v>
      </c>
      <c r="G70" s="326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48">B72+(B$70-B$74)/4</f>
        <v>105</v>
      </c>
      <c r="C71" s="1539">
        <f t="shared" si="48"/>
        <v>106</v>
      </c>
      <c r="D71" s="1539">
        <f t="shared" si="12"/>
        <v>106</v>
      </c>
      <c r="E71" s="1539">
        <f t="shared" ref="E71:F73" si="49">E72+(E$70-E$74)/4</f>
        <v>104.5</v>
      </c>
      <c r="F71" s="1539">
        <f t="shared" si="49"/>
        <v>101.5</v>
      </c>
      <c r="G71" s="3267">
        <v>2002</v>
      </c>
      <c r="H71" s="1490">
        <v>3</v>
      </c>
      <c r="I71" s="1537"/>
      <c r="J71" s="1537"/>
      <c r="K71" s="1537"/>
      <c r="L71" s="1537"/>
      <c r="X71" s="1529"/>
      <c r="Y71" s="1529"/>
      <c r="Z71" s="1529"/>
    </row>
    <row r="72" spans="1:26">
      <c r="A72" s="1464" t="s">
        <v>1205</v>
      </c>
      <c r="B72" s="1539">
        <f t="shared" si="48"/>
        <v>104</v>
      </c>
      <c r="C72" s="1539">
        <f t="shared" si="48"/>
        <v>105</v>
      </c>
      <c r="D72" s="1539">
        <f t="shared" si="12"/>
        <v>105</v>
      </c>
      <c r="E72" s="1539">
        <f t="shared" si="49"/>
        <v>104</v>
      </c>
      <c r="F72" s="1539">
        <f t="shared" si="49"/>
        <v>101</v>
      </c>
      <c r="G72" s="3267">
        <v>2002</v>
      </c>
      <c r="H72" s="1468">
        <v>2</v>
      </c>
      <c r="I72" s="1537"/>
      <c r="J72" s="1537"/>
      <c r="K72" s="1537"/>
      <c r="L72" s="1537"/>
      <c r="X72" s="1529"/>
      <c r="Y72" s="1529"/>
      <c r="Z72" s="1529"/>
    </row>
    <row r="73" spans="1:26" s="1501" customFormat="1" ht="13.5" thickBot="1">
      <c r="A73" s="1497" t="s">
        <v>1206</v>
      </c>
      <c r="B73" s="1543">
        <f t="shared" si="48"/>
        <v>103</v>
      </c>
      <c r="C73" s="1543">
        <f t="shared" si="48"/>
        <v>104</v>
      </c>
      <c r="D73" s="1543">
        <f t="shared" si="12"/>
        <v>104</v>
      </c>
      <c r="E73" s="1543">
        <f t="shared" si="49"/>
        <v>103.5</v>
      </c>
      <c r="F73" s="1543">
        <f t="shared" si="49"/>
        <v>100.5</v>
      </c>
      <c r="G73" s="3268">
        <v>2002</v>
      </c>
      <c r="H73" s="1544">
        <v>1</v>
      </c>
      <c r="I73" s="1545"/>
      <c r="J73" s="1545"/>
      <c r="K73" s="1545"/>
      <c r="L73" s="1545"/>
      <c r="N73" s="1546"/>
      <c r="S73" s="1546"/>
      <c r="X73" s="1547"/>
      <c r="Y73" s="1547"/>
      <c r="Z73" s="1547"/>
    </row>
    <row r="74" spans="1:26" ht="13.5" thickBot="1">
      <c r="B74" s="1548">
        <v>102</v>
      </c>
      <c r="C74" s="1549">
        <v>103</v>
      </c>
      <c r="D74" s="1549">
        <f t="shared" si="12"/>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1626</v>
      </c>
      <c r="C4" s="2963"/>
      <c r="D4" s="2963"/>
      <c r="E4" s="1964"/>
    </row>
    <row r="5" spans="1:5" ht="16.5" thickTop="1">
      <c r="A5" s="1962"/>
      <c r="B5" s="2961" t="s">
        <v>1618</v>
      </c>
      <c r="C5" s="1965" t="s">
        <v>1619</v>
      </c>
      <c r="D5" s="1043">
        <f ca="1">结果表!H101</f>
        <v>118431</v>
      </c>
      <c r="E5" s="1962"/>
    </row>
    <row r="6" spans="1:5" ht="15.75">
      <c r="A6" s="1962"/>
      <c r="B6" s="2961"/>
      <c r="C6" s="1965" t="s">
        <v>1620</v>
      </c>
      <c r="D6" s="1043" t="str">
        <f ca="1">NUMBERSTRING(INT(D5*10000),2)&amp;"元整"</f>
        <v>壹拾壹亿捌仟肆佰叁拾壹万元整</v>
      </c>
      <c r="E6" s="1962"/>
    </row>
    <row r="7" spans="1:5" ht="15.75">
      <c r="A7" s="1962"/>
      <c r="B7" s="2966"/>
      <c r="C7" s="1966" t="s">
        <v>1621</v>
      </c>
      <c r="D7" s="1044">
        <f ca="1">结果表!H102</f>
        <v>45296</v>
      </c>
      <c r="E7" s="1962"/>
    </row>
    <row r="8" spans="1:5" ht="15.75">
      <c r="A8" s="1962"/>
      <c r="B8" s="2967" t="str">
        <f>结果表!E103</f>
        <v>2.估价师知悉的法定优先受偿款</v>
      </c>
      <c r="C8" s="1967" t="s">
        <v>1622</v>
      </c>
      <c r="D8" s="1044">
        <f>结果表!H103</f>
        <v>0</v>
      </c>
      <c r="E8" s="1962"/>
    </row>
    <row r="9" spans="1:5" ht="15.75">
      <c r="A9" s="1962"/>
      <c r="B9" s="296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0" t="str">
        <f>结果表!E107</f>
        <v>——</v>
      </c>
      <c r="C13" s="1970" t="s">
        <v>1619</v>
      </c>
      <c r="D13" s="1046" t="str">
        <f>结果表!H107</f>
        <v>——</v>
      </c>
      <c r="E13" s="1962"/>
    </row>
    <row r="14" spans="1:5" ht="15.75">
      <c r="A14" s="1962"/>
      <c r="B14" s="2961"/>
      <c r="C14" s="1965" t="s">
        <v>1620</v>
      </c>
      <c r="D14" s="1043" t="e">
        <f>NUMBERSTRING(INT(D13*10000),2)&amp;"元整"</f>
        <v>#VALUE!</v>
      </c>
      <c r="E14" s="1962"/>
    </row>
    <row r="15" spans="1:5" ht="15">
      <c r="A15" s="1962"/>
      <c r="B15" s="2966"/>
      <c r="C15" s="1966" t="s">
        <v>1630</v>
      </c>
      <c r="D15" s="1055" t="e">
        <f>结果表!H108</f>
        <v>#VALUE!</v>
      </c>
      <c r="E15" s="1962"/>
    </row>
    <row r="16" spans="1:5" ht="15">
      <c r="A16" s="1962"/>
      <c r="B16" s="2967" t="str">
        <f>结果表!E109</f>
        <v>3.抵押担保权已注销时的房地产抵押价值</v>
      </c>
      <c r="C16" s="1970" t="s">
        <v>1631</v>
      </c>
      <c r="D16" s="1971">
        <f ca="1">结果表!H109</f>
        <v>118431</v>
      </c>
      <c r="E16" s="1962"/>
    </row>
    <row r="17" spans="1:5" ht="15.75">
      <c r="A17" s="1962"/>
      <c r="B17" s="2968"/>
      <c r="C17" s="1965" t="s">
        <v>1632</v>
      </c>
      <c r="D17" s="1043" t="str">
        <f ca="1">NUMBERSTRING(INT(D16*10000),2)&amp;"元整"</f>
        <v>壹拾壹亿捌仟肆佰叁拾壹万元整</v>
      </c>
      <c r="E17" s="1962"/>
    </row>
    <row r="18" spans="1:5" ht="15">
      <c r="A18" s="1962"/>
      <c r="B18" s="2969"/>
      <c r="C18" s="1966" t="s">
        <v>1621</v>
      </c>
      <c r="D18" s="1055">
        <f ca="1">结果表!H110</f>
        <v>45296</v>
      </c>
      <c r="E18" s="1962"/>
    </row>
    <row r="19" spans="1:5" ht="15.75">
      <c r="A19" s="1962"/>
      <c r="B19" s="2960" t="str">
        <f>结果表!E111</f>
        <v>——</v>
      </c>
      <c r="C19" s="1970" t="s">
        <v>1619</v>
      </c>
      <c r="D19" s="1044" t="str">
        <f>结果表!H111</f>
        <v>——</v>
      </c>
      <c r="E19" s="1962"/>
    </row>
    <row r="20" spans="1:5" ht="15.75">
      <c r="A20" s="1962"/>
      <c r="B20" s="2961"/>
      <c r="C20" s="1965" t="s">
        <v>1632</v>
      </c>
      <c r="D20" s="1043" t="e">
        <f>NUMBERSTRING(INT(D19*10000),2)&amp;"元整"</f>
        <v>#VALUE!</v>
      </c>
      <c r="E20" s="1962"/>
    </row>
    <row r="21" spans="1:5" ht="15.75" thickBot="1">
      <c r="A21" s="1962"/>
      <c r="B21" s="296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2987</v>
      </c>
      <c r="C1" s="3278" t="s">
        <v>2988</v>
      </c>
      <c r="D1" s="3279"/>
      <c r="E1" s="3279"/>
      <c r="F1" s="3279"/>
      <c r="G1" s="3279"/>
      <c r="H1" s="3279"/>
      <c r="I1" s="3279"/>
      <c r="J1" s="3279"/>
      <c r="K1" s="3279"/>
      <c r="L1" s="3279"/>
      <c r="M1" s="3279"/>
      <c r="N1" s="3279"/>
      <c r="O1" s="3279"/>
      <c r="P1" s="3279"/>
      <c r="Q1" s="3279"/>
      <c r="R1" s="3279"/>
      <c r="S1" s="3280"/>
      <c r="T1" s="1207" t="s">
        <v>2989</v>
      </c>
    </row>
    <row r="2" spans="1:45" s="707" customFormat="1">
      <c r="A2" s="1208"/>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8">
        <f t="shared" si="4"/>
        <v>100</v>
      </c>
      <c r="G10" s="1728">
        <f t="shared" si="4"/>
        <v>100</v>
      </c>
      <c r="H10" s="1728">
        <f t="shared" si="4"/>
        <v>100</v>
      </c>
      <c r="I10" s="1728">
        <f t="shared" si="4"/>
        <v>100</v>
      </c>
      <c r="J10" s="1728">
        <f t="shared" si="4"/>
        <v>100</v>
      </c>
      <c r="K10" s="1728">
        <f t="shared" si="4"/>
        <v>100</v>
      </c>
      <c r="L10" s="1728">
        <f t="shared" si="4"/>
        <v>100</v>
      </c>
      <c r="M10" s="1728">
        <f t="shared" si="4"/>
        <v>100</v>
      </c>
      <c r="N10" s="1728">
        <f t="shared" si="4"/>
        <v>100</v>
      </c>
      <c r="O10" s="1728">
        <f t="shared" si="4"/>
        <v>100</v>
      </c>
      <c r="P10" s="1728">
        <f t="shared" si="4"/>
        <v>100</v>
      </c>
      <c r="Q10" s="1728">
        <f t="shared" si="4"/>
        <v>100</v>
      </c>
      <c r="R10" s="1728">
        <f t="shared" si="4"/>
        <v>100</v>
      </c>
      <c r="S10" s="1728">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2997</v>
      </c>
      <c r="B17" s="2917" t="s">
        <v>2998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2999</v>
      </c>
      <c r="E19" s="1795"/>
      <c r="F19" s="1795"/>
      <c r="G19" s="1795"/>
      <c r="H19" s="1283"/>
      <c r="I19" s="168"/>
      <c r="J19" s="168"/>
      <c r="K19" s="168"/>
      <c r="L19" s="168"/>
      <c r="M19" s="168"/>
      <c r="N19" s="168"/>
      <c r="O19" s="168"/>
      <c r="P19" s="168"/>
      <c r="Q19" s="168"/>
      <c r="R19" s="788"/>
      <c r="S19" s="138"/>
    </row>
    <row r="20" spans="1:45" ht="16.5" thickBot="1">
      <c r="A20" s="715" t="s">
        <v>3000</v>
      </c>
      <c r="B20" s="338" t="e">
        <f ca="1">IF(D20="——",S22,S22-F20)</f>
        <v>#REF!</v>
      </c>
      <c r="C20" s="168"/>
      <c r="D20" s="2919" t="s">
        <v>3001</v>
      </c>
      <c r="E20" s="1796"/>
      <c r="F20" s="1207" t="e">
        <f ca="1">SUMIF(INDIRECT("'"&amp;H20&amp;"'"&amp;"!A:A"),"承租人权益价值",INDIRECT("'"&amp;H20&amp;"'"&amp;"!c:c"))</f>
        <v>#REF!</v>
      </c>
      <c r="G20" s="1207" t="s">
        <v>3002</v>
      </c>
      <c r="H20" s="2920"/>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40" t="s">
        <v>33</v>
      </c>
      <c r="D22" s="3141"/>
      <c r="E22" s="3141"/>
      <c r="F22" s="3141"/>
      <c r="G22" s="3141"/>
      <c r="H22" s="3141"/>
      <c r="I22" s="3141"/>
      <c r="J22" s="3141"/>
      <c r="K22" s="3141"/>
      <c r="L22" s="3141"/>
      <c r="M22" s="3141"/>
      <c r="N22" s="3141"/>
      <c r="O22" s="3141"/>
      <c r="P22" s="3141"/>
      <c r="Q22" s="3277"/>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36125</v>
      </c>
      <c r="C2" s="2" t="s">
        <v>133</v>
      </c>
      <c r="D2" s="243"/>
      <c r="E2" s="243"/>
      <c r="F2" s="243"/>
      <c r="G2" s="243"/>
    </row>
    <row r="3" spans="1:7" s="244" customFormat="1" ht="18" customHeight="1" thickBot="1">
      <c r="A3" s="247" t="s">
        <v>85</v>
      </c>
      <c r="B3" s="248">
        <f ca="1">ROUND(B2*10000/'数据-汇总表'!E3,0)</f>
        <v>13817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523</v>
      </c>
      <c r="D10" s="1035">
        <f>'数据-汇总表'!E6</f>
        <v>26146.04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523</v>
      </c>
      <c r="D19" s="1039">
        <f>'数据-汇总表'!E3</f>
        <v>26146.04</v>
      </c>
      <c r="E19" s="255">
        <f>'数据-取费表'!B31</f>
        <v>200</v>
      </c>
      <c r="F19" s="275"/>
      <c r="G19" s="1" t="s">
        <v>1071</v>
      </c>
    </row>
    <row r="20" spans="1:7" s="258" customFormat="1" ht="13.5" customHeight="1">
      <c r="A20" s="951" t="s">
        <v>1054</v>
      </c>
      <c r="B20" s="254" t="s">
        <v>104</v>
      </c>
      <c r="C20" s="276">
        <f>ROUND((C5+C19)*F20,0)</f>
        <v>423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3233</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3233</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29116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6537</v>
      </c>
      <c r="D34" s="261"/>
      <c r="E34" s="264"/>
      <c r="F34" s="301">
        <f>IF('数据-取费表'!B24=0,1,'数据-取费表'!N16)</f>
        <v>1</v>
      </c>
      <c r="G34" s="263" t="s">
        <v>116</v>
      </c>
    </row>
    <row r="35" spans="1:7" ht="13.5" customHeight="1">
      <c r="A35" s="954" t="s">
        <v>796</v>
      </c>
      <c r="B35" s="259" t="s">
        <v>60</v>
      </c>
      <c r="C35" s="264">
        <f>ROUND(C34*F35,0)</f>
        <v>196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523</v>
      </c>
      <c r="D37" s="261">
        <f>'数据-汇总表'!E3</f>
        <v>26146.04</v>
      </c>
      <c r="E37" s="293">
        <f>'数据-取费表'!B35</f>
        <v>200</v>
      </c>
      <c r="F37" s="303"/>
      <c r="G37" s="305" t="s">
        <v>119</v>
      </c>
    </row>
    <row r="38" spans="1:7" ht="13.5" customHeight="1">
      <c r="A38" s="954" t="s">
        <v>799</v>
      </c>
      <c r="B38" s="259" t="s">
        <v>63</v>
      </c>
      <c r="C38" s="264">
        <f>ROUND(C34*F38,0)</f>
        <v>98</v>
      </c>
      <c r="D38" s="264"/>
      <c r="E38" s="264"/>
      <c r="F38" s="303">
        <f>'数据-取费表'!B36</f>
        <v>1.4999999999999999E-2</v>
      </c>
      <c r="G38" s="263" t="s">
        <v>117</v>
      </c>
    </row>
    <row r="39" spans="1:7" s="258" customFormat="1" ht="13.5" customHeight="1">
      <c r="A39" s="951" t="s">
        <v>783</v>
      </c>
      <c r="B39" s="254" t="s">
        <v>104</v>
      </c>
      <c r="C39" s="276">
        <f>ROUND(C33*F20,0)</f>
        <v>147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356</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349</v>
      </c>
      <c r="D42" s="282"/>
      <c r="E42" s="282"/>
      <c r="F42" s="283"/>
      <c r="G42" s="3145" t="s">
        <v>121</v>
      </c>
    </row>
    <row r="43" spans="1:7" ht="13.5" customHeight="1">
      <c r="A43" s="954" t="s">
        <v>792</v>
      </c>
      <c r="B43" s="259" t="s">
        <v>1061</v>
      </c>
      <c r="C43" s="282">
        <f ca="1">ROUND(IF('数据-取费表'!B22&lt;=1,C39*F22*'数据-取费表'!B21/2,C39*(POWER((1+F22),'数据-取费表'!B21/2)-1)),0)</f>
        <v>7</v>
      </c>
      <c r="D43" s="282"/>
      <c r="E43" s="282"/>
      <c r="F43" s="283"/>
      <c r="G43" s="3146"/>
    </row>
    <row r="44" spans="1:7" ht="13.5" customHeight="1">
      <c r="A44" s="954" t="s">
        <v>793</v>
      </c>
      <c r="B44" s="259" t="s">
        <v>1063</v>
      </c>
      <c r="C44" s="282">
        <f ca="1">ROUND(IF('数据-取费表'!B22&lt;=1,C40*F22*'数据-取费表'!B21/2,C40*(POWER((1+F22),'数据-取费表'!B21/2)-1)),4)</f>
        <v>1E-3</v>
      </c>
      <c r="D44" s="282"/>
      <c r="E44" s="282"/>
      <c r="F44" s="283"/>
      <c r="G44" s="3147"/>
    </row>
    <row r="45" spans="1:7" s="258" customFormat="1" ht="13.5" customHeight="1">
      <c r="A45" s="951" t="s">
        <v>786</v>
      </c>
      <c r="B45" s="288" t="s">
        <v>112</v>
      </c>
      <c r="C45" s="289">
        <f>C46</f>
        <v>1125</v>
      </c>
      <c r="D45" s="279">
        <f>C47</f>
        <v>3.0000000000000001E-3</v>
      </c>
      <c r="E45" s="280" t="s">
        <v>129</v>
      </c>
      <c r="F45" s="290"/>
      <c r="G45" s="291" t="s">
        <v>1069</v>
      </c>
    </row>
    <row r="46" spans="1:7" s="258" customFormat="1" ht="13.5" customHeight="1">
      <c r="A46" s="954" t="s">
        <v>794</v>
      </c>
      <c r="B46" s="292" t="s">
        <v>1062</v>
      </c>
      <c r="C46" s="293">
        <f>ROUND((C33+C39)*F27,0)</f>
        <v>1125</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9735</v>
      </c>
      <c r="D49" s="276"/>
      <c r="E49" s="276"/>
      <c r="F49" s="308"/>
      <c r="G49" s="278" t="s">
        <v>1070</v>
      </c>
    </row>
    <row r="50" spans="1:7" s="302" customFormat="1" ht="24">
      <c r="A50" s="951" t="s">
        <v>789</v>
      </c>
      <c r="B50" s="254" t="s">
        <v>124</v>
      </c>
      <c r="C50" s="276"/>
      <c r="D50" s="276"/>
      <c r="E50" s="276"/>
      <c r="F50" s="308">
        <f>IF('数据-取费表'!B24=0,'数据-取费表'!N16,1)</f>
        <v>0.72</v>
      </c>
      <c r="G50" s="291" t="s">
        <v>125</v>
      </c>
    </row>
    <row r="51" spans="1:7" ht="16.5" customHeight="1">
      <c r="A51" s="951" t="s">
        <v>790</v>
      </c>
      <c r="B51" s="254" t="s">
        <v>132</v>
      </c>
      <c r="C51" s="276">
        <f ca="1">ROUND(C49*F50,0)</f>
        <v>7009</v>
      </c>
      <c r="D51" s="276"/>
      <c r="E51" s="276"/>
      <c r="F51" s="308"/>
      <c r="G51" s="278" t="s">
        <v>64</v>
      </c>
    </row>
    <row r="52" spans="1:7" s="252" customFormat="1" ht="16.5" thickBot="1">
      <c r="A52" s="309" t="s">
        <v>65</v>
      </c>
      <c r="B52" s="310"/>
      <c r="C52" s="311">
        <f ca="1">C31+C51</f>
        <v>36125</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
      <c r="A3" s="2974"/>
      <c r="B3" s="2974"/>
      <c r="C3" s="2974"/>
      <c r="D3" s="1047" t="s">
        <v>1634</v>
      </c>
      <c r="E3" s="1047" t="s">
        <v>1640</v>
      </c>
      <c r="F3" s="1047" t="s">
        <v>1634</v>
      </c>
      <c r="G3" s="1047" t="s">
        <v>1635</v>
      </c>
      <c r="H3" s="1047" t="s">
        <v>1634</v>
      </c>
      <c r="I3" s="1047" t="s">
        <v>1635</v>
      </c>
    </row>
    <row r="4" spans="1:9" ht="30">
      <c r="A4" s="1976" t="str">
        <f>项目基本情况!S2</f>
        <v>北京市东城区广渠门内大街35号房地产</v>
      </c>
      <c r="B4" s="1047">
        <f>项目基本情况!C17</f>
        <v>26146.04</v>
      </c>
      <c r="C4" s="1047">
        <f>项目基本情况!C18</f>
        <v>4360.21</v>
      </c>
      <c r="D4" s="1047">
        <f ca="1">结果表!D118</f>
        <v>105759</v>
      </c>
      <c r="E4" s="1047">
        <f ca="1">结果表!E118</f>
        <v>40449</v>
      </c>
      <c r="F4" s="1047">
        <f ca="1">结果表!F118</f>
        <v>12672</v>
      </c>
      <c r="G4" s="1047">
        <f ca="1">结果表!G118</f>
        <v>4847</v>
      </c>
      <c r="H4" s="1047">
        <f ca="1">结果表!H118</f>
        <v>118431</v>
      </c>
      <c r="I4" s="1047">
        <f ca="1">结果表!I118</f>
        <v>45296</v>
      </c>
    </row>
    <row r="5" spans="1:9" ht="30" customHeight="1">
      <c r="A5" s="2974" t="s">
        <v>1636</v>
      </c>
      <c r="B5" s="2974"/>
      <c r="C5" s="2974"/>
      <c r="D5" s="2975" t="str">
        <f ca="1">结果表!D119</f>
        <v>壹拾亿伍仟柒佰伍拾玖万元整</v>
      </c>
      <c r="E5" s="2975"/>
      <c r="F5" s="2975" t="str">
        <f ca="1">结果表!F119</f>
        <v>壹亿贰仟陆佰柒拾贰万元整</v>
      </c>
      <c r="G5" s="2975"/>
      <c r="H5" s="2975" t="str">
        <f ca="1">结果表!H119</f>
        <v>壹拾壹亿捌仟肆佰叁拾壹万元整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1636</v>
      </c>
      <c r="B7" s="2974"/>
      <c r="C7" s="2974"/>
      <c r="D7" s="2976" t="str">
        <f>结果表!D121</f>
        <v>零元整</v>
      </c>
      <c r="E7" s="2977"/>
      <c r="F7" s="2977"/>
      <c r="G7" s="2977"/>
      <c r="H7" s="2977"/>
      <c r="I7" s="2978"/>
    </row>
    <row r="8" spans="1:9" ht="15.75">
      <c r="A8" s="2973" t="str">
        <f>结果表!A122</f>
        <v/>
      </c>
      <c r="B8" s="2973"/>
      <c r="C8" s="2973"/>
      <c r="D8" s="2973" t="str">
        <f>结果表!D122</f>
        <v>——</v>
      </c>
      <c r="E8" s="2973"/>
      <c r="F8" s="2973"/>
      <c r="G8" s="2973"/>
      <c r="H8" s="2973"/>
      <c r="I8" s="2973"/>
    </row>
    <row r="9" spans="1:9" ht="15">
      <c r="A9" s="2974" t="s">
        <v>1636</v>
      </c>
      <c r="B9" s="2974"/>
      <c r="C9" s="2974"/>
      <c r="D9" s="2975" t="e">
        <f>结果表!D123</f>
        <v>#VALUE!</v>
      </c>
      <c r="E9" s="2975"/>
      <c r="F9" s="2975"/>
      <c r="G9" s="2975"/>
      <c r="H9" s="2975"/>
      <c r="I9" s="2975"/>
    </row>
    <row r="10" spans="1:9" ht="15.75">
      <c r="A10" s="2973" t="str">
        <f>结果表!A124</f>
        <v>抵押担保权已注销时的房地产抵押价值</v>
      </c>
      <c r="B10" s="2973"/>
      <c r="C10" s="2973"/>
      <c r="D10" s="2973">
        <f ca="1">结果表!D124</f>
        <v>118431</v>
      </c>
      <c r="E10" s="2973"/>
      <c r="F10" s="2973"/>
      <c r="G10" s="2973"/>
      <c r="H10" s="2973"/>
      <c r="I10" s="2973"/>
    </row>
    <row r="11" spans="1:9" ht="15">
      <c r="A11" s="2974" t="s">
        <v>1636</v>
      </c>
      <c r="B11" s="2974"/>
      <c r="C11" s="2974"/>
      <c r="D11" s="2975" t="str">
        <f ca="1">结果表!D125</f>
        <v>壹拾壹亿捌仟肆佰叁拾壹万元整</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7" t="s">
        <v>1658</v>
      </c>
      <c r="B1" s="2987"/>
      <c r="C1" s="2987"/>
      <c r="D1" s="2987"/>
    </row>
    <row r="2" spans="1:4" ht="18">
      <c r="A2" s="2988" t="s">
        <v>1642</v>
      </c>
      <c r="B2" s="2988"/>
      <c r="C2" s="2988"/>
      <c r="D2" s="2988"/>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吴薇</v>
      </c>
      <c r="B5" s="1982">
        <f ca="1">项目基本情况!E4</f>
        <v>1419970001</v>
      </c>
      <c r="C5" s="1985"/>
      <c r="D5" s="1984" t="s">
        <v>1647</v>
      </c>
    </row>
    <row r="6" spans="1:4" ht="18">
      <c r="A6" s="2988" t="s">
        <v>1648</v>
      </c>
      <c r="B6" s="2988"/>
      <c r="C6" s="2988"/>
      <c r="D6" s="298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9"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根据不动产权利人出具的，估价对象已抵押给，权利范围为，权利价值为。</v>
      </c>
      <c r="B15" s="2981"/>
      <c r="C15" s="2981"/>
      <c r="D15" s="2981"/>
    </row>
    <row r="16" spans="1:4" ht="30" customHeight="1">
      <c r="A16" s="2983" t="s">
        <v>1652</v>
      </c>
      <c r="B16" s="2983"/>
      <c r="C16" s="2983"/>
      <c r="D16" s="2983"/>
    </row>
    <row r="17" spans="1:4" ht="144" customHeight="1">
      <c r="A17" s="2983" t="s">
        <v>1653</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5" t="s">
        <v>1665</v>
      </c>
      <c r="B15" s="2990" t="s">
        <v>136</v>
      </c>
      <c r="C15" s="2991"/>
    </row>
    <row r="16" spans="1:7" ht="13.5">
      <c r="A16" s="2996"/>
      <c r="B16" s="2990" t="s">
        <v>69</v>
      </c>
      <c r="C16" s="2991"/>
    </row>
    <row r="17" spans="1:3" ht="13.5">
      <c r="A17" s="2996"/>
      <c r="B17" s="2993" t="s">
        <v>1666</v>
      </c>
      <c r="C17" s="2003" t="s">
        <v>1665</v>
      </c>
    </row>
    <row r="18" spans="1:3" ht="13.5">
      <c r="A18" s="2996"/>
      <c r="B18" s="2993"/>
      <c r="C18" s="2003" t="s">
        <v>1667</v>
      </c>
    </row>
    <row r="19" spans="1:3" ht="13.5">
      <c r="A19" s="2996"/>
      <c r="B19" s="2993"/>
      <c r="C19" s="2003" t="s">
        <v>1668</v>
      </c>
    </row>
    <row r="20" spans="1:3" ht="13.5">
      <c r="A20" s="2997"/>
      <c r="B20" s="2992" t="s">
        <v>1669</v>
      </c>
      <c r="C20" s="2991"/>
    </row>
    <row r="21" spans="1:3" ht="13.5">
      <c r="A21" s="2004" t="s">
        <v>1670</v>
      </c>
      <c r="B21" s="2005"/>
      <c r="C21" s="2006"/>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3" t="s">
        <v>1676</v>
      </c>
    </row>
    <row r="26" spans="1:3" ht="13.5">
      <c r="A26" s="2994"/>
      <c r="B26" s="2993"/>
      <c r="C26" s="2003" t="s">
        <v>1677</v>
      </c>
    </row>
    <row r="27" spans="1:3" ht="13.5">
      <c r="A27" s="2994"/>
      <c r="B27" s="2993"/>
      <c r="C27" s="2003" t="s">
        <v>1678</v>
      </c>
    </row>
    <row r="28" spans="1:3" ht="13.5">
      <c r="A28" s="2994"/>
      <c r="B28" s="2993"/>
      <c r="C28" s="2003" t="s">
        <v>1679</v>
      </c>
    </row>
    <row r="29" spans="1:3" ht="13.5">
      <c r="A29" s="2994"/>
      <c r="B29" s="2993"/>
      <c r="C29" s="2003" t="s">
        <v>1680</v>
      </c>
    </row>
    <row r="30" spans="1:3" ht="13.5">
      <c r="A30" s="2994"/>
      <c r="B30" s="2993"/>
      <c r="C30" s="2003" t="s">
        <v>1681</v>
      </c>
    </row>
    <row r="31" spans="1:3" ht="13.5">
      <c r="A31" s="2994"/>
      <c r="B31" s="2993"/>
      <c r="C31" s="2003" t="s">
        <v>1682</v>
      </c>
    </row>
    <row r="32" spans="1:3" ht="13.5">
      <c r="A32" s="2994"/>
      <c r="B32" s="2993"/>
      <c r="C32" s="2003" t="s">
        <v>1683</v>
      </c>
    </row>
    <row r="33" spans="1:3" ht="13.5">
      <c r="A33" s="2994"/>
      <c r="B33" s="299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3028</v>
      </c>
      <c r="B14" s="1025">
        <f ca="1">IF(C14&lt;B2,"已过期",1120040230)</f>
        <v>1120040230</v>
      </c>
      <c r="C14" s="2347">
        <v>43835</v>
      </c>
      <c r="D14" s="2350" t="s">
        <v>3028</v>
      </c>
      <c r="E14" s="1025">
        <f ca="1">IF(F14&lt;B2,"已过期",98030020)</f>
        <v>98030020</v>
      </c>
      <c r="F14" s="1033">
        <v>47118</v>
      </c>
    </row>
    <row r="15" spans="1:6" ht="24" customHeight="1">
      <c r="A15" s="1706" t="s">
        <v>3029</v>
      </c>
      <c r="B15" s="1025">
        <f ca="1">IF(C15&lt;B2,"已过期",1120070085)</f>
        <v>1120070085</v>
      </c>
      <c r="C15" s="2347">
        <v>43814</v>
      </c>
      <c r="D15" s="2351" t="s">
        <v>3029</v>
      </c>
      <c r="E15" s="1025">
        <f ca="1">IF(F15&lt;B2,"已过期",2004110128)</f>
        <v>2004110128</v>
      </c>
      <c r="F15" s="1026">
        <v>47118</v>
      </c>
    </row>
    <row r="16" spans="1:6" ht="24" customHeight="1">
      <c r="A16" s="1705" t="s">
        <v>3030</v>
      </c>
      <c r="B16" s="1025">
        <f ca="1">IF(C16&lt;B2,"已过期",1120140022)</f>
        <v>1120140022</v>
      </c>
      <c r="C16" s="2936">
        <v>44029</v>
      </c>
      <c r="D16" s="2350" t="s">
        <v>3030</v>
      </c>
      <c r="E16" s="1025">
        <f ca="1">IF(F16&lt;B2,"已过期",2008110059)</f>
        <v>2008110059</v>
      </c>
      <c r="F16" s="1033">
        <v>47177</v>
      </c>
    </row>
    <row r="17" spans="1:7" ht="24" customHeight="1">
      <c r="A17" s="1705"/>
      <c r="B17" s="1025"/>
      <c r="C17" s="2347"/>
      <c r="D17" s="2350" t="s">
        <v>3031</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2998" t="s">
        <v>843</v>
      </c>
      <c r="B25" s="2998"/>
      <c r="C25" s="2998"/>
      <c r="D25" s="2998"/>
      <c r="E25" s="2998"/>
      <c r="F25" s="2998"/>
      <c r="G25" s="2998"/>
    </row>
    <row r="26" spans="1:7" s="1028" customFormat="1" ht="24" customHeight="1">
      <c r="A26" s="2999" t="s">
        <v>844</v>
      </c>
      <c r="B26" s="2999"/>
      <c r="C26" s="3000"/>
      <c r="D26" s="3001" t="s">
        <v>845</v>
      </c>
      <c r="E26" s="2999"/>
      <c r="F26" s="2999"/>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信息</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2019-01-22T06:23:32Z</dcterms:modified>
</cp:coreProperties>
</file>