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430" windowHeight="1095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项目情况" sheetId="83" r:id="rId13"/>
    <sheet name="Sheet1"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state="hidden" r:id="rId21"/>
    <sheet name="基准地价修正办" sheetId="81" state="hidden" r:id="rId22"/>
    <sheet name="基准地价（汇总）" sheetId="76" state="hidden" r:id="rId23"/>
    <sheet name="土地比较法-住宅、综合" sheetId="39" r:id="rId24"/>
    <sheet name="土案" sheetId="84" r:id="rId25"/>
    <sheet name="成本法" sheetId="68" r:id="rId26"/>
    <sheet name="成本法 (元)" sheetId="69" state="hidden" r:id="rId27"/>
    <sheet name="假设开发法" sheetId="12" r:id="rId28"/>
    <sheet name="收益法 (元)" sheetId="67" state="hidden" r:id="rId29"/>
    <sheet name="收益法-酒店模型" sheetId="77" state="hidden" r:id="rId30"/>
    <sheet name="收益法（汇总）" sheetId="70" state="hidden" r:id="rId31"/>
    <sheet name="比较法-住宅"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收益法" sheetId="15" r:id="rId43"/>
    <sheet name="收益法车" sheetId="85" r:id="rId44"/>
    <sheet name="收益法办" sheetId="82"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12" hidden="1">项目情况!$A$46:$AP$46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4">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1">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[2]定义!$D$1:$D$4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[2]估价师及机构信息!$D$3:$D$17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[2]定义!$I$1:$I$8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29">'[3]数据-汇总表'!$C$17:$C$26</definedName>
    <definedName name="项目类型" localSheetId="12">'[1]数据-汇总表'!$C$17:$C$26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[2]定义!$A$1:$A$50</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R26" i="83" l="1"/>
  <c r="E104" i="21" l="1"/>
  <c r="F104" i="21" s="1"/>
  <c r="G104" i="21" s="1"/>
  <c r="H104" i="21" s="1"/>
  <c r="D104" i="21"/>
  <c r="C11" i="21"/>
  <c r="C33" i="21"/>
  <c r="K23" i="21"/>
  <c r="K21" i="21"/>
  <c r="K19" i="21"/>
  <c r="K17" i="21"/>
  <c r="K15" i="21"/>
  <c r="D117" i="39" l="1"/>
  <c r="E117" i="39" s="1"/>
  <c r="F117" i="39" s="1"/>
  <c r="C117" i="39"/>
  <c r="O68" i="83" l="1"/>
  <c r="Q72" i="85" l="1"/>
  <c r="Q59" i="85"/>
  <c r="K59" i="85"/>
  <c r="P74" i="85" s="1"/>
  <c r="Q58" i="85"/>
  <c r="Q51" i="85"/>
  <c r="J50" i="85"/>
  <c r="M47" i="85"/>
  <c r="D46" i="85"/>
  <c r="F34" i="85"/>
  <c r="F62" i="85" s="1"/>
  <c r="F33" i="85"/>
  <c r="F61" i="85" s="1"/>
  <c r="F23" i="85"/>
  <c r="D23" i="85" s="1"/>
  <c r="F21" i="85"/>
  <c r="M20" i="85"/>
  <c r="F20" i="85"/>
  <c r="M19" i="85"/>
  <c r="F18" i="85"/>
  <c r="F15" i="85"/>
  <c r="G1" i="85"/>
  <c r="AH8" i="1"/>
  <c r="N70" i="39"/>
  <c r="O70" i="39" s="1"/>
  <c r="I46" i="39"/>
  <c r="G46" i="39"/>
  <c r="E46" i="39"/>
  <c r="I38" i="39"/>
  <c r="G38" i="39"/>
  <c r="E38" i="39"/>
  <c r="C38" i="39"/>
  <c r="E70" i="39"/>
  <c r="F70" i="39"/>
  <c r="G70" i="39" s="1"/>
  <c r="H70" i="39" s="1"/>
  <c r="I70" i="39" s="1"/>
  <c r="J70" i="39" s="1"/>
  <c r="K70" i="39" s="1"/>
  <c r="L70" i="39" s="1"/>
  <c r="M70" i="39" s="1"/>
  <c r="D70" i="39"/>
  <c r="L7" i="1"/>
  <c r="L8" i="1" s="1"/>
  <c r="L14" i="1" s="1"/>
  <c r="L14" i="3"/>
  <c r="F19" i="6" s="1"/>
  <c r="G21" i="6"/>
  <c r="F20" i="6"/>
  <c r="AT19" i="3"/>
  <c r="AL16" i="3"/>
  <c r="AH17" i="3"/>
  <c r="AD15" i="3"/>
  <c r="M19" i="3"/>
  <c r="I13" i="3"/>
  <c r="K14" i="3"/>
  <c r="C19" i="3"/>
  <c r="C15" i="3"/>
  <c r="C16" i="3"/>
  <c r="C17" i="3"/>
  <c r="C18" i="3"/>
  <c r="C14" i="3"/>
  <c r="C13" i="3"/>
  <c r="A3" i="3"/>
  <c r="O22" i="83"/>
  <c r="P30" i="83"/>
  <c r="P29" i="83"/>
  <c r="P28" i="83"/>
  <c r="P27" i="83"/>
  <c r="P26" i="83"/>
  <c r="P25" i="83"/>
  <c r="R30" i="83"/>
  <c r="N31" i="83"/>
  <c r="N30" i="83"/>
  <c r="N29" i="83"/>
  <c r="N59" i="83"/>
  <c r="J64" i="83"/>
  <c r="N64" i="83" s="1"/>
  <c r="J54" i="83"/>
  <c r="N54" i="83" s="1"/>
  <c r="J53" i="83"/>
  <c r="N53" i="83" s="1"/>
  <c r="J52" i="83"/>
  <c r="N52" i="83" s="1"/>
  <c r="G68" i="83"/>
  <c r="N22" i="83" s="1"/>
  <c r="H68" i="83"/>
  <c r="N25" i="83" s="1"/>
  <c r="I68" i="83"/>
  <c r="L68" i="83"/>
  <c r="N28" i="83" s="1"/>
  <c r="M68" i="83"/>
  <c r="K60" i="83"/>
  <c r="N60" i="83" s="1"/>
  <c r="F6" i="85"/>
  <c r="D24" i="85" l="1"/>
  <c r="P61" i="85"/>
  <c r="D22" i="85"/>
  <c r="N66" i="83"/>
  <c r="N67" i="83"/>
  <c r="K63" i="83"/>
  <c r="N63" i="83" s="1"/>
  <c r="K58" i="83"/>
  <c r="N58" i="83" s="1"/>
  <c r="K61" i="83"/>
  <c r="N61" i="83" s="1"/>
  <c r="N47" i="83"/>
  <c r="N48" i="83"/>
  <c r="K62" i="83"/>
  <c r="N62" i="83" s="1"/>
  <c r="K57" i="83"/>
  <c r="N57" i="83" s="1"/>
  <c r="K56" i="83"/>
  <c r="N56" i="83" s="1"/>
  <c r="K51" i="83"/>
  <c r="N51" i="83" s="1"/>
  <c r="K50" i="83"/>
  <c r="K65" i="83"/>
  <c r="N65" i="83" s="1"/>
  <c r="N49" i="83"/>
  <c r="K55" i="83"/>
  <c r="J55" i="83"/>
  <c r="N55" i="83" s="1"/>
  <c r="I7" i="39"/>
  <c r="G7" i="39"/>
  <c r="E7" i="39"/>
  <c r="I5" i="39"/>
  <c r="G5" i="39"/>
  <c r="E5" i="39"/>
  <c r="D60" i="80"/>
  <c r="D59" i="80"/>
  <c r="B59" i="80"/>
  <c r="D58" i="80"/>
  <c r="B58" i="80"/>
  <c r="D57" i="80"/>
  <c r="B57" i="80"/>
  <c r="D56" i="80"/>
  <c r="B56" i="80"/>
  <c r="D55" i="80"/>
  <c r="D52" i="80" s="1"/>
  <c r="D50" i="80"/>
  <c r="D47" i="80"/>
  <c r="B46" i="80"/>
  <c r="B45" i="80"/>
  <c r="B44" i="80"/>
  <c r="B43" i="80"/>
  <c r="D39" i="80"/>
  <c r="D31" i="80"/>
  <c r="D22" i="80"/>
  <c r="D12" i="80"/>
  <c r="D11" i="80"/>
  <c r="D3" i="80"/>
  <c r="H43" i="83"/>
  <c r="Q28" i="83"/>
  <c r="Q25" i="83"/>
  <c r="O31" i="83"/>
  <c r="AJ20" i="83"/>
  <c r="I17" i="83"/>
  <c r="H13" i="83"/>
  <c r="F13" i="83"/>
  <c r="B11" i="83"/>
  <c r="AH10" i="83"/>
  <c r="AG10" i="83"/>
  <c r="B10" i="83"/>
  <c r="G12" i="83" s="1"/>
  <c r="H12" i="83" s="1"/>
  <c r="AH9" i="83"/>
  <c r="AG9" i="83"/>
  <c r="AH8" i="83"/>
  <c r="AG8" i="83"/>
  <c r="G6" i="83"/>
  <c r="AG3" i="83"/>
  <c r="F36" i="85"/>
  <c r="F13" i="85"/>
  <c r="F43" i="85"/>
  <c r="M24" i="85"/>
  <c r="M29" i="85"/>
  <c r="M23" i="85"/>
  <c r="F40" i="85"/>
  <c r="F42" i="85"/>
  <c r="M22" i="85"/>
  <c r="F7" i="85"/>
  <c r="M9" i="85"/>
  <c r="M27" i="85"/>
  <c r="F16" i="85"/>
  <c r="F26" i="85"/>
  <c r="M28" i="85"/>
  <c r="M26" i="85"/>
  <c r="F8" i="85"/>
  <c r="J15" i="85"/>
  <c r="M8" i="85"/>
  <c r="C76" i="85"/>
  <c r="F9" i="85"/>
  <c r="F38" i="85"/>
  <c r="M6" i="85"/>
  <c r="F37" i="85"/>
  <c r="L47" i="85"/>
  <c r="F64" i="85" l="1"/>
  <c r="F66" i="85"/>
  <c r="F50" i="85"/>
  <c r="M7" i="85"/>
  <c r="J6" i="85" s="1"/>
  <c r="F31" i="85"/>
  <c r="Q71" i="85"/>
  <c r="C27" i="85"/>
  <c r="F65" i="85"/>
  <c r="F51" i="85"/>
  <c r="C6" i="85"/>
  <c r="F68" i="85"/>
  <c r="F71" i="85"/>
  <c r="N68" i="83"/>
  <c r="N50" i="83"/>
  <c r="K68" i="83"/>
  <c r="N27" i="83" s="1"/>
  <c r="Q27" i="83" s="1"/>
  <c r="J68" i="83"/>
  <c r="N26" i="83" s="1"/>
  <c r="Q26" i="83" s="1"/>
  <c r="AG11" i="83"/>
  <c r="AI9" i="83"/>
  <c r="AI10" i="83"/>
  <c r="Q22" i="83"/>
  <c r="Q24" i="83"/>
  <c r="D9" i="80"/>
  <c r="Q23" i="83"/>
  <c r="AI8" i="83"/>
  <c r="G10" i="83"/>
  <c r="H10" i="83" s="1"/>
  <c r="G11" i="83"/>
  <c r="H11" i="83" s="1"/>
  <c r="P31" i="83"/>
  <c r="C49" i="85" l="1"/>
  <c r="M17" i="85"/>
  <c r="F59" i="85"/>
  <c r="AI11" i="83"/>
  <c r="D8" i="80"/>
  <c r="D6" i="80"/>
  <c r="E12" i="80"/>
  <c r="E11" i="80"/>
  <c r="D66" i="80" l="1"/>
  <c r="F13" i="80"/>
  <c r="F14" i="80"/>
  <c r="U3" i="43"/>
  <c r="U2" i="43"/>
  <c r="N7" i="1"/>
  <c r="N8" i="1" s="1"/>
  <c r="N14" i="1" s="1"/>
  <c r="Q72" i="82"/>
  <c r="Q59" i="82"/>
  <c r="K59" i="82"/>
  <c r="P74" i="82" s="1"/>
  <c r="Q51" i="82"/>
  <c r="J50" i="82"/>
  <c r="M47" i="82"/>
  <c r="D46" i="82"/>
  <c r="F33" i="82"/>
  <c r="F61" i="82" s="1"/>
  <c r="F23" i="82"/>
  <c r="F21" i="82"/>
  <c r="F20" i="82"/>
  <c r="M19" i="82"/>
  <c r="F18" i="82"/>
  <c r="F15" i="82"/>
  <c r="C34" i="77"/>
  <c r="E14" i="77"/>
  <c r="D23" i="82" l="1"/>
  <c r="D22" i="82"/>
  <c r="D24" i="82"/>
  <c r="P6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N61" i="81"/>
  <c r="M61" i="81"/>
  <c r="K61" i="81"/>
  <c r="J61" i="81" s="1"/>
  <c r="M58" i="81"/>
  <c r="N58" i="81" s="1"/>
  <c r="K58" i="81"/>
  <c r="J58" i="81"/>
  <c r="D58" i="81"/>
  <c r="B58" i="81"/>
  <c r="N57" i="81"/>
  <c r="M57" i="81"/>
  <c r="K57" i="81"/>
  <c r="J57" i="81" s="1"/>
  <c r="B57" i="81"/>
  <c r="M56" i="81"/>
  <c r="N56" i="81" s="1"/>
  <c r="K56" i="81"/>
  <c r="J56" i="81"/>
  <c r="D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M50" i="81"/>
  <c r="N50" i="81" s="1"/>
  <c r="K50" i="81"/>
  <c r="J50" i="81"/>
  <c r="D50" i="81"/>
  <c r="B50" i="81"/>
  <c r="H42" i="81"/>
  <c r="H41" i="81"/>
  <c r="H40" i="81"/>
  <c r="H39" i="81"/>
  <c r="H38" i="81"/>
  <c r="H37" i="81"/>
  <c r="J24" i="81"/>
  <c r="G24" i="81"/>
  <c r="E44" i="81" s="1"/>
  <c r="C44" i="81" s="1"/>
  <c r="E24" i="81"/>
  <c r="Q32" i="81" s="1"/>
  <c r="M23" i="81"/>
  <c r="I23" i="8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U2" i="81"/>
  <c r="I2" i="81"/>
  <c r="N10" i="81" s="1"/>
  <c r="G2" i="81"/>
  <c r="S5" i="81" s="1"/>
  <c r="B30" i="1"/>
  <c r="B35" i="1" s="1"/>
  <c r="N21" i="1"/>
  <c r="N19" i="1"/>
  <c r="F17" i="85" l="1"/>
  <c r="F17" i="82"/>
  <c r="D61" i="81"/>
  <c r="D63" i="81"/>
  <c r="D64" i="81"/>
  <c r="M1" i="81"/>
  <c r="F83" i="81"/>
  <c r="H89" i="81" s="1"/>
  <c r="G18" i="81"/>
  <c r="E17" i="81" s="1"/>
  <c r="S6" i="81"/>
  <c r="X7" i="81"/>
  <c r="H72" i="81"/>
  <c r="H76" i="81"/>
  <c r="H83" i="81"/>
  <c r="H74" i="81"/>
  <c r="M6" i="81"/>
  <c r="N1" i="81"/>
  <c r="H116" i="81"/>
  <c r="F42" i="81"/>
  <c r="F41" i="81"/>
  <c r="F40" i="81"/>
  <c r="F39" i="81"/>
  <c r="F38" i="81"/>
  <c r="F37" i="81"/>
  <c r="C27" i="81"/>
  <c r="O21" i="81"/>
  <c r="M21" i="81"/>
  <c r="K21" i="81"/>
  <c r="I21" i="81"/>
  <c r="D21" i="81"/>
  <c r="M2" i="81"/>
  <c r="S2" i="81"/>
  <c r="M3" i="81"/>
  <c r="C6" i="81" s="1"/>
  <c r="S3" i="81"/>
  <c r="M4" i="81"/>
  <c r="S4" i="81"/>
  <c r="N5" i="81"/>
  <c r="N6" i="81"/>
  <c r="N7" i="81"/>
  <c r="M8" i="81"/>
  <c r="M9" i="81"/>
  <c r="E10" i="81"/>
  <c r="E11" i="81"/>
  <c r="C21" i="81"/>
  <c r="H21" i="81"/>
  <c r="L21" i="81"/>
  <c r="M12" i="81"/>
  <c r="M11" i="81"/>
  <c r="N2" i="81"/>
  <c r="N3" i="81"/>
  <c r="F50" i="81" s="1"/>
  <c r="N4" i="81"/>
  <c r="M5" i="81"/>
  <c r="M7" i="81"/>
  <c r="E8" i="81"/>
  <c r="N8" i="81"/>
  <c r="N9" i="81"/>
  <c r="M10" i="81"/>
  <c r="N11" i="81"/>
  <c r="N12" i="81"/>
  <c r="E21" i="81"/>
  <c r="J21" i="81"/>
  <c r="N21" i="81"/>
  <c r="N32" i="81"/>
  <c r="P32" i="81"/>
  <c r="D51" i="81"/>
  <c r="E50" i="81" s="1"/>
  <c r="B48" i="81" s="1"/>
  <c r="D55" i="81"/>
  <c r="D57" i="81"/>
  <c r="M32" i="81"/>
  <c r="O32" i="81"/>
  <c r="H79" i="81"/>
  <c r="H80" i="81"/>
  <c r="H90" i="81"/>
  <c r="H94" i="81"/>
  <c r="H97" i="81"/>
  <c r="H98" i="81"/>
  <c r="H100" i="81"/>
  <c r="H73" i="81"/>
  <c r="H75" i="81"/>
  <c r="H77" i="81"/>
  <c r="H84" i="81"/>
  <c r="H86" i="81"/>
  <c r="H88" i="81"/>
  <c r="H93" i="81"/>
  <c r="H95" i="81"/>
  <c r="H96" i="81"/>
  <c r="H99" i="81"/>
  <c r="C17" i="85"/>
  <c r="E61" i="81" l="1"/>
  <c r="B59" i="81" s="1"/>
  <c r="C28" i="81"/>
  <c r="H85" i="81"/>
  <c r="H87" i="81"/>
  <c r="F61" i="81"/>
  <c r="H57" i="81"/>
  <c r="H55" i="81"/>
  <c r="H54" i="81"/>
  <c r="H51" i="81"/>
  <c r="H58" i="81"/>
  <c r="H56" i="81"/>
  <c r="H53" i="81"/>
  <c r="H52" i="81"/>
  <c r="H50" i="81"/>
  <c r="G21" i="81"/>
  <c r="C20" i="81" s="1"/>
  <c r="C5" i="81" s="1"/>
  <c r="H68" i="81" l="1"/>
  <c r="H61" i="81"/>
  <c r="H63" i="81"/>
  <c r="H69" i="81"/>
  <c r="H65" i="81"/>
  <c r="H67" i="81"/>
  <c r="H64" i="81"/>
  <c r="H62" i="81"/>
  <c r="H66" i="81"/>
  <c r="D5" i="81"/>
  <c r="D33" i="43" l="1"/>
  <c r="B5" i="77"/>
  <c r="D33" i="81" l="1"/>
  <c r="D1" i="81" s="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5" s="1"/>
  <c r="E15" i="4"/>
  <c r="A7" i="1"/>
  <c r="B7" i="1" s="1"/>
  <c r="E7" i="1" s="1"/>
  <c r="A8" i="1"/>
  <c r="B8" i="1" s="1"/>
  <c r="E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s="1"/>
  <c r="C20" i="20"/>
  <c r="B79" i="43"/>
  <c r="C18" i="20"/>
  <c r="C17" i="20"/>
  <c r="B61" i="81" s="1"/>
  <c r="C16" i="20"/>
  <c r="C17" i="39" s="1"/>
  <c r="C15" i="20"/>
  <c r="B72" i="43"/>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W27" i="39"/>
  <c r="AB34" i="39"/>
  <c r="U40" i="39"/>
  <c r="S42"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AA38" i="21"/>
  <c r="AA36" i="21"/>
  <c r="AC40" i="21"/>
  <c r="E85" i="21"/>
  <c r="F23" i="21" s="1"/>
  <c r="AA14" i="21"/>
  <c r="D120" i="9"/>
  <c r="D121" i="9" s="1"/>
  <c r="D7" i="52" s="1"/>
  <c r="F34" i="67"/>
  <c r="F62" i="67" s="1"/>
  <c r="M20" i="67"/>
  <c r="F34" i="15"/>
  <c r="F62" i="15" s="1"/>
  <c r="G13" i="3"/>
  <c r="G5" i="3" s="1"/>
  <c r="B3" i="3" s="1"/>
  <c r="B4" i="77" s="1"/>
  <c r="BA13" i="3"/>
  <c r="BL17" i="3"/>
  <c r="AZ17" i="3" s="1"/>
  <c r="BL13" i="3"/>
  <c r="J56" i="9"/>
  <c r="J57" i="9" s="1"/>
  <c r="J59" i="9" s="1"/>
  <c r="J61" i="9" s="1"/>
  <c r="U29" i="34"/>
  <c r="E5" i="6"/>
  <c r="E32" i="6"/>
  <c r="G1" i="68"/>
  <c r="K1" i="12"/>
  <c r="E19" i="69"/>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F37" i="21"/>
  <c r="AA37" i="21" s="1"/>
  <c r="AA26" i="21"/>
  <c r="AB14" i="21"/>
  <c r="AB46" i="21"/>
  <c r="U40" i="21"/>
  <c r="AB31" i="21"/>
  <c r="U31" i="21"/>
  <c r="U13" i="21"/>
  <c r="AB13" i="21"/>
  <c r="S35" i="21"/>
  <c r="J37" i="21"/>
  <c r="W37" i="21" s="1"/>
  <c r="J17" i="21"/>
  <c r="AC17" i="21" s="1"/>
  <c r="W39" i="21"/>
  <c r="AC14" i="21"/>
  <c r="W30" i="21"/>
  <c r="S46" i="21"/>
  <c r="H45" i="21"/>
  <c r="U45" i="21"/>
  <c r="F29" i="21"/>
  <c r="S29" i="21"/>
  <c r="F13" i="21"/>
  <c r="AA13" i="21"/>
  <c r="AC38" i="21"/>
  <c r="H32" i="21"/>
  <c r="U32" i="21" s="1"/>
  <c r="H9" i="21"/>
  <c r="AB9" i="21" s="1"/>
  <c r="J9" i="21"/>
  <c r="W9" i="21" s="1"/>
  <c r="J32" i="21"/>
  <c r="W32" i="21" s="1"/>
  <c r="F32" i="21"/>
  <c r="S32" i="21" s="1"/>
  <c r="AA31" i="21"/>
  <c r="U17" i="21"/>
  <c r="W29" i="21"/>
  <c r="S9" i="21"/>
  <c r="AA9" i="21"/>
  <c r="K141" i="21"/>
  <c r="K144" i="21"/>
  <c r="K143" i="21"/>
  <c r="U27" i="21"/>
  <c r="AB25" i="21"/>
  <c r="AB44" i="21"/>
  <c r="AA30" i="21"/>
  <c r="W13" i="21"/>
  <c r="AC45" i="21"/>
  <c r="F10" i="21"/>
  <c r="AA10" i="21" s="1"/>
  <c r="K145" i="21"/>
  <c r="W25" i="21"/>
  <c r="AA29" i="21"/>
  <c r="W31" i="21"/>
  <c r="S27" i="21"/>
  <c r="S17" i="21"/>
  <c r="AC27" i="21"/>
  <c r="AC26" i="21"/>
  <c r="AB29" i="21"/>
  <c r="S28" i="21"/>
  <c r="AC34" i="21"/>
  <c r="W12"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s="1"/>
  <c r="H23" i="21"/>
  <c r="AB23" i="21" s="1"/>
  <c r="S13" i="21"/>
  <c r="D6" i="52"/>
  <c r="E329" i="3"/>
  <c r="AP7" i="1"/>
  <c r="AB45" i="21"/>
  <c r="AC9"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7" i="67"/>
  <c r="L48" i="82"/>
  <c r="M29" i="67"/>
  <c r="F42" i="15"/>
  <c r="M28" i="15"/>
  <c r="B11" i="76"/>
  <c r="F16" i="15"/>
  <c r="F7" i="82"/>
  <c r="E8" i="76"/>
  <c r="M9" i="15"/>
  <c r="F37" i="15"/>
  <c r="F9" i="82"/>
  <c r="M28" i="82"/>
  <c r="F7" i="73"/>
  <c r="L47" i="15"/>
  <c r="E9" i="76"/>
  <c r="J15" i="82"/>
  <c r="B12" i="76"/>
  <c r="M24" i="15"/>
  <c r="F26" i="67"/>
  <c r="M24" i="67"/>
  <c r="F13" i="15"/>
  <c r="F38" i="67"/>
  <c r="E11" i="76"/>
  <c r="M26" i="82"/>
  <c r="E2" i="69"/>
  <c r="J15" i="15"/>
  <c r="F26" i="15"/>
  <c r="M28" i="67"/>
  <c r="D6" i="73"/>
  <c r="M26" i="15"/>
  <c r="E10" i="76"/>
  <c r="F4" i="73"/>
  <c r="L48" i="15"/>
  <c r="M6" i="82"/>
  <c r="M9" i="67"/>
  <c r="F37" i="67"/>
  <c r="F13" i="82"/>
  <c r="F9" i="67"/>
  <c r="F37" i="82"/>
  <c r="F16" i="82"/>
  <c r="B8" i="76"/>
  <c r="F36" i="15"/>
  <c r="F6" i="73"/>
  <c r="M22" i="67"/>
  <c r="M8" i="82"/>
  <c r="F36" i="67"/>
  <c r="C16" i="85"/>
  <c r="F43" i="15"/>
  <c r="M24" i="82"/>
  <c r="F43" i="82"/>
  <c r="C76" i="15"/>
  <c r="M23" i="15"/>
  <c r="D7" i="73"/>
  <c r="F7" i="15"/>
  <c r="M22" i="82"/>
  <c r="D4" i="73"/>
  <c r="F3" i="73"/>
  <c r="F8" i="67"/>
  <c r="B10" i="76"/>
  <c r="F40" i="82"/>
  <c r="F6" i="67"/>
  <c r="L47" i="67"/>
  <c r="D3" i="73"/>
  <c r="E2" i="68"/>
  <c r="F6" i="15"/>
  <c r="F13" i="67"/>
  <c r="J15" i="67"/>
  <c r="E12" i="76"/>
  <c r="D5" i="73"/>
  <c r="F42" i="82"/>
  <c r="E13" i="76"/>
  <c r="C76" i="82"/>
  <c r="M9" i="82"/>
  <c r="L47" i="82"/>
  <c r="M27" i="82"/>
  <c r="F16" i="67"/>
  <c r="F42" i="67"/>
  <c r="F36" i="82"/>
  <c r="C76" i="67"/>
  <c r="M22" i="15"/>
  <c r="M8" i="67"/>
  <c r="M29" i="82"/>
  <c r="F6" i="82"/>
  <c r="M6" i="67"/>
  <c r="F5" i="73"/>
  <c r="F40" i="15"/>
  <c r="L48" i="67"/>
  <c r="B9" i="76"/>
  <c r="M23" i="67"/>
  <c r="M8" i="15"/>
  <c r="F38" i="15"/>
  <c r="B13" i="76"/>
  <c r="M23" i="82"/>
  <c r="M29" i="15"/>
  <c r="F26" i="82"/>
  <c r="F38" i="82"/>
  <c r="F8" i="15"/>
  <c r="F8" i="82"/>
  <c r="F20" i="31"/>
  <c r="M6" i="15"/>
  <c r="F9" i="15"/>
  <c r="F43" i="67"/>
  <c r="AO13" i="1"/>
  <c r="W42" i="21" l="1"/>
  <c r="AA32" i="21"/>
  <c r="S37" i="21"/>
  <c r="S23" i="21"/>
  <c r="AA23" i="21"/>
  <c r="U23" i="21"/>
  <c r="S21" i="21"/>
  <c r="AC21" i="21"/>
  <c r="S19" i="21"/>
  <c r="AC19" i="21"/>
  <c r="W17" i="21"/>
  <c r="F15" i="21"/>
  <c r="J15" i="21"/>
  <c r="F77" i="21"/>
  <c r="G77" i="21" s="1"/>
  <c r="H15" i="21"/>
  <c r="U9" i="21"/>
  <c r="S39" i="21"/>
  <c r="AB38" i="21"/>
  <c r="AB42" i="21"/>
  <c r="U34" i="21"/>
  <c r="C28" i="67"/>
  <c r="L59" i="85"/>
  <c r="N59" i="85"/>
  <c r="F8" i="1"/>
  <c r="J51" i="15"/>
  <c r="H123" i="39"/>
  <c r="I123" i="39" s="1"/>
  <c r="J123" i="39" s="1"/>
  <c r="K123" i="39" s="1"/>
  <c r="L123" i="39" s="1"/>
  <c r="M123" i="39" s="1"/>
  <c r="F41" i="39"/>
  <c r="B99" i="81"/>
  <c r="B76" i="81"/>
  <c r="B67" i="81"/>
  <c r="B56" i="81"/>
  <c r="B99" i="43"/>
  <c r="B73" i="81"/>
  <c r="B94" i="81"/>
  <c r="B62" i="81"/>
  <c r="B51" i="81"/>
  <c r="B94" i="43"/>
  <c r="B62" i="43"/>
  <c r="B73" i="43"/>
  <c r="B61" i="43"/>
  <c r="U42" i="39"/>
  <c r="H41" i="39"/>
  <c r="AB41" i="39" s="1"/>
  <c r="J41" i="39"/>
  <c r="U41" i="39"/>
  <c r="U19" i="39"/>
  <c r="AC25" i="39"/>
  <c r="C18" i="9"/>
  <c r="D18" i="9" s="1"/>
  <c r="J19" i="85"/>
  <c r="C61" i="85"/>
  <c r="C33" i="85"/>
  <c r="F48" i="9"/>
  <c r="O52" i="9" s="1"/>
  <c r="F32" i="85"/>
  <c r="F28" i="85"/>
  <c r="C28" i="85" s="1"/>
  <c r="M18" i="85"/>
  <c r="J18" i="85" s="1"/>
  <c r="F32" i="82"/>
  <c r="F60" i="82" s="1"/>
  <c r="M18" i="82"/>
  <c r="F28" i="82"/>
  <c r="C28" i="82" s="1"/>
  <c r="M20" i="15"/>
  <c r="F34" i="82"/>
  <c r="F62" i="82" s="1"/>
  <c r="M20" i="82"/>
  <c r="G90" i="39"/>
  <c r="H17" i="39"/>
  <c r="F88" i="39"/>
  <c r="F15" i="39"/>
  <c r="AA15" i="39" s="1"/>
  <c r="J15" i="39"/>
  <c r="W15" i="39" s="1"/>
  <c r="S15" i="39"/>
  <c r="E310" i="3"/>
  <c r="E283" i="3"/>
  <c r="E276" i="3"/>
  <c r="E233" i="3"/>
  <c r="E103" i="3"/>
  <c r="E376" i="3"/>
  <c r="E63" i="3"/>
  <c r="E67" i="3"/>
  <c r="E267" i="3"/>
  <c r="E473" i="3"/>
  <c r="E40" i="3"/>
  <c r="E564" i="3"/>
  <c r="E513" i="3"/>
  <c r="E118" i="3"/>
  <c r="E381" i="3"/>
  <c r="E144" i="3"/>
  <c r="E23" i="3"/>
  <c r="E300" i="3"/>
  <c r="E142" i="3"/>
  <c r="E64" i="3"/>
  <c r="L6" i="3"/>
  <c r="E119" i="3"/>
  <c r="E419" i="3"/>
  <c r="E507" i="3"/>
  <c r="E116" i="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BA5" i="3"/>
  <c r="BL5" i="3"/>
  <c r="S11" i="39"/>
  <c r="AC11" i="39"/>
  <c r="C24" i="12"/>
  <c r="J51" i="82"/>
  <c r="L56" i="82" s="1"/>
  <c r="G23" i="81"/>
  <c r="G6" i="1"/>
  <c r="C36" i="77"/>
  <c r="I24" i="43"/>
  <c r="C6" i="82"/>
  <c r="F31" i="82"/>
  <c r="F65" i="82"/>
  <c r="Q71" i="82"/>
  <c r="J53" i="82"/>
  <c r="L57" i="82"/>
  <c r="J57" i="82"/>
  <c r="J55" i="82" s="1"/>
  <c r="J58" i="82" s="1"/>
  <c r="Q50" i="82" s="1"/>
  <c r="F71" i="82"/>
  <c r="F68" i="82"/>
  <c r="F51" i="82"/>
  <c r="F64" i="82"/>
  <c r="N59" i="82"/>
  <c r="L58" i="82"/>
  <c r="F50" i="82"/>
  <c r="M7" i="82"/>
  <c r="M17" i="82" s="1"/>
  <c r="F66" i="82"/>
  <c r="C27" i="82"/>
  <c r="O7" i="1"/>
  <c r="P7" i="1" s="1"/>
  <c r="A24" i="51"/>
  <c r="B18" i="72" s="1"/>
  <c r="G7" i="1"/>
  <c r="I24" i="81"/>
  <c r="C24" i="81" s="1"/>
  <c r="D50" i="43"/>
  <c r="H69" i="43"/>
  <c r="H67" i="43"/>
  <c r="C21" i="68"/>
  <c r="C40" i="69"/>
  <c r="G28" i="6"/>
  <c r="F29" i="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L48" i="85"/>
  <c r="C16" i="15"/>
  <c r="C16" i="67"/>
  <c r="C16" i="82"/>
  <c r="G1" i="73"/>
  <c r="AB15" i="21" l="1"/>
  <c r="U15" i="21"/>
  <c r="W15" i="21"/>
  <c r="AC15" i="21"/>
  <c r="S15" i="21"/>
  <c r="AA15" i="21"/>
  <c r="L56" i="85"/>
  <c r="L58" i="85"/>
  <c r="L57" i="85"/>
  <c r="L60" i="85"/>
  <c r="I54" i="85"/>
  <c r="J57" i="85"/>
  <c r="J55" i="85" s="1"/>
  <c r="J58" i="85" s="1"/>
  <c r="Q50" i="85" s="1"/>
  <c r="J59" i="85"/>
  <c r="J60" i="85"/>
  <c r="Q48" i="85" s="1"/>
  <c r="J53" i="85"/>
  <c r="L59" i="82"/>
  <c r="Q61" i="82" s="1"/>
  <c r="I54" i="82"/>
  <c r="L60" i="82"/>
  <c r="Q57" i="82" s="1"/>
  <c r="Q61" i="85"/>
  <c r="Q74" i="85"/>
  <c r="G8" i="1"/>
  <c r="G16" i="1" s="1"/>
  <c r="S41" i="39"/>
  <c r="AA41" i="39"/>
  <c r="W41" i="39"/>
  <c r="AC41" i="39"/>
  <c r="F59" i="82"/>
  <c r="F60" i="85"/>
  <c r="C32" i="85"/>
  <c r="F11" i="85"/>
  <c r="M11" i="85"/>
  <c r="J10" i="85" s="1"/>
  <c r="J5" i="85" s="1"/>
  <c r="AB17" i="39"/>
  <c r="U17" i="39"/>
  <c r="G88" i="39"/>
  <c r="H15" i="39"/>
  <c r="P28" i="81"/>
  <c r="P29" i="81"/>
  <c r="O23" i="81"/>
  <c r="P25" i="81"/>
  <c r="P27" i="81"/>
  <c r="M24" i="81"/>
  <c r="P26" i="81"/>
  <c r="C23" i="81"/>
  <c r="T16" i="81" s="1"/>
  <c r="V16" i="81" s="1"/>
  <c r="F36" i="77"/>
  <c r="D39" i="77"/>
  <c r="E39" i="77"/>
  <c r="G3" i="43"/>
  <c r="N370" i="46" s="1"/>
  <c r="G3" i="81"/>
  <c r="N94" i="46"/>
  <c r="Q73" i="82"/>
  <c r="Q60" i="82"/>
  <c r="J6" i="82"/>
  <c r="F1" i="82"/>
  <c r="Q52" i="82"/>
  <c r="O6" i="1"/>
  <c r="P6" i="1" s="1"/>
  <c r="C13" i="12" s="1"/>
  <c r="C49" i="82"/>
  <c r="C61" i="82" s="1"/>
  <c r="Q66" i="82"/>
  <c r="C32" i="82"/>
  <c r="C33" i="82"/>
  <c r="F11" i="82"/>
  <c r="M11" i="82"/>
  <c r="J10" i="82" s="1"/>
  <c r="T12" i="81"/>
  <c r="V12" i="81" s="1"/>
  <c r="T11" i="81"/>
  <c r="V11" i="81" s="1"/>
  <c r="C37" i="81"/>
  <c r="G26" i="43"/>
  <c r="D18" i="53"/>
  <c r="B35" i="72" s="1"/>
  <c r="C7" i="74"/>
  <c r="E61" i="43"/>
  <c r="B59" i="43" s="1"/>
  <c r="C28" i="43" s="1"/>
  <c r="B116"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12" i="1"/>
  <c r="AE10" i="1"/>
  <c r="F41" i="67"/>
  <c r="AE7" i="1"/>
  <c r="Q74" i="82" l="1"/>
  <c r="F10" i="39"/>
  <c r="H10" i="39"/>
  <c r="U10" i="39" s="1"/>
  <c r="J10" i="39"/>
  <c r="W10" i="39" s="1"/>
  <c r="J10" i="40"/>
  <c r="AC10" i="40" s="1"/>
  <c r="F10" i="40"/>
  <c r="S10" i="40" s="1"/>
  <c r="H10" i="40"/>
  <c r="AB10" i="40" s="1"/>
  <c r="Q52" i="85"/>
  <c r="F1" i="85"/>
  <c r="Q57" i="85"/>
  <c r="Q66" i="85"/>
  <c r="Q60" i="85"/>
  <c r="Q73" i="85"/>
  <c r="L46" i="85"/>
  <c r="T15" i="81"/>
  <c r="V15" i="81" s="1"/>
  <c r="T2" i="81"/>
  <c r="V2" i="81" s="1"/>
  <c r="F24" i="82"/>
  <c r="C24" i="82" s="1"/>
  <c r="F24" i="85"/>
  <c r="J26" i="85"/>
  <c r="J24" i="85"/>
  <c r="C53" i="85"/>
  <c r="C48" i="85" s="1"/>
  <c r="C10" i="85"/>
  <c r="C5" i="85" s="1"/>
  <c r="U15" i="39"/>
  <c r="AB15" i="39"/>
  <c r="Z7" i="43"/>
  <c r="J5" i="82"/>
  <c r="J26" i="82" s="1"/>
  <c r="C38" i="81"/>
  <c r="E38" i="81" s="1"/>
  <c r="T6" i="81"/>
  <c r="V6" i="81" s="1"/>
  <c r="T7" i="81"/>
  <c r="V7" i="81" s="1"/>
  <c r="T8" i="81"/>
  <c r="V8" i="81" s="1"/>
  <c r="T10" i="81"/>
  <c r="V10" i="81" s="1"/>
  <c r="C40" i="81"/>
  <c r="G40" i="81" s="1"/>
  <c r="I40" i="81" s="1"/>
  <c r="C39" i="81"/>
  <c r="E39" i="81" s="1"/>
  <c r="T9" i="81"/>
  <c r="V9" i="81" s="1"/>
  <c r="T3" i="81"/>
  <c r="V3" i="81" s="1"/>
  <c r="T14" i="81"/>
  <c r="V14" i="81" s="1"/>
  <c r="T5" i="81"/>
  <c r="V5" i="81" s="1"/>
  <c r="T13" i="81"/>
  <c r="V13" i="81" s="1"/>
  <c r="T4" i="81"/>
  <c r="V4" i="81" s="1"/>
  <c r="C42" i="81"/>
  <c r="C41" i="81"/>
  <c r="F26" i="43"/>
  <c r="E26" i="43"/>
  <c r="H26" i="43"/>
  <c r="J26" i="43"/>
  <c r="Z7" i="81"/>
  <c r="H26" i="81"/>
  <c r="J26" i="81"/>
  <c r="E26" i="81"/>
  <c r="B116" i="81"/>
  <c r="F26" i="81"/>
  <c r="G26" i="81"/>
  <c r="J18" i="82"/>
  <c r="J19" i="82"/>
  <c r="C53" i="82"/>
  <c r="C48" i="82" s="1"/>
  <c r="C10" i="82"/>
  <c r="C5" i="82" s="1"/>
  <c r="E37" i="81"/>
  <c r="G37" i="81"/>
  <c r="I37" i="81" s="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8" i="1"/>
  <c r="F41" i="15"/>
  <c r="M27" i="15"/>
  <c r="F41" i="82"/>
  <c r="F41" i="85"/>
  <c r="M27" i="67"/>
  <c r="E40" i="81" l="1"/>
  <c r="S10" i="39"/>
  <c r="AA10" i="39"/>
  <c r="F69" i="82"/>
  <c r="J29" i="82"/>
  <c r="F69" i="85"/>
  <c r="J29" i="85"/>
  <c r="C38" i="85"/>
  <c r="C66" i="85"/>
  <c r="C60" i="85"/>
  <c r="C24" i="85"/>
  <c r="D26" i="43"/>
  <c r="C25" i="43" s="1"/>
  <c r="C33" i="43" s="1"/>
  <c r="J24" i="82"/>
  <c r="G38" i="81"/>
  <c r="I38" i="81" s="1"/>
  <c r="G39" i="81"/>
  <c r="I39" i="81" s="1"/>
  <c r="E41" i="81"/>
  <c r="G41" i="81"/>
  <c r="I41" i="81" s="1"/>
  <c r="G42" i="81"/>
  <c r="I42" i="81" s="1"/>
  <c r="E42" i="81"/>
  <c r="D26" i="81"/>
  <c r="C25" i="81" s="1"/>
  <c r="C33" i="81" s="1"/>
  <c r="E33"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B118" i="81"/>
  <c r="C118" i="81" s="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4" i="74"/>
  <c r="B1" i="74" s="1"/>
  <c r="B6" i="76"/>
  <c r="C38" i="82"/>
  <c r="C66" i="82"/>
  <c r="C60" i="82"/>
  <c r="C30" i="81"/>
  <c r="Q36" i="43"/>
  <c r="M36" i="43"/>
  <c r="P36" i="43"/>
  <c r="O36" i="43"/>
  <c r="N36" i="43"/>
  <c r="L37" i="81"/>
  <c r="P36" i="81"/>
  <c r="N36" i="81"/>
  <c r="Q36" i="81"/>
  <c r="O36" i="81"/>
  <c r="M36"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82"/>
  <c r="C17" i="67"/>
  <c r="C14" i="85"/>
  <c r="C24" i="11" l="1"/>
  <c r="C44" i="11"/>
  <c r="D41" i="11" s="1"/>
  <c r="C28" i="11"/>
  <c r="C27" i="11" s="1"/>
  <c r="B24" i="1"/>
  <c r="F11" i="12" s="1"/>
  <c r="B23" i="1"/>
  <c r="C25" i="11" s="1"/>
  <c r="C29" i="11"/>
  <c r="D27" i="11" s="1"/>
  <c r="C29" i="68"/>
  <c r="D27" i="68" s="1"/>
  <c r="C18" i="85"/>
  <c r="C15" i="85"/>
  <c r="E7" i="70"/>
  <c r="H22" i="6"/>
  <c r="D116" i="81"/>
  <c r="C34" i="81"/>
  <c r="E34" i="81" s="1"/>
  <c r="C31" i="81" s="1"/>
  <c r="C14" i="74"/>
  <c r="B2" i="74" s="1"/>
  <c r="H21" i="6"/>
  <c r="R21" i="6" s="1"/>
  <c r="R8" i="1" s="1"/>
  <c r="H25" i="6"/>
  <c r="R25" i="6" s="1"/>
  <c r="R12" i="1" s="1"/>
  <c r="B2" i="81"/>
  <c r="P37" i="81"/>
  <c r="N37" i="81"/>
  <c r="Q37" i="81"/>
  <c r="O37" i="81"/>
  <c r="M37" i="81"/>
  <c r="C18" i="67"/>
  <c r="C15" i="67"/>
  <c r="H23" i="6"/>
  <c r="C30" i="43"/>
  <c r="B2" i="43" s="1"/>
  <c r="B3"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M21" i="85"/>
  <c r="F35" i="85"/>
  <c r="C14" i="82"/>
  <c r="E6" i="76"/>
  <c r="B7" i="76"/>
  <c r="C14" i="15"/>
  <c r="E7" i="76"/>
  <c r="C18" i="12" l="1"/>
  <c r="C23" i="11"/>
  <c r="C22" i="11" s="1"/>
  <c r="C26" i="11"/>
  <c r="D22" i="11" s="1"/>
  <c r="C26" i="68"/>
  <c r="D22" i="68" s="1"/>
  <c r="F34" i="68"/>
  <c r="M59" i="82"/>
  <c r="M59" i="85"/>
  <c r="M59" i="67"/>
  <c r="M59" i="15"/>
  <c r="C29" i="12"/>
  <c r="D28" i="12" s="1"/>
  <c r="C26" i="12"/>
  <c r="D25" i="12" s="1"/>
  <c r="C19" i="85"/>
  <c r="C20" i="85" s="1"/>
  <c r="C26" i="85" s="1"/>
  <c r="F63" i="85"/>
  <c r="C62" i="85" s="1"/>
  <c r="C59" i="85" s="1"/>
  <c r="C34" i="85"/>
  <c r="C31" i="85" s="1"/>
  <c r="J20" i="85"/>
  <c r="J17" i="85" s="1"/>
  <c r="C15" i="82"/>
  <c r="C18" i="82"/>
  <c r="D7" i="74"/>
  <c r="D8" i="74"/>
  <c r="B3" i="81"/>
  <c r="D8" i="71"/>
  <c r="C7" i="71"/>
  <c r="C19" i="67"/>
  <c r="C20" i="67" s="1"/>
  <c r="C26" i="67" s="1"/>
  <c r="T16" i="1"/>
  <c r="C18" i="15"/>
  <c r="C15" i="15"/>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1" i="11"/>
  <c r="C36" i="68"/>
  <c r="C34" i="68"/>
  <c r="C23" i="85"/>
  <c r="C29" i="85" s="1"/>
  <c r="C57" i="85" s="1"/>
  <c r="C64" i="85" s="1"/>
  <c r="C19" i="82"/>
  <c r="C20" i="82" s="1"/>
  <c r="C26" i="82" s="1"/>
  <c r="F7" i="21"/>
  <c r="AA7" i="21" s="1"/>
  <c r="R48" i="21" s="1"/>
  <c r="Q58" i="82"/>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S7" i="21"/>
  <c r="J7" i="35"/>
  <c r="W7" i="35" s="1"/>
  <c r="C35" i="68"/>
  <c r="C38" i="68"/>
  <c r="J14" i="85"/>
  <c r="J22" i="85" s="1"/>
  <c r="C13" i="85"/>
  <c r="C37" i="85" s="1"/>
  <c r="Q49" i="85"/>
  <c r="C36" i="85"/>
  <c r="C23" i="82"/>
  <c r="C29" i="82" s="1"/>
  <c r="C36" i="82"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E48" i="21"/>
  <c r="G52" i="21"/>
  <c r="H52" i="21" s="1"/>
  <c r="F7" i="35"/>
  <c r="M21" i="15"/>
  <c r="M21" i="67"/>
  <c r="F35" i="67"/>
  <c r="F35" i="82"/>
  <c r="F35" i="15"/>
  <c r="M21" i="82"/>
  <c r="R49" i="21" l="1"/>
  <c r="C49" i="21" s="1"/>
  <c r="C33" i="68"/>
  <c r="C75" i="85"/>
  <c r="J13" i="85"/>
  <c r="J23" i="85" s="1"/>
  <c r="J16" i="85" s="1"/>
  <c r="J25" i="85" s="1"/>
  <c r="C30" i="85"/>
  <c r="C39" i="85" s="1"/>
  <c r="C40" i="85" s="1"/>
  <c r="Q70" i="85"/>
  <c r="C56" i="85"/>
  <c r="C65" i="85" s="1"/>
  <c r="C58" i="85" s="1"/>
  <c r="C67" i="85" s="1"/>
  <c r="C68" i="85" s="1"/>
  <c r="C71" i="85" s="1"/>
  <c r="C57" i="82"/>
  <c r="C64" i="82" s="1"/>
  <c r="Q49" i="82"/>
  <c r="C13" i="82"/>
  <c r="Q70" i="82" s="1"/>
  <c r="J14" i="82"/>
  <c r="J22" i="82" s="1"/>
  <c r="J59" i="82"/>
  <c r="J60" i="82" s="1"/>
  <c r="L46" i="82" s="1"/>
  <c r="F63" i="82"/>
  <c r="C62" i="82" s="1"/>
  <c r="C59" i="82" s="1"/>
  <c r="C34" i="82"/>
  <c r="C31" i="82" s="1"/>
  <c r="J20" i="82"/>
  <c r="J17"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5"/>
  <c r="J13" i="82" l="1"/>
  <c r="J23" i="82" s="1"/>
  <c r="J16" i="82" s="1"/>
  <c r="J25" i="82" s="1"/>
  <c r="C48" i="21"/>
  <c r="C80" i="85"/>
  <c r="C79" i="85" s="1"/>
  <c r="Q47" i="85"/>
  <c r="Q53" i="85" s="1"/>
  <c r="H41" i="85"/>
  <c r="C39" i="68"/>
  <c r="C43" i="68" s="1"/>
  <c r="C42" i="68"/>
  <c r="Q69" i="85"/>
  <c r="Q68" i="85" s="1"/>
  <c r="Q67" i="85"/>
  <c r="Q56" i="85"/>
  <c r="Q62" i="85" s="1"/>
  <c r="C83" i="85"/>
  <c r="C82" i="85" s="1"/>
  <c r="B2" i="85"/>
  <c r="C46" i="85"/>
  <c r="C43" i="85"/>
  <c r="Q65" i="85"/>
  <c r="Q75" i="85" s="1"/>
  <c r="C37" i="82"/>
  <c r="C30" i="82" s="1"/>
  <c r="C39" i="82" s="1"/>
  <c r="C40" i="82" s="1"/>
  <c r="Q48" i="82"/>
  <c r="C75" i="82"/>
  <c r="C56" i="82"/>
  <c r="C65" i="82" s="1"/>
  <c r="C58" i="82" s="1"/>
  <c r="C67" i="82" s="1"/>
  <c r="C68" i="82" s="1"/>
  <c r="C71"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6" i="68" l="1"/>
  <c r="C45" i="68" s="1"/>
  <c r="C41" i="68"/>
  <c r="B3" i="85"/>
  <c r="E6" i="12" s="1"/>
  <c r="E8" i="12"/>
  <c r="Q69" i="82"/>
  <c r="Q68" i="82" s="1"/>
  <c r="C80" i="82"/>
  <c r="C79" i="82" s="1"/>
  <c r="C46" i="82"/>
  <c r="Q67" i="82"/>
  <c r="C43" i="82"/>
  <c r="Q65" i="82"/>
  <c r="Q75" i="82" s="1"/>
  <c r="Q56" i="82"/>
  <c r="Q62" i="82" s="1"/>
  <c r="Q47" i="82"/>
  <c r="Q53" i="82" s="1"/>
  <c r="B2" i="82"/>
  <c r="B3" i="82" s="1"/>
  <c r="C83" i="82"/>
  <c r="C82" i="82" s="1"/>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D13" i="77" l="1"/>
  <c r="D12" i="77" s="1"/>
  <c r="D11" i="77" s="1"/>
  <c r="D7" i="77" s="1"/>
  <c r="C26" i="77" s="1"/>
  <c r="C32" i="77" s="1"/>
  <c r="C38" i="77" s="1"/>
  <c r="C39" i="77" s="1"/>
  <c r="C40" i="77"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0" i="1"/>
  <c r="AO9" i="1"/>
  <c r="AO12" i="1"/>
  <c r="AO6" i="1"/>
  <c r="E11" i="77" l="1"/>
  <c r="E7" i="77" s="1"/>
  <c r="C27" i="77" s="1"/>
  <c r="B2" i="77"/>
  <c r="B3" i="77" s="1"/>
  <c r="C41" i="77"/>
  <c r="L46" i="15"/>
  <c r="B2" i="15" s="1"/>
  <c r="D8" i="12" s="1"/>
  <c r="C4" i="12" s="1"/>
  <c r="R48" i="39"/>
  <c r="C48" i="39" s="1"/>
  <c r="Q66" i="15"/>
  <c r="Q75" i="15" s="1"/>
  <c r="Q62" i="15"/>
  <c r="B9" i="70"/>
  <c r="B11" i="70"/>
  <c r="B10" i="70"/>
  <c r="B12" i="70"/>
  <c r="B6"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8" i="1"/>
  <c r="C31" i="12" l="1"/>
  <c r="C23" i="12"/>
  <c r="B7" i="70"/>
  <c r="B8" i="70"/>
  <c r="B3" i="15"/>
  <c r="D6" i="12" s="1"/>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0" i="82" l="1"/>
  <c r="C7" i="68"/>
  <c r="C5" i="68" s="1"/>
  <c r="C27" i="12"/>
  <c r="C25" i="12" s="1"/>
  <c r="C30" i="12"/>
  <c r="C28" i="12" s="1"/>
  <c r="B2" i="70"/>
  <c r="B3" i="70" s="1"/>
  <c r="F65" i="39"/>
  <c r="B2" i="39" s="1"/>
  <c r="B3" i="39" s="1"/>
  <c r="C42" i="40"/>
  <c r="C43" i="40"/>
  <c r="E47" i="40"/>
  <c r="F47" i="40" s="1"/>
  <c r="E46" i="40"/>
  <c r="F46" i="40" s="1"/>
  <c r="I47" i="40"/>
  <c r="J47" i="40" s="1"/>
  <c r="C20" i="68" l="1"/>
  <c r="C23"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8" i="68" l="1"/>
  <c r="C27" i="68" s="1"/>
  <c r="C25" i="68"/>
  <c r="C22" i="68" s="1"/>
  <c r="D102" i="9"/>
  <c r="D21" i="9"/>
  <c r="D103" i="9"/>
  <c r="C31" i="68" l="1"/>
  <c r="C52" i="68" s="1"/>
  <c r="B2" i="68" s="1"/>
  <c r="C19" i="9"/>
  <c r="C57" i="68" l="1"/>
  <c r="C56" i="68" s="1"/>
  <c r="C102" i="9"/>
  <c r="C21" i="9"/>
  <c r="D22" i="9"/>
  <c r="G19" i="9"/>
  <c r="B3" i="68"/>
  <c r="C20" i="9"/>
  <c r="D34" i="9"/>
  <c r="D35" i="9"/>
  <c r="C103" i="9" l="1"/>
  <c r="G20" i="9"/>
  <c r="G21" i="9"/>
  <c r="C32" i="9"/>
  <c r="C35" i="9" l="1"/>
  <c r="H118" i="9"/>
  <c r="C34" i="9" l="1"/>
  <c r="D118" i="9" s="1"/>
  <c r="F118" i="9"/>
  <c r="H4" i="52"/>
  <c r="H101" i="9"/>
  <c r="I118" i="9"/>
  <c r="D14" i="74"/>
  <c r="C104" i="9"/>
  <c r="H119" i="9"/>
  <c r="H5" i="52" s="1"/>
  <c r="H102" i="9" l="1"/>
  <c r="D7" i="53" s="1"/>
  <c r="B21" i="72" s="1"/>
  <c r="I4" i="52"/>
  <c r="C105" i="9"/>
  <c r="D4" i="52"/>
  <c r="B47" i="72" s="1"/>
  <c r="D119" i="9"/>
  <c r="D5" i="52" s="1"/>
  <c r="B49" i="72" s="1"/>
  <c r="G14" i="74"/>
  <c r="B6" i="74" s="1"/>
  <c r="B5" i="74"/>
  <c r="F14" i="74"/>
  <c r="E14" i="74"/>
  <c r="D45" i="9"/>
  <c r="M48" i="9"/>
  <c r="H107" i="9"/>
  <c r="D5" i="53"/>
  <c r="F4" i="52"/>
  <c r="B51" i="72" s="1"/>
  <c r="G118" i="9"/>
  <c r="G4" i="52" s="1"/>
  <c r="B52" i="72" s="1"/>
  <c r="F119" i="9"/>
  <c r="F5" i="52" s="1"/>
  <c r="B53" i="72" s="1"/>
  <c r="E118" i="9" l="1"/>
  <c r="E4" i="52" s="1"/>
  <c r="B48" i="72" s="1"/>
  <c r="H108" i="9"/>
  <c r="D15" i="53" s="1"/>
  <c r="B31" i="72" s="1"/>
  <c r="D13" i="53"/>
  <c r="D122" i="9"/>
  <c r="M49" i="9"/>
  <c r="D53" i="9"/>
  <c r="C85" i="9"/>
  <c r="D52" i="9"/>
  <c r="C64" i="9"/>
  <c r="C63" i="9" s="1"/>
  <c r="C67" i="9" s="1"/>
  <c r="C78" i="9"/>
  <c r="C73" i="9" s="1"/>
  <c r="C93" i="9"/>
  <c r="C86" i="9" s="1"/>
  <c r="C72" i="9"/>
  <c r="D55" i="9"/>
  <c r="M53" i="9" s="1"/>
  <c r="D6" i="74"/>
  <c r="D6" i="53"/>
  <c r="B22" i="72" s="1"/>
  <c r="B20" i="72"/>
  <c r="C5" i="74"/>
  <c r="D5" i="74"/>
  <c r="C79" i="9" l="1"/>
  <c r="C80" i="9" s="1"/>
  <c r="E80" i="9" s="1"/>
  <c r="E81" i="9" s="1"/>
  <c r="C6" i="74"/>
  <c r="D59" i="9"/>
  <c r="M55" i="9" s="1"/>
  <c r="C68" i="9"/>
  <c r="D54" i="9" s="1"/>
  <c r="C95" i="9"/>
  <c r="L63" i="9"/>
  <c r="M63" i="9" s="1"/>
  <c r="L64" i="9"/>
  <c r="M64" i="9" s="1"/>
  <c r="L65" i="9"/>
  <c r="M65" i="9" s="1"/>
  <c r="L68" i="9"/>
  <c r="M68" i="9" s="1"/>
  <c r="L67" i="9"/>
  <c r="M67" i="9" s="1"/>
  <c r="L66" i="9"/>
  <c r="M66" i="9" s="1"/>
  <c r="D14" i="53"/>
  <c r="B32" i="72" s="1"/>
  <c r="B30" i="72"/>
  <c r="D123" i="9"/>
  <c r="D9" i="52" s="1"/>
  <c r="D8" i="52"/>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<sst xmlns="http://schemas.openxmlformats.org/spreadsheetml/2006/main" count="10049" uniqueCount="3860">
  <si>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</si>
  <si>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</si>
  <si>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</si>
  <si>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</si>
  <si>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</si>
  <si>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</si>
  <si>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</si>
  <si>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</si>
  <si>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</si>
  <si>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</si>
  <si>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</si>
  <si>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</si>
  <si>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</si>
  <si>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</si>
  <si>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</si>
  <si>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</si>
  <si>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</si>
  <si>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</si>
  <si>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</si>
  <si>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</si>
  <si>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</si>
  <si>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</si>
  <si>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</si>
  <si>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</si>
  <si>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</si>
  <si>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</si>
  <si>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</si>
  <si>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</si>
  <si>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</si>
  <si>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</si>
  <si>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</si>
  <si>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</si>
  <si>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</si>
  <si>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</si>
  <si>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</si>
  <si>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</si>
  <si>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</si>
  <si>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</si>
  <si>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</si>
  <si>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</si>
  <si>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</si>
  <si>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</si>
  <si>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</si>
  <si>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</si>
  <si>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</si>
  <si>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</si>
  <si>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</si>
  <si>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</si>
  <si>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</si>
  <si>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</si>
  <si>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</si>
  <si>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</si>
  <si>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</si>
  <si>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</si>
  <si>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</si>
  <si>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</si>
  <si>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</si>
  <si>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</si>
  <si>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</si>
  <si>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</si>
  <si>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</si>
  <si>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</si>
  <si>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</si>
  <si>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</si>
  <si>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</si>
  <si>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</si>
  <si>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</si>
  <si>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</si>
  <si>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</si>
  <si>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</si>
  <si>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</si>
  <si>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</si>
  <si>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</si>
  <si>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</si>
  <si>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</si>
  <si>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</si>
  <si>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</si>
  <si>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</si>
  <si>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</si>
  <si>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</si>
  <si>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</si>
  <si>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</si>
  <si>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</si>
  <si>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</si>
  <si>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</si>
  <si>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</si>
  <si>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</si>
  <si>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</si>
  <si>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</si>
  <si>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</si>
  <si>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</si>
  <si>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</si>
  <si>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</si>
  <si>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</si>
  <si>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</si>
  <si>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</si>
  <si>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</si>
  <si>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</si>
  <si>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</si>
  <si>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</si>
  <si>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</si>
  <si>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</si>
  <si>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</si>
  <si>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</si>
  <si>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</si>
  <si>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</si>
  <si>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</si>
  <si>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</si>
  <si>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</si>
  <si>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</si>
  <si>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</si>
  <si>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</si>
  <si>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</si>
  <si>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</si>
  <si>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</si>
  <si>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</si>
  <si>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</si>
  <si>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</si>
  <si>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</si>
  <si>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</si>
  <si>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</si>
  <si>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</si>
  <si>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</si>
  <si>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</si>
  <si>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</si>
  <si>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</si>
  <si>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</si>
  <si>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</si>
  <si>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</si>
  <si>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</si>
  <si>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</si>
  <si>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</si>
  <si>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</si>
  <si>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</si>
  <si>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</si>
  <si>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</si>
  <si>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</si>
  <si>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</si>
  <si>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</si>
  <si>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</si>
  <si>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</si>
  <si>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</si>
  <si>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</si>
  <si>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</si>
  <si>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</si>
  <si>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</si>
  <si>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</si>
  <si>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</si>
  <si>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</si>
  <si>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</si>
  <si>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</si>
  <si>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</si>
  <si>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</si>
  <si>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</si>
  <si>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</si>
  <si>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</si>
  <si>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</si>
  <si>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</si>
  <si>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</si>
  <si>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</si>
  <si>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</si>
  <si>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</si>
  <si>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</si>
  <si>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</si>
  <si>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</si>
  <si>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</si>
  <si>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</si>
  <si>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</si>
  <si>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</si>
  <si>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</si>
  <si>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</si>
  <si>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</si>
  <si>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</si>
  <si>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</si>
  <si>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</si>
  <si>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</si>
  <si>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</si>
  <si>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</si>
  <si>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</si>
  <si>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</si>
  <si>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</si>
  <si>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</si>
  <si>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</si>
  <si>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</si>
  <si>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</si>
  <si>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</si>
  <si>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</si>
  <si>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</si>
  <si>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</si>
  <si>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</si>
  <si>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</si>
  <si>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</si>
  <si>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</si>
  <si>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</si>
  <si>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</si>
  <si>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</si>
  <si>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</si>
  <si>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</si>
  <si>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</si>
  <si>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</si>
  <si>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</si>
  <si>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</si>
  <si>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</si>
  <si>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</si>
  <si>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</si>
  <si>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</si>
  <si>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</si>
  <si>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</si>
  <si>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</si>
  <si>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</si>
  <si>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</si>
  <si>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</si>
  <si>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</si>
  <si>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</si>
  <si>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</si>
  <si>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</si>
  <si>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</si>
  <si>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</si>
  <si>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</si>
  <si>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</si>
  <si>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</si>
  <si>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</si>
  <si>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</si>
  <si>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</si>
  <si>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</si>
  <si>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</si>
  <si>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</si>
  <si>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</si>
  <si>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</si>
  <si>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</si>
  <si>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</si>
  <si>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</si>
  <si>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</si>
  <si>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</si>
  <si>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</si>
  <si>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</si>
  <si>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</si>
  <si>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</si>
  <si>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</si>
  <si>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</si>
  <si>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</si>
  <si>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</si>
  <si>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</si>
  <si>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</si>
  <si>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</si>
  <si>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</si>
  <si>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</si>
  <si>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</si>
  <si>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</si>
  <si>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</si>
  <si>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</si>
  <si>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</si>
  <si>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</si>
  <si>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</si>
  <si>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</si>
  <si>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</si>
  <si>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</si>
  <si>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</si>
  <si>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</si>
  <si>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</si>
  <si>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</si>
  <si>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</si>
  <si>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</si>
  <si>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</si>
  <si>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</si>
  <si>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</si>
  <si>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</si>
  <si>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</si>
  <si>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</si>
  <si>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</si>
  <si>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</si>
  <si>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</si>
  <si>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</si>
  <si>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</si>
  <si>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</si>
  <si>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</si>
  <si>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</si>
  <si>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</si>
  <si>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</si>
  <si>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</si>
  <si>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</si>
  <si>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</si>
  <si>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</si>
  <si>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</si>
  <si>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</si>
  <si>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</si>
  <si>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</si>
  <si>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</si>
  <si>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</si>
  <si>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</si>
  <si>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</si>
  <si>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</si>
  <si>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</si>
  <si>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</si>
  <si>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</si>
  <si>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</si>
  <si>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</si>
  <si>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</si>
  <si>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</si>
  <si>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</si>
  <si>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</si>
  <si>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</si>
  <si>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</si>
  <si>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</si>
  <si>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</si>
  <si>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</si>
  <si>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</si>
  <si>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</si>
  <si>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</si>
  <si>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</si>
  <si>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</si>
  <si>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</si>
  <si>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</si>
  <si>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</si>
  <si>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</si>
  <si>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</si>
  <si>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</si>
  <si>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</si>
  <si>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</si>
  <si>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</si>
  <si>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</si>
  <si>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</si>
  <si>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</si>
  <si>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</si>
  <si>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</si>
  <si>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</si>
  <si>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</si>
  <si>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</si>
  <si>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</si>
  <si>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</si>
  <si>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</si>
  <si>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</si>
  <si>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</si>
  <si>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</si>
  <si>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</si>
  <si>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</si>
  <si>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</si>
  <si>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</si>
  <si>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</si>
  <si>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</si>
  <si>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</si>
  <si>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</si>
  <si>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</si>
  <si>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</si>
  <si>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</si>
  <si>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</si>
  <si>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</si>
  <si>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</si>
  <si>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</si>
  <si>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</si>
  <si>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</si>
  <si>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</si>
  <si>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</si>
  <si>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</si>
  <si>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</si>
  <si>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</si>
  <si>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</si>
  <si>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</si>
  <si>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</si>
  <si>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</si>
  <si>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</si>
  <si>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</si>
  <si>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</si>
  <si>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</si>
  <si>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</si>
  <si>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</si>
  <si>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</si>
  <si>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</si>
  <si>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</si>
  <si>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</si>
  <si>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</si>
  <si>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</si>
  <si>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</si>
  <si>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</si>
  <si>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</si>
  <si>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</si>
  <si>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</si>
  <si>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</si>
  <si>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</si>
  <si>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</si>
  <si>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</si>
  <si>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</si>
  <si>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</si>
  <si>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</si>
  <si>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</si>
  <si>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</si>
  <si>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</si>
  <si>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</si>
  <si>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</si>
  <si>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</si>
  <si>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</si>
  <si>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</si>
  <si>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</si>
  <si>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</si>
  <si>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</si>
  <si>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</si>
  <si>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</si>
  <si>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</si>
  <si>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</si>
  <si>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</si>
  <si>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</si>
  <si>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</si>
  <si>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</si>
  <si>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</si>
  <si>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</si>
  <si>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</si>
  <si>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</si>
  <si>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</si>
  <si>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</si>
  <si>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</si>
  <si>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</si>
  <si>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</si>
  <si>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</si>
  <si>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</si>
  <si>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</si>
  <si>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</si>
  <si>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</si>
  <si>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</si>
  <si>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</si>
  <si>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</si>
  <si>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</si>
  <si>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</si>
  <si>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</si>
  <si>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</si>
  <si>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</si>
  <si>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</si>
  <si>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</si>
  <si>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</si>
  <si>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</si>
  <si>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</si>
  <si>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</si>
  <si>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</si>
  <si>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</si>
  <si>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</si>
  <si>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</si>
  <si>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</si>
  <si>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</si>
  <si>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</si>
  <si>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</si>
  <si>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</si>
  <si>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</si>
  <si>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</si>
  <si>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</si>
  <si>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</si>
  <si>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</si>
  <si>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</si>
  <si>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</si>
  <si>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</si>
  <si>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</si>
  <si>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</si>
  <si>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</si>
  <si>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</si>
  <si>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</si>
  <si>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</si>
  <si>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</si>
  <si>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</si>
  <si>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</si>
  <si>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</si>
  <si>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</si>
  <si>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</si>
  <si>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</si>
  <si>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</si>
  <si>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</si>
  <si>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</si>
  <si>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</si>
  <si>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</si>
  <si>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</si>
  <si>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</si>
  <si>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</si>
  <si>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</si>
  <si>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</si>
  <si>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</si>
  <si>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</si>
  <si>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</si>
  <si>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</si>
  <si>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</si>
  <si>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</si>
  <si>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</si>
  <si>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</si>
  <si>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</si>
  <si>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</si>
  <si>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</si>
  <si>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</si>
  <si>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</si>
  <si>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</si>
  <si>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</si>
  <si>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</si>
  <si>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</si>
  <si>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</si>
  <si>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</si>
  <si>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</si>
  <si>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</si>
  <si>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</si>
  <si>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</si>
  <si>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</si>
  <si>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</si>
  <si>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</si>
  <si>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</si>
  <si>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</si>
  <si>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</si>
  <si>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</si>
  <si>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</si>
  <si>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</si>
  <si>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</si>
  <si>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</si>
  <si>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</si>
  <si>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</si>
  <si>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</si>
  <si>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</si>
  <si>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</si>
  <si>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</si>
  <si>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</si>
  <si>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</si>
  <si>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</si>
  <si>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</si>
  <si>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</si>
  <si>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</si>
  <si>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</si>
  <si>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</si>
  <si>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</si>
  <si>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</si>
  <si>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</si>
  <si>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</si>
  <si>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</si>
  <si>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</si>
  <si>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</si>
  <si>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</si>
  <si>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</si>
  <si>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</si>
  <si>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</si>
  <si>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</si>
  <si>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</si>
  <si>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</si>
  <si>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</si>
  <si>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</si>
  <si>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</si>
  <si>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</si>
  <si>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</si>
  <si>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</si>
  <si>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</si>
  <si>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</si>
  <si>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</si>
  <si>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</si>
  <si>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</si>
  <si>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</si>
  <si>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</si>
  <si>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</si>
  <si>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</si>
  <si>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</si>
  <si>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</si>
  <si>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</si>
  <si>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</si>
  <si>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</si>
  <si>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</si>
  <si>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</si>
  <si>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</si>
  <si>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</si>
  <si>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</si>
  <si>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</si>
  <si>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</si>
  <si>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</si>
  <si>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</si>
  <si>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</si>
  <si>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</si>
  <si>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</si>
  <si>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</si>
  <si>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</si>
  <si>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</si>
  <si>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</si>
  <si>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</si>
  <si>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</si>
  <si>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</si>
  <si>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</si>
  <si>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</si>
  <si>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</si>
  <si>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</si>
  <si>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</si>
  <si>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</si>
  <si>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</si>
  <si>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</si>
  <si>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</si>
  <si>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</si>
  <si>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</si>
  <si>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</si>
  <si>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</si>
  <si>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</si>
  <si>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</si>
  <si>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</si>
  <si>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</si>
  <si>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</si>
  <si>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</si>
  <si>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</si>
  <si>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</si>
  <si>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</si>
  <si>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</si>
  <si>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</si>
  <si>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</si>
  <si>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</si>
  <si>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</si>
  <si>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</si>
  <si>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</si>
  <si>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</si>
  <si>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</si>
  <si>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</si>
  <si>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</si>
  <si>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</si>
  <si>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</si>
  <si>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</si>
  <si>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</si>
  <si>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</si>
  <si>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</si>
  <si>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</si>
  <si>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</si>
  <si>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</si>
  <si>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</si>
  <si>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</si>
  <si>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</si>
  <si>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</si>
  <si>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</si>
  <si>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</si>
  <si>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</si>
  <si>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</si>
  <si>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</si>
  <si>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</si>
  <si>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</si>
  <si>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</si>
  <si>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</si>
  <si>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</si>
  <si>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</si>
  <si>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</si>
  <si>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</si>
  <si>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</si>
  <si>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</si>
  <si>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</si>
  <si>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</si>
  <si>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</si>
  <si>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</si>
  <si>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</si>
  <si>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</si>
  <si>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</si>
  <si>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</si>
  <si>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</si>
  <si>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</si>
  <si>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</si>
  <si>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</si>
  <si>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</si>
  <si>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</si>
  <si>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</si>
  <si>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</si>
  <si>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</si>
  <si>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</si>
  <si>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</si>
  <si>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</si>
  <si>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</si>
  <si>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</si>
  <si>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</si>
  <si>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</si>
  <si>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</si>
  <si>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</si>
  <si>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</si>
  <si>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</si>
  <si>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</si>
  <si>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</si>
  <si>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</si>
  <si>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</si>
  <si>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</si>
  <si>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</si>
  <si>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</si>
  <si>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</si>
  <si>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</si>
  <si>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</si>
  <si>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</si>
  <si>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</si>
  <si>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</si>
  <si>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</si>
  <si>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</si>
  <si>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</si>
  <si>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</si>
  <si>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</si>
  <si>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</si>
  <si>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</si>
  <si>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</si>
  <si>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</si>
  <si>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</si>
  <si>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</si>
  <si>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</si>
  <si>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</si>
  <si>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</si>
  <si>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</si>
  <si>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</si>
  <si>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</si>
  <si>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</si>
  <si>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</si>
  <si>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</si>
  <si>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</si>
  <si>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</si>
  <si>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</si>
  <si>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</si>
  <si>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</si>
  <si>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</si>
  <si>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</si>
  <si>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</si>
  <si>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</si>
  <si>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</si>
  <si>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</si>
  <si>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</si>
  <si>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</si>
  <si>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</si>
  <si>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</si>
  <si>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</si>
  <si>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</si>
  <si>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</si>
  <si>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</si>
  <si>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</si>
  <si>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</si>
  <si>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</si>
  <si>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</si>
  <si>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</si>
  <si>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</si>
  <si>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</si>
  <si>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</si>
  <si>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</si>
  <si>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</si>
  <si>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</si>
  <si>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</si>
  <si>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</si>
  <si>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</si>
  <si>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</si>
  <si>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</si>
  <si>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</si>
  <si>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</si>
  <si>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</si>
  <si>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</si>
  <si>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</si>
  <si>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</si>
  <si>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</si>
  <si>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</si>
  <si>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</si>
  <si>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</si>
  <si>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</si>
  <si>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</si>
  <si>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</si>
  <si>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</si>
  <si>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</si>
  <si>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</si>
  <si>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</si>
  <si>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</si>
  <si>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</si>
  <si>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</si>
  <si>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</si>
  <si>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</si>
  <si>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</si>
  <si>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</si>
  <si>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</si>
  <si>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</si>
  <si>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</si>
  <si>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</si>
  <si>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</si>
  <si>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</si>
  <si>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</si>
  <si>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</si>
  <si>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</si>
  <si>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</si>
  <si>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</si>
  <si>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</si>
  <si>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</si>
  <si>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</si>
  <si>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</si>
  <si>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</si>
  <si>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</si>
  <si>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</si>
  <si>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</si>
  <si>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</si>
  <si>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</si>
  <si>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</si>
  <si>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</si>
  <si>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</si>
  <si>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</si>
  <si>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</si>
  <si>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</si>
  <si>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</si>
  <si>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</si>
  <si>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</si>
  <si>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</si>
  <si>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</si>
  <si>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</si>
  <si>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</si>
  <si>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</si>
  <si>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</si>
  <si>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</si>
  <si>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</si>
  <si>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</si>
  <si>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</si>
  <si>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</si>
  <si>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</si>
  <si>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</si>
  <si>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</si>
  <si>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</si>
  <si>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</si>
  <si>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</si>
  <si>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</si>
  <si>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</si>
  <si>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</si>
  <si>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</si>
  <si>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</si>
  <si>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</si>
  <si>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</si>
  <si>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</si>
  <si>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</si>
  <si>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</si>
  <si>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</si>
  <si>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</si>
  <si>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</si>
  <si>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</si>
  <si>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</si>
  <si>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</si>
  <si>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</si>
  <si>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</si>
  <si>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</si>
  <si>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</si>
  <si>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</si>
  <si>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</si>
  <si>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</si>
  <si>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</si>
  <si>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</si>
  <si>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</si>
  <si>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</si>
  <si>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</si>
  <si>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</si>
  <si>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</si>
  <si>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</si>
  <si>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</si>
  <si>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</si>
  <si>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</si>
  <si>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</si>
  <si>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</si>
  <si>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</si>
  <si>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</si>
  <si>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</si>
  <si>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</si>
  <si>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</si>
  <si>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</si>
  <si>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</si>
  <si>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</si>
  <si>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</si>
  <si>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</si>
  <si>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</si>
  <si>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</si>
  <si>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</si>
  <si>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</si>
  <si>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</si>
  <si>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</si>
  <si>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</si>
  <si>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</si>
  <si>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</si>
  <si>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</si>
  <si>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</si>
  <si>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</si>
  <si>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</si>
  <si>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</si>
  <si>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</si>
  <si>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</si>
  <si>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</si>
  <si>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</si>
  <si>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</si>
  <si>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</si>
  <si>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</si>
  <si>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</si>
  <si>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</si>
  <si>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</si>
  <si>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</si>
  <si>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</si>
  <si>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</si>
  <si>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</si>
  <si>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</si>
  <si>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</si>
  <si>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</si>
  <si>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</si>
  <si>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</si>
  <si>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</si>
  <si>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</si>
  <si>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</si>
  <si>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</si>
  <si>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</si>
  <si>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</si>
  <si>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</si>
  <si>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</si>
  <si>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</si>
  <si>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</si>
  <si>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</si>
  <si>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</si>
  <si>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</si>
  <si>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</si>
  <si>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</si>
  <si>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</si>
  <si>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</si>
  <si>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</si>
  <si>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</si>
  <si>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</si>
  <si>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</si>
  <si>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</si>
  <si>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</si>
  <si>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</si>
  <si>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</si>
  <si>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</si>
  <si>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</si>
  <si>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</si>
  <si>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</si>
  <si>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</si>
  <si>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</si>
  <si>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</si>
  <si>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</si>
  <si>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</si>
  <si>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</si>
  <si>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</si>
  <si>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</si>
  <si>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</si>
  <si>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</si>
  <si>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</si>
  <si>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</si>
  <si>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</si>
  <si>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</si>
  <si>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</si>
  <si>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</si>
  <si>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</si>
  <si>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</si>
  <si>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</si>
  <si>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</si>
  <si>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</si>
  <si>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</si>
  <si>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</si>
  <si>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</si>
  <si>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</si>
  <si>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</si>
  <si>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</si>
  <si>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</si>
  <si>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</si>
  <si>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</si>
  <si>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</si>
  <si>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</si>
  <si>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</si>
  <si>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</si>
  <si>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</si>
  <si>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</si>
  <si>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</si>
  <si>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</si>
  <si>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</si>
  <si>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</si>
  <si>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</si>
  <si>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</si>
  <si>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</si>
  <si>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</si>
  <si>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</si>
  <si>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</si>
  <si>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</si>
  <si>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</si>
  <si>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</si>
  <si>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</si>
  <si>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</si>
  <si>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</si>
  <si>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</si>
  <si>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</si>
  <si>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</si>
  <si>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</si>
  <si>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</si>
  <si>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</si>
  <si>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</si>
  <si>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</si>
  <si>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</si>
  <si>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</si>
  <si>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</si>
  <si>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</si>
  <si>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</si>
  <si>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</si>
  <si>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</si>
  <si>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</si>
  <si>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</si>
  <si>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</si>
  <si>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</si>
  <si>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</si>
  <si>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</si>
  <si>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</si>
  <si>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</si>
  <si>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</si>
  <si>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</si>
  <si>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</si>
  <si>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</si>
  <si>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</si>
  <si>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</si>
  <si>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</si>
  <si>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</si>
  <si>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</si>
  <si>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</si>
  <si>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</si>
  <si>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</si>
  <si>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</si>
  <si>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</si>
  <si>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</si>
  <si>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</si>
  <si>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</si>
  <si>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</si>
  <si>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</si>
  <si>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</si>
  <si>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</si>
  <si>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</si>
  <si>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</si>
  <si>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</si>
  <si>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</si>
  <si>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</si>
  <si>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</si>
  <si>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</si>
  <si>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</si>
  <si>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</si>
  <si>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</si>
  <si>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</si>
  <si>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</si>
  <si>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</si>
  <si>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</si>
  <si>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</si>
  <si>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</si>
  <si>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</si>
  <si>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</si>
  <si>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</si>
  <si>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</si>
  <si>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</si>
  <si>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</si>
  <si>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</si>
  <si>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</si>
  <si>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</si>
  <si>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</si>
  <si>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</si>
  <si>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</si>
  <si>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</si>
  <si>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</si>
  <si>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</si>
  <si>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</si>
  <si>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</si>
  <si>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</si>
  <si>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</si>
  <si>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</si>
  <si>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</si>
  <si>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</si>
  <si>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</si>
  <si>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</si>
  <si>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</si>
  <si>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</si>
  <si>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</si>
  <si>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</si>
  <si>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</si>
  <si>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</si>
  <si>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</si>
  <si>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</si>
  <si>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</si>
  <si>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</si>
  <si>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</si>
  <si>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</si>
  <si>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</si>
  <si>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</si>
  <si>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</si>
  <si>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</si>
  <si>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</si>
  <si>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</si>
  <si>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</si>
  <si>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</si>
  <si>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</si>
  <si>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</si>
  <si>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</si>
  <si>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</si>
  <si>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</si>
  <si>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</si>
  <si>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</si>
  <si>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</si>
  <si>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</si>
  <si>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</si>
  <si>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</si>
  <si>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</si>
  <si>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</si>
  <si>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</si>
  <si>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</si>
  <si>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</si>
  <si>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</si>
  <si>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</si>
  <si>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</si>
  <si>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</si>
  <si>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</si>
  <si>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</si>
  <si>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</si>
  <si>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</si>
  <si>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</si>
  <si>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</si>
  <si>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</si>
  <si>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</si>
  <si>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</si>
  <si>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</si>
  <si>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</si>
  <si>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</si>
  <si>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</si>
  <si>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</si>
  <si>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</si>
  <si>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</si>
  <si>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</si>
  <si>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</si>
  <si>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</si>
  <si>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</si>
  <si>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</si>
  <si>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</si>
  <si>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</si>
  <si>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</si>
  <si>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</si>
  <si>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</si>
  <si>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</si>
  <si>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</si>
  <si>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</si>
  <si>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</si>
  <si>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</si>
  <si>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</si>
  <si>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</si>
  <si>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</si>
  <si>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</si>
  <si>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</si>
  <si>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</si>
  <si>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</si>
  <si>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</si>
  <si>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</si>
  <si>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</si>
  <si>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</si>
  <si>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</si>
  <si>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</si>
  <si>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</si>
  <si>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</si>
  <si>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</si>
  <si>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</si>
  <si>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</si>
  <si>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</si>
  <si>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</si>
  <si>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</si>
  <si>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</si>
  <si>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</si>
  <si>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</si>
  <si>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</si>
  <si>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</si>
  <si>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</si>
  <si>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</si>
  <si>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</si>
  <si>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</si>
  <si>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</si>
  <si>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</si>
  <si>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</si>
  <si>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</si>
  <si>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</si>
  <si>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</si>
  <si>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</si>
  <si>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</si>
  <si>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</si>
  <si>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</si>
  <si>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</si>
  <si>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</si>
  <si>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</si>
  <si>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</si>
  <si>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</si>
  <si>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</si>
  <si>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</si>
  <si>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</si>
  <si>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</si>
  <si>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</si>
  <si>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</si>
  <si>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</si>
  <si>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</si>
  <si>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</si>
  <si>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</si>
  <si>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</si>
  <si>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</si>
  <si>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</si>
  <si>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</si>
  <si>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</si>
  <si>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</si>
  <si>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</si>
  <si>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</si>
  <si>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</si>
  <si>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</si>
  <si>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</si>
  <si>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</si>
  <si>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</si>
  <si>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</si>
  <si>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</si>
  <si>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</si>
  <si>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</si>
  <si>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</si>
  <si>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</si>
  <si>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</si>
  <si>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</si>
  <si>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</si>
  <si>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</si>
  <si>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</si>
  <si>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</si>
  <si>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</si>
  <si>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</si>
  <si>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</si>
  <si>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</si>
  <si>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</si>
  <si>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</si>
  <si>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</si>
  <si>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</si>
  <si>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</si>
  <si>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</si>
  <si>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</si>
  <si>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</si>
  <si>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</si>
  <si>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</si>
  <si>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</si>
  <si>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</si>
  <si>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</si>
  <si>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</si>
  <si>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</si>
  <si>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</si>
  <si>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</si>
  <si>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</si>
  <si>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</si>
  <si>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</si>
  <si>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</si>
  <si>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</si>
  <si>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</si>
  <si>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</si>
  <si>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</si>
  <si>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</si>
  <si>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</si>
  <si>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</si>
  <si>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</si>
  <si>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</si>
  <si>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</si>
  <si>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</si>
  <si>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</si>
  <si>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</si>
  <si>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</si>
  <si>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</si>
  <si>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</si>
  <si>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</si>
  <si>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</si>
  <si>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</si>
  <si>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</si>
  <si>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</si>
  <si>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</si>
  <si>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</si>
  <si>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</si>
  <si>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</si>
  <si>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</si>
  <si>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</si>
  <si>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</si>
  <si>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</si>
  <si>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</si>
  <si>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</si>
  <si>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</si>
  <si>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</si>
  <si>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</si>
  <si>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</si>
  <si>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</si>
  <si>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</si>
  <si>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</si>
  <si>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</si>
  <si>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</si>
  <si>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</si>
  <si>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</si>
  <si>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</si>
  <si>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</si>
  <si>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</si>
  <si>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</si>
  <si>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</si>
  <si>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</si>
  <si>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</si>
  <si>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</si>
  <si>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</si>
  <si>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</si>
  <si>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</si>
  <si>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</si>
  <si>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</si>
  <si>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</si>
  <si>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</si>
  <si>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</si>
  <si>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</si>
  <si>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</si>
  <si>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</si>
  <si>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</si>
  <si>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</si>
  <si>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</si>
  <si>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</si>
  <si>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</si>
  <si>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</si>
  <si>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</si>
  <si>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</si>
  <si>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</si>
  <si>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</si>
  <si>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</si>
  <si>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</si>
  <si>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</si>
  <si>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</si>
  <si>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</si>
  <si>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</si>
  <si>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</si>
  <si>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</si>
  <si>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</si>
  <si>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</si>
  <si>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</si>
  <si>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</si>
  <si>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</si>
  <si>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</si>
  <si>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</si>
  <si>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</si>
  <si>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</si>
  <si>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</si>
  <si>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</si>
  <si>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</si>
  <si>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</si>
  <si>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</si>
  <si>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</si>
  <si>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</si>
  <si>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</si>
  <si>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</si>
  <si>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</si>
  <si>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</si>
  <si>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</si>
  <si>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</si>
  <si>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</si>
  <si>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</si>
  <si>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</si>
  <si>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</si>
  <si>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</si>
  <si>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</si>
  <si>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</si>
  <si>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</si>
  <si>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</si>
  <si>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</si>
  <si>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</si>
  <si>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</si>
  <si>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</si>
  <si>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</si>
  <si>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</si>
  <si>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</si>
  <si>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</si>
  <si>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</si>
  <si>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</si>
  <si>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</si>
  <si>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</si>
  <si>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</si>
  <si>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</si>
  <si>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</si>
  <si>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</si>
  <si>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</si>
  <si>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</si>
  <si>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</si>
  <si>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</si>
  <si>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</si>
  <si>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</si>
  <si>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</si>
  <si>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</si>
  <si>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</si>
  <si>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</si>
  <si>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</si>
  <si>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</si>
  <si>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</si>
  <si>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</si>
  <si>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</si>
  <si>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</si>
  <si>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</si>
  <si>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</si>
  <si>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</si>
  <si>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</si>
  <si>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</si>
  <si>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</si>
  <si>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</si>
  <si>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</si>
  <si>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</si>
  <si>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</si>
  <si>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</si>
  <si>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</si>
  <si>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</si>
  <si>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</si>
  <si>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</si>
  <si>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</si>
  <si>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</si>
  <si>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</si>
  <si>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</si>
  <si>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</si>
  <si>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</si>
  <si>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</si>
  <si>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</si>
  <si>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</si>
  <si>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</si>
  <si>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</si>
  <si>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</si>
  <si>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</si>
  <si>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</si>
  <si>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</si>
  <si>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</si>
  <si>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</si>
  <si>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</si>
  <si>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</si>
  <si>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</si>
  <si>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</si>
  <si>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</si>
  <si>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</si>
  <si>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</si>
  <si>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</si>
  <si>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</si>
  <si>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</si>
  <si>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</si>
  <si>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</si>
  <si>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</si>
  <si>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</si>
  <si>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</si>
  <si>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</si>
  <si>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</si>
  <si>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</si>
  <si>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</si>
  <si>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</si>
  <si>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</si>
  <si>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</si>
  <si>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</si>
  <si>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</si>
  <si>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</si>
  <si>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</si>
  <si>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</si>
  <si>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</si>
  <si>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</si>
  <si>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</si>
  <si>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</si>
  <si>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</si>
  <si>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</si>
  <si>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</si>
  <si>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</si>
  <si>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</si>
  <si>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</si>
  <si>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</si>
  <si>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</si>
  <si>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</si>
  <si>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</si>
  <si>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</si>
  <si>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</si>
  <si>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</si>
  <si>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</si>
  <si>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</si>
  <si>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</si>
  <si>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</si>
  <si>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</si>
  <si>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</si>
  <si>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</si>
  <si>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</si>
  <si>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</si>
  <si>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</si>
  <si>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</si>
  <si>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</si>
  <si>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</si>
  <si>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</si>
  <si>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</si>
  <si>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</si>
  <si>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</si>
  <si>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</si>
  <si>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</si>
  <si>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</si>
  <si>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</si>
  <si>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</si>
  <si>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</si>
  <si>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</si>
  <si>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</si>
  <si>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</si>
  <si>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</si>
  <si>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</si>
  <si>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</si>
  <si>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</si>
  <si>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</si>
  <si>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</si>
  <si>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</si>
  <si>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</si>
  <si>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</si>
  <si>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</si>
  <si>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</si>
  <si>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</si>
  <si>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</si>
  <si>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</si>
  <si>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</si>
  <si>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</si>
  <si>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</si>
  <si>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</si>
  <si>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</si>
  <si>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</si>
  <si>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</si>
  <si>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</si>
  <si>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</si>
  <si>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</si>
  <si>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</si>
  <si>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</si>
  <si>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</si>
  <si>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</si>
  <si>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</si>
  <si>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</si>
  <si>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</si>
  <si>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</si>
  <si>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</si>
  <si>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</si>
  <si>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</si>
  <si>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</si>
  <si>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</si>
  <si>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</si>
  <si>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</si>
  <si>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</si>
  <si>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</si>
  <si>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</si>
  <si>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</si>
  <si>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</si>
  <si>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</si>
  <si>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</si>
  <si>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</si>
  <si>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</si>
  <si>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</si>
  <si>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</si>
  <si>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</si>
  <si>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</si>
  <si>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</si>
  <si>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</si>
  <si>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</si>
  <si>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</si>
  <si>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</si>
  <si>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</si>
  <si>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</si>
  <si>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</si>
  <si>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</si>
  <si>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</si>
  <si>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</si>
  <si>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</si>
  <si>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</si>
  <si>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</si>
  <si>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</si>
  <si>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</si>
  <si>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</si>
  <si>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</si>
  <si>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</si>
  <si>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</si>
  <si>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</si>
  <si>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</si>
  <si>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</si>
  <si>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</si>
  <si>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</si>
  <si>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</si>
  <si>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</si>
  <si>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</si>
  <si>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</si>
  <si>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</si>
  <si>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</si>
  <si>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</si>
  <si>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</si>
  <si>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</si>
  <si>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</si>
  <si>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</si>
  <si>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</si>
  <si>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</si>
  <si>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</si>
  <si>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</si>
  <si>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</si>
  <si>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</si>
  <si>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</si>
  <si>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</si>
  <si>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</si>
  <si>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</si>
  <si>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</si>
  <si>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</si>
  <si>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</si>
  <si>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</si>
  <si>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</si>
  <si>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</si>
  <si>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</si>
  <si>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</si>
  <si>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</si>
  <si>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</si>
  <si>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</si>
  <si>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</si>
  <si>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</si>
  <si>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</si>
  <si>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</si>
  <si>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</si>
  <si>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</si>
  <si>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</si>
  <si>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</si>
  <si>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</si>
  <si>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</si>
  <si>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</si>
  <si>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</si>
  <si>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</si>
  <si>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</si>
  <si>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</si>
  <si>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</si>
  <si>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</si>
  <si>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</si>
  <si>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</si>
  <si>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</si>
  <si>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</si>
  <si>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</si>
  <si>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</si>
  <si>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</si>
  <si>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</si>
  <si>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</si>
  <si>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</si>
  <si>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</si>
  <si>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</si>
  <si>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</si>
  <si>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</si>
  <si>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</si>
  <si>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</si>
  <si>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</si>
  <si>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</si>
  <si>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</si>
  <si>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</si>
  <si>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</si>
  <si>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</si>
  <si>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</si>
  <si>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</si>
  <si>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</si>
  <si>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</si>
  <si>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</si>
  <si>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</si>
  <si>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</si>
  <si>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</si>
  <si>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</si>
  <si>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</si>
  <si>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</si>
  <si>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</si>
  <si>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</si>
  <si>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</si>
  <si>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</si>
  <si>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</si>
  <si>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</si>
  <si>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</si>
  <si>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</si>
  <si>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</si>
  <si>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</si>
  <si>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</si>
  <si>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</si>
  <si>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</si>
  <si>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</si>
  <si>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</si>
  <si>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</si>
  <si>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</si>
  <si>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</si>
  <si>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</si>
  <si>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</si>
  <si>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</si>
  <si>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</si>
  <si>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</si>
  <si>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</si>
  <si>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</si>
  <si>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</si>
  <si>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</si>
  <si>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</si>
  <si>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</si>
  <si>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</si>
  <si>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</si>
  <si>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</si>
  <si>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</si>
  <si>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</si>
  <si>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</si>
  <si>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</si>
  <si>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</si>
  <si>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</si>
  <si>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</si>
  <si>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</si>
  <si>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</si>
  <si>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</si>
  <si>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</si>
  <si>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</si>
  <si>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</si>
  <si>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</si>
  <si>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</si>
  <si>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</si>
  <si>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</si>
  <si>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</si>
  <si>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</si>
  <si>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</si>
  <si>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</si>
  <si>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</si>
  <si>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</si>
  <si>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</si>
  <si>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</si>
  <si>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</si>
  <si>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</si>
  <si>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</si>
  <si>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</si>
  <si>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</si>
  <si>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</si>
  <si>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</si>
  <si>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</si>
  <si>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</si>
  <si>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</si>
  <si>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</si>
  <si>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</si>
  <si>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</si>
  <si>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</si>
  <si>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</si>
  <si>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</si>
  <si>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</si>
  <si>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</si>
  <si>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</si>
  <si>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</si>
  <si>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</si>
  <si>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</si>
  <si>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</si>
  <si>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</si>
  <si>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</si>
  <si>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</si>
  <si>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</si>
  <si>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</si>
  <si>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</si>
  <si>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</si>
  <si>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</si>
  <si>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</si>
  <si>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</si>
  <si>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</si>
  <si>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</si>
  <si>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</si>
  <si>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</si>
  <si>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</si>
  <si>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</si>
  <si>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</si>
  <si>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</si>
  <si>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</si>
  <si>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</si>
  <si>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</si>
  <si>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</si>
  <si>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</si>
  <si>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</si>
  <si>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</si>
  <si>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</si>
  <si>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</si>
  <si>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</si>
  <si>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</si>
  <si>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</si>
  <si>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</si>
  <si>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</si>
  <si>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</si>
  <si>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</si>
  <si>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</si>
  <si>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</si>
  <si>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</si>
  <si>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</si>
  <si>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</si>
  <si>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</si>
  <si>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</si>
  <si>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</si>
  <si>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</si>
  <si>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</si>
  <si>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</si>
  <si>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</si>
  <si>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</si>
  <si>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</si>
  <si>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</si>
  <si>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</si>
  <si>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</si>
  <si>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</si>
  <si>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</si>
  <si>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</si>
  <si>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</si>
  <si>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</si>
  <si>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</si>
  <si>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</si>
  <si>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</si>
  <si>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</si>
  <si>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</si>
  <si>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</si>
  <si>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</si>
  <si>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</si>
  <si>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</si>
  <si>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</si>
  <si>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</si>
  <si>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</si>
  <si>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</si>
  <si>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</si>
  <si>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</si>
  <si>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</si>
  <si>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</si>
  <si>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</si>
  <si>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</si>
  <si>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</si>
  <si>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</si>
  <si>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</si>
  <si>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</si>
  <si>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</si>
  <si>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</si>
  <si>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</si>
  <si>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</si>
  <si>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</si>
  <si>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</si>
  <si>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</si>
  <si>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</si>
  <si>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</si>
  <si>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</si>
  <si>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</si>
  <si>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</si>
  <si>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</si>
  <si>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</si>
  <si>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</si>
  <si>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</si>
  <si>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</si>
  <si>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</si>
  <si>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</si>
  <si>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</si>
  <si>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</si>
  <si>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</si>
  <si>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</si>
  <si>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</si>
  <si>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</si>
  <si>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</si>
  <si>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</si>
  <si>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</si>
  <si>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</si>
  <si>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</si>
  <si>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</si>
  <si>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</si>
  <si>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</si>
  <si>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</si>
  <si>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</si>
  <si>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</si>
  <si>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</si>
  <si>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</si>
  <si>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</si>
  <si>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</si>
  <si>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</si>
  <si>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</si>
  <si>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</si>
  <si>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</si>
  <si>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</si>
  <si>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</si>
  <si>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</si>
  <si>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</si>
  <si>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</si>
  <si>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</si>
  <si>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</si>
  <si>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</si>
  <si>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</si>
  <si>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</si>
  <si>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</si>
  <si>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</si>
  <si>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</si>
  <si>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</si>
  <si>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</si>
  <si>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</si>
  <si>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</si>
  <si>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</si>
  <si>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</si>
  <si>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</si>
  <si>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</si>
  <si>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</si>
  <si>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</si>
  <si>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</si>
  <si>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</si>
  <si>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</si>
  <si>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</si>
  <si>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</si>
  <si>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</si>
  <si>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</si>
  <si>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</si>
  <si>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</si>
  <si>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</si>
  <si>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</si>
  <si>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</si>
  <si>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</si>
  <si>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</si>
  <si>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</si>
  <si>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</si>
  <si>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</si>
  <si>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</si>
  <si>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</si>
  <si>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</si>
  <si>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</si>
  <si>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</si>
  <si>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</si>
  <si>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</si>
  <si>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</si>
  <si>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</si>
  <si>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</si>
  <si>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</si>
  <si>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</si>
  <si>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</si>
  <si>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</si>
  <si>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</si>
  <si>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</si>
  <si>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</si>
  <si>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</si>
  <si>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</si>
  <si>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</si>
  <si>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</si>
  <si>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</si>
  <si>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</si>
  <si>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</si>
  <si>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</si>
  <si>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</si>
  <si>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</si>
  <si>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</si>
  <si>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</si>
  <si>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</si>
  <si>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</si>
  <si>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</si>
  <si>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</si>
  <si>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</si>
  <si>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</si>
  <si>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</si>
  <si>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</si>
  <si>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</si>
  <si>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</si>
  <si>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</si>
  <si>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</si>
  <si>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</si>
  <si>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</si>
  <si>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</si>
  <si>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</si>
  <si>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</si>
  <si>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</si>
  <si>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</si>
  <si>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</si>
  <si>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</si>
  <si>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</si>
  <si>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</si>
  <si>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</si>
  <si>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</si>
  <si>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</si>
  <si>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</si>
  <si>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</si>
  <si>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</si>
  <si>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</si>
  <si>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</si>
  <si>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</si>
  <si>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</si>
  <si>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</si>
  <si>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</si>
  <si>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</si>
  <si>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</si>
  <si>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</si>
  <si>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</si>
  <si>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</si>
  <si>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</si>
  <si>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</si>
  <si>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</si>
  <si>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</si>
  <si>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</si>
  <si>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</si>
  <si>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</si>
  <si>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</si>
  <si>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</si>
  <si>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</si>
  <si>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</si>
  <si>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</si>
  <si>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</si>
  <si>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</si>
  <si>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</si>
  <si>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</si>
  <si>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</si>
  <si>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</si>
  <si>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</si>
  <si>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</si>
  <si>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</si>
  <si>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</si>
  <si>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</si>
  <si>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</si>
  <si>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</si>
  <si>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</si>
  <si>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</si>
  <si>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</si>
  <si>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</si>
  <si>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</si>
  <si>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</si>
  <si>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</si>
  <si>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</si>
  <si>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</si>
  <si>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</si>
  <si>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</si>
  <si>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</si>
  <si>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</si>
  <si>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</si>
  <si>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</si>
  <si>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</si>
  <si>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</si>
  <si>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</si>
  <si>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</si>
  <si>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</si>
  <si>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</si>
  <si>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</si>
  <si>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</si>
  <si>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</si>
  <si>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</si>
  <si>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</si>
  <si>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</si>
  <si>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</si>
  <si>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</si>
  <si>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</si>
  <si>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</si>
  <si>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</si>
  <si>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</si>
  <si>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</si>
  <si>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</si>
  <si>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</si>
  <si>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</si>
  <si>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</si>
  <si>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</si>
  <si>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</si>
  <si>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</si>
  <si>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</si>
  <si>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</si>
  <si>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</si>
  <si>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</si>
  <si>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</si>
  <si>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</si>
  <si>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</si>
  <si>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</si>
  <si>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</si>
  <si>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</si>
  <si>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</si>
  <si>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</si>
  <si>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</si>
  <si>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</si>
  <si>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</si>
  <si>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</si>
  <si>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</si>
  <si>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</si>
  <si>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</si>
  <si>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</si>
  <si>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</si>
  <si>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</si>
  <si>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</si>
  <si>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</si>
  <si>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</si>
  <si>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</si>
  <si>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</si>
  <si>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</si>
  <si>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</si>
  <si>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</si>
  <si>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</si>
  <si>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</si>
  <si>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</si>
  <si>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</si>
  <si>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</si>
  <si>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</si>
  <si>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</si>
  <si>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</si>
  <si>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</si>
  <si>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</si>
  <si>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</si>
  <si>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</si>
  <si>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</si>
  <si>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</si>
  <si>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</si>
  <si>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</si>
  <si>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</si>
  <si>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</si>
  <si>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</si>
  <si>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</si>
  <si>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</si>
  <si>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</si>
  <si>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</si>
  <si>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</si>
  <si>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</si>
  <si>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</si>
  <si>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</si>
  <si>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</si>
  <si>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</si>
  <si>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</si>
  <si>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</si>
  <si>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</si>
  <si>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</si>
  <si>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</si>
  <si>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</si>
  <si>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</si>
  <si>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</si>
  <si>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</si>
  <si>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</si>
  <si>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</si>
  <si>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</si>
  <si>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</si>
  <si>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</si>
  <si>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</si>
  <si>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</si>
  <si>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</si>
  <si>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</si>
  <si>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</si>
  <si>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</si>
  <si>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</si>
  <si>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</si>
  <si>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</si>
  <si>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</si>
  <si>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</si>
  <si>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</si>
  <si>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</si>
  <si>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</si>
  <si>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</si>
  <si>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</si>
  <si>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</si>
  <si>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</si>
  <si>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</si>
  <si>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</si>
  <si>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</si>
  <si>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</si>
  <si>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</si>
  <si>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</si>
  <si>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</si>
  <si>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</si>
  <si>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</si>
  <si>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</si>
  <si>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</si>
  <si>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</si>
  <si>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</si>
  <si>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</si>
  <si>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</si>
  <si>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</si>
  <si>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</si>
  <si>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</si>
  <si>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</si>
  <si>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</si>
  <si>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</si>
  <si>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</si>
  <si>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</si>
  <si>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</si>
  <si>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</si>
  <si>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</si>
  <si>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</si>
  <si>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</si>
  <si>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</si>
  <si>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</si>
  <si>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</si>
  <si>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</si>
  <si>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</si>
  <si>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</si>
  <si>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</si>
  <si>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</si>
  <si>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</si>
  <si>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</si>
  <si>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</si>
  <si>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</si>
  <si>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</si>
  <si>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</si>
  <si>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</si>
  <si>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</si>
  <si>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</si>
  <si>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</si>
  <si>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</si>
  <si>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</si>
  <si>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</si>
  <si>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</si>
  <si>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</si>
  <si>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</si>
  <si>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</si>
  <si>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</si>
  <si>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</si>
  <si>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</si>
  <si>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</si>
  <si>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</si>
  <si>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</si>
  <si>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</si>
  <si>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</si>
  <si>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</si>
  <si>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</si>
  <si>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</si>
  <si>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</si>
  <si>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</si>
  <si>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</si>
  <si>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</si>
  <si>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</si>
  <si>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</si>
  <si>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</si>
  <si>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</si>
  <si>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</si>
  <si>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</si>
  <si>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</si>
  <si>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</si>
  <si>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</si>
  <si>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</si>
  <si>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</si>
  <si>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</si>
  <si>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</si>
  <si>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</si>
  <si>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</si>
  <si>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</si>
  <si>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</si>
  <si>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</si>
  <si>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</si>
  <si>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</si>
  <si>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</si>
  <si>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</si>
  <si>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</si>
  <si>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</si>
  <si>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</si>
  <si>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</si>
  <si>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</si>
  <si>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</si>
  <si>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</si>
  <si>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</si>
  <si>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</si>
  <si>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</si>
  <si>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</si>
  <si>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</si>
  <si>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</si>
  <si>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</si>
  <si>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</si>
  <si>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</si>
  <si>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</si>
  <si>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</si>
  <si>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</si>
  <si>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</si>
  <si>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</si>
  <si>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</si>
  <si>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</si>
  <si>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</si>
  <si>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</si>
  <si>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</si>
  <si>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</si>
  <si>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</si>
  <si>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</si>
  <si>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</si>
  <si>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</si>
  <si>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</si>
  <si>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</si>
  <si>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</si>
  <si>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</si>
  <si>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</si>
  <si>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</si>
  <si>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</si>
  <si>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</si>
  <si>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</si>
  <si>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</si>
  <si>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</si>
  <si>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</si>
  <si>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</si>
  <si>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</si>
  <si>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</si>
  <si>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</si>
  <si>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</si>
  <si>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</si>
  <si>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</si>
  <si>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</si>
  <si>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</si>
  <si>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</si>
  <si>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</si>
  <si>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</si>
  <si>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</si>
  <si>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</si>
  <si>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</si>
  <si>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</si>
  <si>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</si>
  <si>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</si>
  <si>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</si>
  <si>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</si>
  <si>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</si>
  <si>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</si>
  <si>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</si>
  <si>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</si>
  <si>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</si>
  <si>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</si>
  <si>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</si>
  <si>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</si>
  <si>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</si>
  <si>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</si>
  <si>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</si>
  <si>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</si>
  <si>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</si>
  <si>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</si>
  <si>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</si>
  <si>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</si>
  <si>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</si>
  <si>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</si>
  <si>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</si>
  <si>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</si>
  <si>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</si>
  <si>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</si>
  <si>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</si>
  <si>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</si>
  <si>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</si>
  <si>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</si>
  <si>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</si>
  <si>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</si>
  <si>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</si>
  <si>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</si>
  <si>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</si>
  <si>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</si>
  <si>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</si>
  <si>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</si>
  <si>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</si>
  <si>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</si>
  <si>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</si>
  <si>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</si>
  <si>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</si>
  <si>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</si>
  <si>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</si>
  <si>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</si>
  <si>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</si>
  <si>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</si>
  <si>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</si>
  <si>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</si>
  <si>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</si>
  <si>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</si>
  <si>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</si>
  <si>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</si>
  <si>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</si>
  <si>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</si>
  <si>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</si>
  <si>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</si>
  <si>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</si>
  <si>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</si>
  <si>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</si>
  <si>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</si>
  <si>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</si>
  <si>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</si>
  <si>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</si>
  <si>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</si>
  <si>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</si>
  <si>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</si>
  <si>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</si>
  <si>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</si>
  <si>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</si>
  <si>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</si>
  <si>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</si>
  <si>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</si>
  <si>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</si>
  <si>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</si>
  <si>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</si>
  <si>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</si>
  <si>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</si>
  <si>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</si>
  <si>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</si>
  <si>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</si>
  <si>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</si>
  <si>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</si>
  <si>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</si>
  <si>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</si>
  <si>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</si>
  <si>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</si>
  <si>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</si>
  <si>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</si>
  <si>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</si>
  <si>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</si>
  <si>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</si>
  <si>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</si>
  <si>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</si>
  <si>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</si>
  <si>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</si>
  <si>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</si>
  <si>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</si>
  <si>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</si>
  <si>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</si>
  <si>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</si>
  <si>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</si>
  <si>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</si>
  <si>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</si>
  <si>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</si>
  <si>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</si>
  <si>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</si>
  <si>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</si>
  <si>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</si>
  <si>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</si>
  <si>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</si>
  <si>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</si>
  <si>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</si>
  <si>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</si>
  <si>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</si>
  <si>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</si>
  <si>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</si>
  <si>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</si>
  <si>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</si>
  <si>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</si>
  <si>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</si>
  <si>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</si>
  <si>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</si>
  <si>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</si>
  <si>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</si>
  <si>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</si>
  <si>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</si>
  <si>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</si>
  <si>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</si>
  <si>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</si>
  <si>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</si>
  <si>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</si>
  <si>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</si>
  <si>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</si>
  <si>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</si>
  <si>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</si>
  <si>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</si>
  <si>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</si>
  <si>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</si>
  <si>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</si>
  <si>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</si>
  <si>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</si>
  <si>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</si>
  <si>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</si>
  <si>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</si>
  <si>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</si>
  <si>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</si>
  <si>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</si>
  <si>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</si>
  <si>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</si>
  <si>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</si>
  <si>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</si>
  <si>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</si>
  <si>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</si>
  <si>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</si>
  <si>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</si>
  <si>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</si>
  <si>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</si>
  <si>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</si>
  <si>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</si>
  <si>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</si>
  <si>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</si>
  <si>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</si>
  <si>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</si>
  <si>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</si>
  <si>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</si>
  <si>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</si>
  <si>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</si>
  <si>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</si>
  <si>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</si>
  <si>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</si>
  <si>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</si>
  <si>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</si>
  <si>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</si>
  <si>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</si>
  <si>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</si>
  <si>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</si>
  <si>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</si>
  <si>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</si>
  <si>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</si>
  <si>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</si>
  <si>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</si>
  <si>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</si>
  <si>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</si>
  <si>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</si>
  <si>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</si>
  <si>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</si>
  <si>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</si>
  <si>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</si>
  <si>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</si>
  <si>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</si>
  <si>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</si>
  <si>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</si>
  <si>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</si>
  <si>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</si>
  <si>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</si>
  <si>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</si>
  <si>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</si>
  <si>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</si>
  <si>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</si>
  <si>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</si>
  <si>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</si>
  <si>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</si>
  <si>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</si>
  <si>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</si>
  <si>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</si>
  <si>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</si>
  <si>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</si>
  <si>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</si>
  <si>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</si>
  <si>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</si>
  <si>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</si>
  <si>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</si>
  <si>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</si>
  <si>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</si>
  <si>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</si>
  <si>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</si>
  <si>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</si>
  <si>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</si>
  <si>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</si>
  <si>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</si>
  <si>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</si>
  <si>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</si>
  <si>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</si>
  <si>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</si>
  <si>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</si>
  <si>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</si>
  <si>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</si>
  <si>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</si>
  <si>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</si>
  <si>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</si>
  <si>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</si>
  <si>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</si>
  <si>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</si>
  <si>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</si>
  <si>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</si>
  <si>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</si>
  <si>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</si>
  <si>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</si>
  <si>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</si>
  <si>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</si>
  <si>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</si>
  <si>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</si>
  <si>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</si>
  <si>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</si>
  <si>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</si>
  <si>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</si>
  <si>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</si>
  <si>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</si>
  <si>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</si>
  <si>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</si>
  <si>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</si>
  <si>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</si>
  <si>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</si>
  <si>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</si>
  <si>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</si>
  <si>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</si>
  <si>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</si>
  <si>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</si>
  <si>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</si>
  <si>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</si>
  <si>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</si>
  <si>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</si>
  <si>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</si>
  <si>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</si>
  <si>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</si>
  <si>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</si>
  <si>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</si>
  <si>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</si>
  <si>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</si>
  <si>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</si>
  <si>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</si>
  <si>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</si>
  <si>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</si>
  <si>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</si>
  <si>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</si>
  <si>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</si>
  <si>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</si>
  <si>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</si>
  <si>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</si>
  <si>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</si>
  <si>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</si>
  <si>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</si>
  <si>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</si>
  <si>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</si>
  <si>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</si>
  <si>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</si>
  <si>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</si>
  <si>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</si>
  <si>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</si>
  <si>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</si>
  <si>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</si>
  <si>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</si>
  <si>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</si>
  <si>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</si>
  <si>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</si>
  <si>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</si>
  <si>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</si>
  <si>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</si>
  <si>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</si>
  <si>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</si>
  <si>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</si>
  <si>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</si>
  <si>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</si>
  <si>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</si>
  <si>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</si>
  <si>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</si>
  <si>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</si>
  <si>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</si>
  <si>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</si>
  <si>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</si>
  <si>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</si>
  <si>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</si>
  <si>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</si>
  <si>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</si>
  <si>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</si>
  <si>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</si>
  <si>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</si>
  <si>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</si>
  <si>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</si>
  <si>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</si>
  <si>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</si>
  <si>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</si>
  <si>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</si>
  <si>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</si>
  <si>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</si>
  <si>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</si>
  <si>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</si>
  <si>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</si>
  <si>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</si>
  <si>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</si>
  <si>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</si>
  <si>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</si>
  <si>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</si>
  <si>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</si>
  <si>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</si>
  <si>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</si>
  <si>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</si>
  <si>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</si>
  <si>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</si>
  <si>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</si>
  <si>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</si>
  <si>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</si>
  <si>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</si>
  <si>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</si>
  <si>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</si>
  <si>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</si>
  <si>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</si>
  <si>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</si>
  <si>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</si>
  <si>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</si>
  <si>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</si>
  <si>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</si>
  <si>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</si>
  <si>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</si>
  <si>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</si>
  <si>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</si>
  <si>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</si>
  <si>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</si>
  <si>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</si>
  <si>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</si>
  <si>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</si>
  <si>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</si>
  <si>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</si>
  <si>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</si>
  <si>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</si>
  <si>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</si>
  <si>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</si>
  <si>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</si>
  <si>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</si>
  <si>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</si>
  <si>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</si>
  <si>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</si>
  <si>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</si>
  <si>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</si>
  <si>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</si>
  <si>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</si>
  <si>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</si>
  <si>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</si>
  <si>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</si>
  <si>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</si>
  <si>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</si>
  <si>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</si>
  <si>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</si>
  <si>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</si>
  <si>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</si>
  <si>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</si>
  <si>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</si>
  <si>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</si>
  <si>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</si>
  <si>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</si>
  <si>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</si>
  <si>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</si>
  <si>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</si>
  <si>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</si>
  <si>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</si>
  <si>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</si>
  <si>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</si>
  <si>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</si>
  <si>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</si>
  <si>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</si>
  <si>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</si>
  <si>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</si>
  <si>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</si>
  <si>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</si>
  <si>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</si>
  <si>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</si>
  <si>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</si>
  <si>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</si>
  <si>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</si>
  <si>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</si>
  <si>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</si>
  <si>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</si>
  <si>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</si>
  <si>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</si>
  <si>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</si>
  <si>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</si>
  <si>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</si>
  <si>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</si>
  <si>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</si>
  <si>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</si>
  <si>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</si>
  <si>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</si>
  <si>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</si>
  <si>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</si>
  <si>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</si>
  <si>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</si>
  <si>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</si>
  <si>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</si>
  <si>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</si>
  <si>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</si>
  <si>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</si>
  <si>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</si>
  <si>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</si>
  <si>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</si>
  <si>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</si>
  <si>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</si>
  <si>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</si>
  <si>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</si>
  <si>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</si>
  <si>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</si>
  <si>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</si>
  <si>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</si>
  <si>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</si>
  <si>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</si>
  <si>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</si>
  <si>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</si>
  <si>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</si>
  <si>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</si>
  <si>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</si>
  <si>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</si>
  <si>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</si>
  <si>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</si>
  <si>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</si>
  <si>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</si>
  <si>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</si>
  <si>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</si>
  <si>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</si>
  <si>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</si>
  <si>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</si>
  <si>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</si>
  <si>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</si>
  <si>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</si>
  <si>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</si>
  <si>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</si>
  <si>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</si>
  <si>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</si>
  <si>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</si>
  <si>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</si>
  <si>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</si>
  <si>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</si>
  <si>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</si>
  <si>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</si>
  <si>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</si>
  <si>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</si>
  <si>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</si>
  <si>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</si>
  <si>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</si>
  <si>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</si>
  <si>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</si>
  <si>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</si>
  <si>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</si>
  <si>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</si>
  <si>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</si>
  <si>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</si>
  <si>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</si>
  <si>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</si>
  <si>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</si>
  <si>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</si>
  <si>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</si>
  <si>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</si>
  <si>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</si>
  <si>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</si>
  <si>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</si>
  <si>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</si>
  <si>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</si>
  <si>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</si>
  <si>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</si>
  <si>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</si>
  <si>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</si>
  <si>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</si>
  <si>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</si>
  <si>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</si>
  <si>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</si>
  <si>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</si>
  <si>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</si>
  <si>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</si>
  <si>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</si>
  <si>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</si>
  <si>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</si>
  <si>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</si>
  <si>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</si>
  <si>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</si>
  <si>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</si>
  <si>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</si>
  <si>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</si>
  <si>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</si>
  <si>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</si>
  <si>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</si>
  <si>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</si>
  <si>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</si>
  <si>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</si>
  <si>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</si>
  <si>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</si>
  <si>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</si>
  <si>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</si>
  <si>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</si>
  <si>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</si>
  <si>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</si>
  <si>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</si>
  <si>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</si>
  <si>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</si>
  <si>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</si>
  <si>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</si>
  <si>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</si>
  <si>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</si>
  <si>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</si>
  <si>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</si>
  <si>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</si>
  <si>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</si>
  <si>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</si>
  <si>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</si>
  <si>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</si>
  <si>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</si>
  <si>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</si>
  <si>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</si>
  <si>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</si>
  <si>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</si>
  <si>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</si>
  <si>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</si>
  <si>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</si>
  <si>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</si>
  <si>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</si>
  <si>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</si>
  <si>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</si>
  <si>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</si>
  <si>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</si>
  <si>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</si>
  <si>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</si>
  <si>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</si>
  <si>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</si>
  <si>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</si>
  <si>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</si>
  <si>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</si>
  <si>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</si>
  <si>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</si>
  <si>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</si>
  <si>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</si>
  <si>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</si>
  <si>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</si>
  <si>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</si>
  <si>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</si>
  <si>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</si>
  <si>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</si>
  <si>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</si>
  <si>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</si>
  <si>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</si>
  <si>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</si>
  <si>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</si>
  <si>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</si>
  <si>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</si>
  <si>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</si>
  <si>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</si>
  <si>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</si>
  <si>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</si>
  <si>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</si>
  <si>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</si>
  <si>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</si>
  <si>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</si>
  <si>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</si>
  <si>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</si>
  <si>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</si>
  <si>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</si>
  <si>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</si>
  <si>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</si>
  <si>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</si>
  <si>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</si>
  <si>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</si>
  <si>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</si>
  <si>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</si>
  <si>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</si>
  <si>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</si>
  <si>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</si>
  <si>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</si>
  <si>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</si>
  <si>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</si>
  <si>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</si>
  <si>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</si>
  <si>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</si>
  <si>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</si>
  <si>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</si>
  <si>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</si>
  <si>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</si>
  <si>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</si>
  <si>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</si>
  <si>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</si>
  <si>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</si>
  <si>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</si>
  <si>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</si>
  <si>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</si>
  <si>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</si>
  <si>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</si>
  <si>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</si>
  <si>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</si>
  <si>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</si>
  <si>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</si>
  <si>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</si>
  <si>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</si>
  <si>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</si>
  <si>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</si>
  <si>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</si>
  <si>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</si>
  <si>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</si>
  <si>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</si>
  <si>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</si>
  <si>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</si>
  <si>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</si>
  <si>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</si>
  <si>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</si>
  <si>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</si>
  <si>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</si>
  <si>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</si>
  <si>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</si>
  <si>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</si>
  <si>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</si>
  <si>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</si>
  <si>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</si>
  <si>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</si>
  <si>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</si>
  <si>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</si>
  <si>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</si>
  <si>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</si>
  <si>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</si>
  <si>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</si>
  <si>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</si>
  <si>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</si>
  <si>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</si>
  <si>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</si>
  <si>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</si>
  <si>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</si>
  <si>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</si>
  <si>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</si>
  <si>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</si>
  <si>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</si>
  <si>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</si>
  <si>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</si>
  <si>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</si>
  <si>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</si>
  <si>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</si>
  <si>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</si>
  <si>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</si>
  <si>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</si>
  <si>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</si>
  <si>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</si>
  <si>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</si>
  <si>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</si>
  <si>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</si>
  <si>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</si>
  <si>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</si>
  <si>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</si>
  <si>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</si>
  <si>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</si>
  <si>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</si>
  <si>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</si>
  <si>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</si>
  <si>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</si>
  <si>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</si>
  <si>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</si>
  <si>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</si>
  <si>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</si>
  <si>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</si>
  <si>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</si>
  <si>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</si>
  <si>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</si>
  <si>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</si>
  <si>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</si>
  <si>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</si>
  <si>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</si>
  <si>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</si>
  <si>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</si>
  <si>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</si>
  <si>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</si>
  <si>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</si>
  <si>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</si>
  <si>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</si>
  <si>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</si>
  <si>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</si>
  <si>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</si>
  <si>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</si>
  <si>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</si>
  <si>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</si>
  <si>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</si>
  <si>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</si>
  <si>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</si>
  <si>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</si>
  <si>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</si>
  <si>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</si>
  <si>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</si>
  <si>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</si>
  <si>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</si>
  <si>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</si>
  <si>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</si>
  <si>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</si>
  <si>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</si>
  <si>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</si>
  <si>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</si>
  <si>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</si>
  <si>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</si>
  <si>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</si>
  <si>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</si>
  <si>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</si>
  <si>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</si>
  <si>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</si>
  <si>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</si>
  <si>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</si>
  <si>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</si>
  <si>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</si>
  <si>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</si>
  <si>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</si>
  <si>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</si>
  <si>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</si>
  <si>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</si>
  <si>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</si>
  <si>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</si>
  <si>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</si>
  <si>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</si>
  <si>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</si>
  <si>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</si>
  <si>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</si>
  <si>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</si>
  <si>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</si>
  <si>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</si>
  <si>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</si>
  <si>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</si>
  <si>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</si>
  <si>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</si>
  <si>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</si>
  <si>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</si>
  <si>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</si>
  <si>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</si>
  <si>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</si>
  <si>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</si>
  <si>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</si>
  <si>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</si>
  <si>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</si>
  <si>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</si>
  <si>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</si>
  <si>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</si>
  <si>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</si>
  <si>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</si>
  <si>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</si>
  <si>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</si>
  <si>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</si>
  <si>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</si>
  <si>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</si>
  <si>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</si>
  <si>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</si>
  <si>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</si>
  <si>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</si>
  <si>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</si>
  <si>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</si>
  <si>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</si>
  <si>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</si>
  <si>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</si>
  <si>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</si>
  <si>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</si>
  <si>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</si>
  <si>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</si>
  <si>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</si>
  <si>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</si>
  <si>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</si>
  <si>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</si>
  <si>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</si>
  <si>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</si>
  <si>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</si>
  <si>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</si>
  <si>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</si>
  <si>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</si>
  <si>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</si>
  <si>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</si>
  <si>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</si>
  <si>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</si>
  <si>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</si>
  <si>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</si>
  <si>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</si>
  <si>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</si>
  <si>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</si>
  <si>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</si>
  <si>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</si>
  <si>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</si>
  <si>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</si>
  <si>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</si>
  <si>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</si>
  <si>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</si>
  <si>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</si>
  <si>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</si>
  <si>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</si>
  <si>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</si>
  <si>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</si>
  <si>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</si>
  <si>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</si>
  <si>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</si>
  <si>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</si>
  <si>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</si>
  <si>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</si>
  <si>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</si>
  <si>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</si>
  <si>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</si>
  <si>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</si>
  <si>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</si>
  <si>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</si>
  <si>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</si>
  <si>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</si>
  <si>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</si>
  <si>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</si>
  <si>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</si>
  <si>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</si>
  <si>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</si>
  <si>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</si>
  <si>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</si>
  <si>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</si>
  <si>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</si>
  <si>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</si>
  <si>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</si>
  <si>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</si>
  <si>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</si>
  <si>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</si>
  <si>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</si>
  <si>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</si>
  <si>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</si>
  <si>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</si>
  <si>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</si>
  <si>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</si>
  <si>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</si>
  <si>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</si>
  <si>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</si>
  <si>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</si>
  <si>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</si>
  <si>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</si>
  <si>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</si>
  <si>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</si>
  <si>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</si>
  <si>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</si>
  <si>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</si>
  <si>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</si>
  <si>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</si>
  <si>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</si>
  <si>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</si>
  <si>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</si>
  <si>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</si>
  <si>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</si>
  <si>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</si>
  <si>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</si>
  <si>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</si>
  <si>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</si>
  <si>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</si>
  <si>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</si>
  <si>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</si>
  <si>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</si>
  <si>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</si>
  <si>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</si>
  <si>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</si>
  <si>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</si>
  <si>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</si>
  <si>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</si>
  <si>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</si>
  <si>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</si>
  <si>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</si>
  <si>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</si>
  <si>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</si>
  <si>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</si>
  <si>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</si>
  <si>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</si>
  <si>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</si>
  <si>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</si>
  <si>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</si>
  <si>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</si>
  <si>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</si>
  <si>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</si>
  <si>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</si>
  <si>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</si>
  <si>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</si>
  <si>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</si>
  <si>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</si>
  <si>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</si>
  <si>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</si>
  <si>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</si>
  <si>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</si>
  <si>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</si>
  <si>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</si>
  <si>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</si>
  <si>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</si>
  <si>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</si>
  <si>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</si>
  <si>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</si>
  <si>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</si>
  <si>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</si>
  <si>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</si>
  <si>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</si>
  <si>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</si>
  <si>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</si>
  <si>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</si>
  <si>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</si>
  <si>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</si>
  <si>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</si>
  <si>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</si>
  <si>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</si>
  <si>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</si>
  <si>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</si>
  <si>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</si>
  <si>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</si>
  <si>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</si>
  <si>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</si>
  <si>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</si>
  <si>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</si>
  <si>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</si>
  <si>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</si>
  <si>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</si>
  <si>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</si>
  <si>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</si>
  <si>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</si>
  <si>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</si>
  <si>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</si>
  <si>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</si>
  <si>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</si>
  <si>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</si>
  <si>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</si>
  <si>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</si>
  <si>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</si>
  <si>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</si>
  <si>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</si>
  <si>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</si>
  <si>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</si>
  <si>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</si>
  <si>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</si>
  <si>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</si>
  <si>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</si>
  <si>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</si>
  <si>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</si>
  <si>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</si>
  <si>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</si>
  <si>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</si>
  <si>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</si>
  <si>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</si>
  <si>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</si>
  <si>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</si>
  <si>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</si>
  <si>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</si>
  <si>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</si>
  <si>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</si>
  <si>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</si>
  <si>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</si>
  <si>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</si>
  <si>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</si>
  <si>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</si>
  <si>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</si>
  <si>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</si>
  <si>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</si>
  <si>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</si>
  <si>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</si>
  <si>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</si>
  <si>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</si>
  <si>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</si>
  <si>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</si>
  <si>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</si>
  <si>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</si>
  <si>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</si>
  <si>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</si>
  <si>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</si>
  <si>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</si>
  <si>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</si>
  <si>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</si>
  <si>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</si>
  <si>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</si>
  <si>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</si>
  <si>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</si>
  <si>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</si>
  <si>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</si>
  <si>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</si>
  <si>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</si>
  <si>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</si>
  <si>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</si>
  <si>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</si>
  <si>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</si>
  <si>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</si>
  <si>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</si>
  <si>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</si>
  <si>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</si>
  <si>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</si>
  <si>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</si>
  <si>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</si>
  <si>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</si>
  <si>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</si>
  <si>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</si>
  <si>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</si>
  <si>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</si>
  <si>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</si>
  <si>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</si>
  <si>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</si>
  <si>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</si>
  <si>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</si>
  <si>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</si>
  <si>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</si>
  <si>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</si>
  <si>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</si>
  <si>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</si>
  <si>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</si>
  <si>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</si>
  <si>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</si>
  <si>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</si>
  <si>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</si>
  <si>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</si>
  <si>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</si>
  <si>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</si>
  <si>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</si>
  <si>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</si>
  <si>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</si>
  <si>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</si>
  <si>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</si>
  <si>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</si>
  <si>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</si>
  <si>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</si>
  <si>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</si>
  <si>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</si>
  <si>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</si>
  <si>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</si>
  <si>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</si>
  <si>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</si>
  <si>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</si>
  <si>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</si>
  <si>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</si>
  <si>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</si>
  <si>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</si>
  <si>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</si>
  <si>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</si>
  <si>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</si>
  <si>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</si>
  <si>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</si>
  <si>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</si>
  <si>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</si>
  <si>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</si>
  <si>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</si>
  <si>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</si>
  <si>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</si>
  <si>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</si>
  <si>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</si>
  <si>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</si>
  <si>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</si>
  <si>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</si>
  <si>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</si>
  <si>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</si>
  <si>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</si>
  <si>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</si>
  <si>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</si>
  <si>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</si>
  <si>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</si>
  <si>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</si>
  <si>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</si>
  <si>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</si>
  <si>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</si>
  <si>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</si>
  <si>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</si>
  <si>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</si>
  <si>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</si>
  <si>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</si>
  <si>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</si>
  <si>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</si>
  <si>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</si>
  <si>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</si>
  <si>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</si>
  <si>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</si>
  <si>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</si>
  <si>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</si>
  <si>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</si>
  <si>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</si>
  <si>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</si>
  <si>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</si>
  <si>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</si>
  <si>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</si>
  <si>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</si>
  <si>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</si>
  <si>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</si>
  <si>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</si>
  <si>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</si>
  <si>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</si>
  <si>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</si>
  <si>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</si>
  <si>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</si>
  <si>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</si>
  <si>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</si>
  <si>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</si>
  <si>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</si>
  <si>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</si>
  <si>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</si>
  <si>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</si>
  <si>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</si>
  <si>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</si>
  <si>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</si>
  <si>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</si>
  <si>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</si>
  <si>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</si>
  <si>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</si>
  <si>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</si>
  <si>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</si>
  <si>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</si>
  <si>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</si>
  <si>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</si>
  <si>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</si>
  <si>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</si>
  <si>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</si>
  <si>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</si>
  <si>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</si>
  <si>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</si>
  <si>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</si>
  <si>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钢混</t>
  </si>
  <si>
    <t>地上</t>
  </si>
  <si>
    <t>是</t>
  </si>
  <si>
    <t>通路</t>
  </si>
  <si>
    <t>通电</t>
  </si>
  <si>
    <t>通讯</t>
  </si>
  <si>
    <t>通上水</t>
  </si>
  <si>
    <t>通下水</t>
  </si>
  <si>
    <t>燃气</t>
  </si>
  <si>
    <t>平整</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</si>
  <si>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</si>
  <si>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</si>
  <si>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</si>
  <si>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</si>
  <si>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</si>
  <si>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</si>
  <si>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</si>
  <si>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</si>
  <si>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</si>
  <si>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</si>
  <si>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</si>
  <si>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</si>
  <si>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折现值</t>
  </si>
  <si>
    <t>房地产总价</t>
  </si>
  <si>
    <t>楼面单价</t>
  </si>
  <si>
    <t>收益年期</t>
  </si>
  <si>
    <t>非生产用房</t>
  </si>
  <si>
    <t>否</t>
  </si>
  <si>
    <t>典型户型修正</t>
  </si>
  <si>
    <t>基准地价修正办</t>
    <phoneticPr fontId="16" type="noConversion"/>
  </si>
  <si>
    <t>总价</t>
  </si>
  <si>
    <t>成本比率</t>
  </si>
  <si>
    <t>利息：取LPR加浮动点数</t>
  </si>
  <si>
    <t>地块</t>
    <phoneticPr fontId="3" type="noConversion"/>
  </si>
  <si>
    <t>用途</t>
    <phoneticPr fontId="134" type="noConversion"/>
  </si>
  <si>
    <t>土地面积</t>
    <phoneticPr fontId="3" type="noConversion"/>
  </si>
  <si>
    <t>终止日期</t>
    <phoneticPr fontId="3" type="noConversion"/>
  </si>
  <si>
    <t>出让合同</t>
    <phoneticPr fontId="3" type="noConversion"/>
  </si>
  <si>
    <t>——</t>
    <phoneticPr fontId="3" type="noConversion"/>
  </si>
  <si>
    <t>地价款</t>
  </si>
  <si>
    <t>签订日期</t>
  </si>
  <si>
    <t>地面价</t>
  </si>
  <si>
    <t>宗地坐落</t>
    <phoneticPr fontId="3" type="noConversion"/>
  </si>
  <si>
    <t>郑州市经开区经南十三路以南、经南十四路以北、经开第十七大街以东、经开第十八大街以西</t>
    <phoneticPr fontId="3" type="noConversion"/>
  </si>
  <si>
    <t>楼面价</t>
  </si>
  <si>
    <t>出让宗地面积（平方米）</t>
    <phoneticPr fontId="3" type="noConversion"/>
  </si>
  <si>
    <t>城镇住宅（地下交通服务站）</t>
    <phoneticPr fontId="3" type="noConversion"/>
  </si>
  <si>
    <t>合计</t>
    <phoneticPr fontId="3" type="noConversion"/>
  </si>
  <si>
    <t>7级地</t>
  </si>
  <si>
    <t>补缴</t>
  </si>
  <si>
    <t>补缴面积</t>
  </si>
  <si>
    <t>补缴单价</t>
  </si>
  <si>
    <t>补缴金额</t>
  </si>
  <si>
    <t>交付日期</t>
    <phoneticPr fontId="3" type="noConversion"/>
  </si>
  <si>
    <t>7级地</t>
    <phoneticPr fontId="3" type="noConversion"/>
  </si>
  <si>
    <t>地下仓储</t>
  </si>
  <si>
    <t>出让金/元</t>
    <phoneticPr fontId="3" type="noConversion"/>
  </si>
  <si>
    <t>补缴</t>
    <phoneticPr fontId="3" type="noConversion"/>
  </si>
  <si>
    <t>补缴面积</t>
    <phoneticPr fontId="3" type="noConversion"/>
  </si>
  <si>
    <t>补缴单价</t>
    <phoneticPr fontId="3" type="noConversion"/>
  </si>
  <si>
    <t>补缴金额</t>
    <phoneticPr fontId="3" type="noConversion"/>
  </si>
  <si>
    <t>地下车库</t>
  </si>
  <si>
    <t>地面单价（元/平方米）</t>
    <phoneticPr fontId="3" type="noConversion"/>
  </si>
  <si>
    <t>地下仓储</t>
    <phoneticPr fontId="3" type="noConversion"/>
  </si>
  <si>
    <t>地下商业</t>
  </si>
  <si>
    <t>楼面单价（元/平方米）</t>
    <phoneticPr fontId="3" type="noConversion"/>
  </si>
  <si>
    <t>地下车库</t>
    <phoneticPr fontId="3" type="noConversion"/>
  </si>
  <si>
    <t>合计</t>
  </si>
  <si>
    <t>规划建筑面积（平方米）</t>
    <phoneticPr fontId="3" type="noConversion"/>
  </si>
  <si>
    <t>地下商业</t>
    <phoneticPr fontId="3" type="noConversion"/>
  </si>
  <si>
    <t>规划容积率</t>
  </si>
  <si>
    <t>1＜容积率≤2.5</t>
    <phoneticPr fontId="134" type="noConversion"/>
  </si>
  <si>
    <t>合计</t>
    <phoneticPr fontId="3" type="noConversion"/>
  </si>
  <si>
    <t>约定开工时间</t>
    <phoneticPr fontId="3" type="noConversion"/>
  </si>
  <si>
    <t>约定竣工时间</t>
    <phoneticPr fontId="3" type="noConversion"/>
  </si>
  <si>
    <t>其中商品房</t>
    <phoneticPr fontId="3" type="noConversion"/>
  </si>
  <si>
    <t>保障住户</t>
    <phoneticPr fontId="3" type="noConversion"/>
  </si>
  <si>
    <t>补缴出让金</t>
    <phoneticPr fontId="3" type="noConversion"/>
  </si>
  <si>
    <t>户数</t>
    <phoneticPr fontId="3" type="noConversion"/>
  </si>
  <si>
    <t>总出让金</t>
    <phoneticPr fontId="3" type="noConversion"/>
  </si>
  <si>
    <t>地下车位</t>
    <phoneticPr fontId="3" type="noConversion"/>
  </si>
  <si>
    <t>建筑编号</t>
    <phoneticPr fontId="3" type="noConversion"/>
  </si>
  <si>
    <t>建筑分类</t>
    <phoneticPr fontId="134" type="noConversion"/>
  </si>
  <si>
    <t>总层数</t>
    <phoneticPr fontId="3" type="noConversion"/>
  </si>
  <si>
    <t>规划建筑面积</t>
    <phoneticPr fontId="3" type="noConversion"/>
  </si>
  <si>
    <t>面积合计</t>
    <phoneticPr fontId="3" type="noConversion"/>
  </si>
  <si>
    <t>1#</t>
    <phoneticPr fontId="3" type="noConversion"/>
  </si>
  <si>
    <t>幼儿园</t>
    <phoneticPr fontId="134" type="noConversion"/>
  </si>
  <si>
    <t>高层住宅</t>
    <phoneticPr fontId="3" type="noConversion"/>
  </si>
  <si>
    <t>2#</t>
    <phoneticPr fontId="3" type="noConversion"/>
  </si>
  <si>
    <t>住宅</t>
    <phoneticPr fontId="3" type="noConversion"/>
  </si>
  <si>
    <t>住宅</t>
    <phoneticPr fontId="3" type="noConversion"/>
  </si>
  <si>
    <t>18/-1</t>
    <phoneticPr fontId="3" type="noConversion"/>
  </si>
  <si>
    <t>多层住宅</t>
    <phoneticPr fontId="3" type="noConversion"/>
  </si>
  <si>
    <t>3#</t>
  </si>
  <si>
    <t>23/-1</t>
    <phoneticPr fontId="3" type="noConversion"/>
  </si>
  <si>
    <t>低密度住宅</t>
    <phoneticPr fontId="3" type="noConversion"/>
  </si>
  <si>
    <t>4#</t>
  </si>
  <si>
    <t>住宅</t>
    <phoneticPr fontId="3" type="noConversion"/>
  </si>
  <si>
    <t>32/-1</t>
    <phoneticPr fontId="3" type="noConversion"/>
  </si>
  <si>
    <t>商业</t>
    <phoneticPr fontId="3" type="noConversion"/>
  </si>
  <si>
    <t>5#</t>
  </si>
  <si>
    <t>住宅</t>
    <phoneticPr fontId="3" type="noConversion"/>
  </si>
  <si>
    <t>32/-1</t>
    <phoneticPr fontId="3" type="noConversion"/>
  </si>
  <si>
    <t>配套</t>
    <phoneticPr fontId="3" type="noConversion"/>
  </si>
  <si>
    <t>6#</t>
  </si>
  <si>
    <t>其他辅助配套设施</t>
    <phoneticPr fontId="3" type="noConversion"/>
  </si>
  <si>
    <t>设备</t>
    <phoneticPr fontId="3" type="noConversion"/>
  </si>
  <si>
    <t>7#</t>
  </si>
  <si>
    <t>4/-1</t>
    <phoneticPr fontId="3" type="noConversion"/>
  </si>
  <si>
    <t>地下车库</t>
    <phoneticPr fontId="3" type="noConversion"/>
  </si>
  <si>
    <t>8#</t>
  </si>
  <si>
    <t>其他辅助配套设施</t>
    <phoneticPr fontId="3" type="noConversion"/>
  </si>
  <si>
    <t>9#</t>
  </si>
  <si>
    <t>住宅</t>
    <phoneticPr fontId="3" type="noConversion"/>
  </si>
  <si>
    <t>32/-1</t>
    <phoneticPr fontId="3" type="noConversion"/>
  </si>
  <si>
    <t>10#</t>
  </si>
  <si>
    <t>18/-1</t>
    <phoneticPr fontId="3" type="noConversion"/>
  </si>
  <si>
    <t>11#</t>
  </si>
  <si>
    <t>12#</t>
  </si>
  <si>
    <t>13#</t>
  </si>
  <si>
    <t>14#</t>
  </si>
  <si>
    <t>15#</t>
  </si>
  <si>
    <t>16#</t>
  </si>
  <si>
    <t>23/-1</t>
    <phoneticPr fontId="3" type="noConversion"/>
  </si>
  <si>
    <t>17#</t>
  </si>
  <si>
    <t>33/-1</t>
    <phoneticPr fontId="3" type="noConversion"/>
  </si>
  <si>
    <t>18#</t>
  </si>
  <si>
    <t>19#</t>
  </si>
  <si>
    <t>20#</t>
  </si>
  <si>
    <t>商业</t>
    <phoneticPr fontId="3" type="noConversion"/>
  </si>
  <si>
    <t>商业</t>
    <phoneticPr fontId="3" type="noConversion"/>
  </si>
  <si>
    <t>地下车库</t>
    <phoneticPr fontId="3" type="noConversion"/>
  </si>
  <si>
    <t>地下车库</t>
    <phoneticPr fontId="3" type="noConversion"/>
  </si>
  <si>
    <t>总计</t>
    <phoneticPr fontId="3" type="noConversion"/>
  </si>
  <si>
    <t>80号地块项目</t>
  </si>
  <si>
    <t>规划指标</t>
  </si>
  <si>
    <t>序号</t>
  </si>
  <si>
    <t>项目</t>
  </si>
  <si>
    <t>单位</t>
  </si>
  <si>
    <t>数量</t>
  </si>
  <si>
    <t>备注</t>
  </si>
  <si>
    <t>出让用地面积</t>
  </si>
  <si>
    <t>㎡</t>
  </si>
  <si>
    <t>其中：居住用地</t>
  </si>
  <si>
    <t xml:space="preserve">      科教用地</t>
  </si>
  <si>
    <t>幼儿园</t>
  </si>
  <si>
    <t>容积率</t>
  </si>
  <si>
    <t>地上建筑面积</t>
  </si>
  <si>
    <t>其中：计容建筑面积</t>
  </si>
  <si>
    <t xml:space="preserve">      不计容建筑面积</t>
  </si>
  <si>
    <t>其中：销售物业</t>
  </si>
  <si>
    <t xml:space="preserve">      配套和移交物业</t>
  </si>
  <si>
    <t>可售
物业</t>
  </si>
  <si>
    <t>高层</t>
  </si>
  <si>
    <t>多层洋房、小高层组合</t>
  </si>
  <si>
    <t>小高层</t>
  </si>
  <si>
    <t>底商（可售）</t>
  </si>
  <si>
    <t>占总计容面积比例1%-3%</t>
  </si>
  <si>
    <t>其它</t>
  </si>
  <si>
    <t>配套
物业</t>
  </si>
  <si>
    <t>竞得后2年内建成竣工，后无偿移交教育部门</t>
  </si>
  <si>
    <t>中小学</t>
  </si>
  <si>
    <t>社区配套</t>
  </si>
  <si>
    <t>社区服务用房</t>
  </si>
  <si>
    <t>按每100户20平米计算（地块一内须配建社区工作用房总建筑面积不得少于300㎡）</t>
  </si>
  <si>
    <t>物业管理用房</t>
  </si>
  <si>
    <t>按总建筑面积的0.2%计算</t>
  </si>
  <si>
    <t>居委会</t>
  </si>
  <si>
    <t>老年康体中心</t>
  </si>
  <si>
    <t>变电站</t>
  </si>
  <si>
    <t>门卫</t>
  </si>
  <si>
    <t>地上不计容建筑面积</t>
  </si>
  <si>
    <t>代建道路</t>
  </si>
  <si>
    <t>公共配套设施</t>
  </si>
  <si>
    <t>S地块绿化公园内，无偿移交政府</t>
  </si>
  <si>
    <t>过街天桥</t>
  </si>
  <si>
    <t>座</t>
  </si>
  <si>
    <t>开闭所</t>
  </si>
  <si>
    <t>地上机动车位数</t>
  </si>
  <si>
    <t>个</t>
  </si>
  <si>
    <t>四环以外项目地面停车位按照总停车位的10%考虑</t>
  </si>
  <si>
    <t>地下机动车位数</t>
  </si>
  <si>
    <t>住宅1.2/100+商业0.6/100</t>
  </si>
  <si>
    <t>销售
物业
配套
车位</t>
  </si>
  <si>
    <t>人防地下车位</t>
  </si>
  <si>
    <t>非人防地下车位</t>
  </si>
  <si>
    <t>小计</t>
  </si>
  <si>
    <t>配套车位</t>
  </si>
  <si>
    <t>配建大巴车位（按普通车位折算）</t>
  </si>
  <si>
    <t>配建访客车位</t>
  </si>
  <si>
    <t>地下非机动停车位</t>
  </si>
  <si>
    <t>地下室面积</t>
  </si>
  <si>
    <t>销售
物业
地下室
面积</t>
  </si>
  <si>
    <t>人防地下室</t>
  </si>
  <si>
    <t>非人防地下室</t>
  </si>
  <si>
    <t>非机动停车库</t>
  </si>
  <si>
    <t>当无法准确按物业区分时，统一分摊至可售住宅面积估算</t>
  </si>
  <si>
    <t>赠送地下面积</t>
  </si>
  <si>
    <t>联排赠送面积地下室</t>
  </si>
  <si>
    <t>初步按地上计容的20%做赠送</t>
  </si>
  <si>
    <t>商墅赠送面积地下室</t>
  </si>
  <si>
    <t>地下配建面积</t>
  </si>
  <si>
    <t>公共停车场</t>
  </si>
  <si>
    <t>S地块地下，旅游大巴</t>
  </si>
  <si>
    <t>S地块地下，地下雨水泵站</t>
  </si>
  <si>
    <t>S地块地下，地下污水泵站</t>
  </si>
  <si>
    <t>总建筑面积</t>
  </si>
  <si>
    <t>其他：</t>
  </si>
  <si>
    <t>郑州市</t>
  </si>
  <si>
    <t>河南省</t>
    <phoneticPr fontId="6" type="noConversion"/>
  </si>
  <si>
    <t>郑州市经开区</t>
    <phoneticPr fontId="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</si>
  <si>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</si>
  <si>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</si>
  <si>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</si>
  <si>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</si>
  <si>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</si>
  <si>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</si>
  <si>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</si>
  <si>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</si>
  <si>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</si>
  <si>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</si>
  <si>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</si>
  <si>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</si>
  <si>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</si>
  <si>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</si>
  <si>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</si>
  <si>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</si>
  <si>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</si>
  <si>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</si>
  <si>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</si>
  <si>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经开第十三大街西、经南十一路南</t>
  </si>
  <si>
    <t>郑政经开出〔2022〕013号(网)</t>
  </si>
  <si>
    <t xml:space="preserve"> 住宅用地</t>
  </si>
  <si>
    <t xml:space="preserve"> &gt;1.0,&lt;2.0</t>
  </si>
  <si>
    <t xml:space="preserve"> 挂牌</t>
  </si>
  <si>
    <t xml:space="preserve"> 城镇住宅(地下交通服务场站用地);</t>
  </si>
  <si>
    <t xml:space="preserve">2022年第2批次 </t>
  </si>
  <si>
    <t xml:space="preserve"> 已成交</t>
  </si>
  <si>
    <t xml:space="preserve"> 郑州经开投资发展  </t>
  </si>
  <si>
    <t>2022-09-19 17:00</t>
  </si>
  <si>
    <t>经开第十四大街以东、经南十三路以南、经开第十五大街以西、经南十四路以北</t>
  </si>
  <si>
    <t>郑政经开出〔2022〕012号(网)</t>
  </si>
  <si>
    <t xml:space="preserve"> &gt;1.0,&lt;2.5</t>
  </si>
  <si>
    <t xml:space="preserve"> 中建七局地产集团有限公司  </t>
  </si>
  <si>
    <t>经开第二十七大街以东、经南四路以北</t>
  </si>
  <si>
    <t>郑政经开出[2021]015号(网)</t>
  </si>
  <si>
    <t xml:space="preserve"> &gt;1.0,&lt;3.0</t>
  </si>
  <si>
    <t xml:space="preserve"> 城镇住宅(地下交通服务场站用地)</t>
  </si>
  <si>
    <t xml:space="preserve">2021年第1批次 </t>
  </si>
  <si>
    <t xml:space="preserve"> 郑州开创房地产有限公司  </t>
  </si>
  <si>
    <t>2021-06-01 17:00</t>
  </si>
  <si>
    <t>经开第二十七大街以西、经南四路以南</t>
  </si>
  <si>
    <t>郑政经开出[2021]011号(网)</t>
  </si>
  <si>
    <t>经开第二十七大街以东、经南三路以南</t>
  </si>
  <si>
    <t>郑政经开出[2021]016号(网)</t>
  </si>
  <si>
    <t>经开第五大街以西、南三环以北、经开第四大街以东、经南六路以南</t>
  </si>
  <si>
    <t>郑政经开出[2021]009号(网)</t>
  </si>
  <si>
    <t xml:space="preserve"> 北京凯茂置业有限公司  </t>
  </si>
  <si>
    <t>经开第二十六大街以西、经南四路以北</t>
  </si>
  <si>
    <t>郑政经开出[2021]013号(网)</t>
  </si>
  <si>
    <t xml:space="preserve"> &gt;1.0,&lt;3.5</t>
  </si>
  <si>
    <t>经开第二十六大街以西、经南四路以南</t>
  </si>
  <si>
    <t>郑政经开出[2021]012号(网)</t>
  </si>
  <si>
    <t>经开第二十七大街以西、经南四路以北</t>
  </si>
  <si>
    <t>郑政经开出[2021]014号(网)</t>
  </si>
  <si>
    <t>经开区经开第六大街以东、经北二路以南</t>
  </si>
  <si>
    <t>郑政经开出[2020]028号(网)</t>
  </si>
  <si>
    <t xml:space="preserve"> 综合用地(含住宅)</t>
  </si>
  <si>
    <t xml:space="preserve"> &gt;1.0, &lt;3.0</t>
  </si>
  <si>
    <t xml:space="preserve">-- </t>
  </si>
  <si>
    <t xml:space="preserve"> 郑州保利亨业房地产开发有限公司  </t>
  </si>
  <si>
    <t>2020-09-23 17:00</t>
  </si>
  <si>
    <t>经南十二路以北、经开第十八大街以东</t>
  </si>
  <si>
    <t>郑政经开出[2019]022号(网)</t>
  </si>
  <si>
    <t xml:space="preserve"> 中交地产股份有限公司  </t>
  </si>
  <si>
    <t>2020-02-11 17:00</t>
  </si>
  <si>
    <t>经南十二路以北、经开第十九大街以西</t>
  </si>
  <si>
    <t>郑政经开出[2019]023号(网)</t>
  </si>
  <si>
    <t>经开区经北三路以南、传媒路以西</t>
  </si>
  <si>
    <t>郑政经开出[2019]025号(网)</t>
  </si>
  <si>
    <t>2020-01-06 17:00</t>
  </si>
  <si>
    <t>经北五路以北、传媒路以西</t>
  </si>
  <si>
    <t>郑政经开出[2019]026号(网)</t>
  </si>
  <si>
    <t xml:space="preserve"> 北京润置商业运营管理有限公司  </t>
  </si>
  <si>
    <t>岔河西路以东、经北五路以南</t>
  </si>
  <si>
    <t>郑政经开出[2019]024号(网)</t>
  </si>
  <si>
    <t>经南八路以南、经开第三十五大街以东、经南九路以北、经开第三十六大街以西</t>
  </si>
  <si>
    <t>郑政经开出[2019]030号(网)</t>
  </si>
  <si>
    <t xml:space="preserve"> 郑州经开投资发展有限公司  </t>
  </si>
  <si>
    <t>2019-12-16 17:00</t>
  </si>
  <si>
    <t>经南八路以南、经开第三十五大街以西、经南九路以北、经开第三十四大街以东</t>
  </si>
  <si>
    <t>郑政经开出[2019]029号(网)</t>
  </si>
  <si>
    <t>经南十三路以南、经南十四路以北、经开第十七大街以东</t>
  </si>
  <si>
    <t>郑政出 〔2019〕 80号(网)</t>
  </si>
  <si>
    <t xml:space="preserve"> &gt;1.0, &lt;2.5</t>
  </si>
  <si>
    <t xml:space="preserve"> 招标</t>
  </si>
  <si>
    <t xml:space="preserve"> 郑州铧茂创盛置业有限公司  </t>
  </si>
  <si>
    <t>2019-12-10 17:00</t>
  </si>
  <si>
    <t>凌云路以北、宇龙街(规划路名白石东街)以东、朗星路以南</t>
  </si>
  <si>
    <t>郑政经开出[2019]020号(网)</t>
  </si>
  <si>
    <t xml:space="preserve"> 郑州隽城房地产开发有限公司  </t>
  </si>
  <si>
    <t>2019-11-11 17:00</t>
  </si>
  <si>
    <t>朗星路以南、龙善街以西、美辰路以北、龙真街以东</t>
  </si>
  <si>
    <t>郑政经开出[2019]021号(网)</t>
  </si>
  <si>
    <t xml:space="preserve"> 郑州兴瑞大宗商品供应链产业园有限公司  </t>
  </si>
  <si>
    <t>兰心东路以南、碧泉街以东、浔江东路以北、蓝湖街以西</t>
  </si>
  <si>
    <t>郑政经开出[2019]017号(网)</t>
  </si>
  <si>
    <t>2019-10-29 17:00</t>
  </si>
  <si>
    <t>朗星路以南、龙美街以西、美辰路以北、龙善街以东</t>
  </si>
  <si>
    <t>郑政经开出[2019]019号(网)</t>
  </si>
  <si>
    <t xml:space="preserve"> 河南英地置业有限公司  </t>
  </si>
  <si>
    <t>朗星路以南、龙美街以东、美辰路以北、前程大道以西</t>
  </si>
  <si>
    <t>郑政经开出[2019]018号(网)</t>
  </si>
  <si>
    <t xml:space="preserve"> 河南新图腾置业有限公司  </t>
  </si>
  <si>
    <t>郑政经开出[2019]016号(网)</t>
  </si>
  <si>
    <t>经开第十六大街东、经南十三路北</t>
  </si>
  <si>
    <t>郑政出〔2018〕168号(网)</t>
  </si>
  <si>
    <t xml:space="preserve"> &gt;1.0、&lt;2.0</t>
  </si>
  <si>
    <t xml:space="preserve"> 城镇住宅(地下交通服务场站、人防设施)</t>
  </si>
  <si>
    <t xml:space="preserve"> 河南锦江置业有限公司  </t>
  </si>
  <si>
    <t>经南十四路以南、经开第十五大街东</t>
  </si>
  <si>
    <t>郑政出〔2018〕169号(网)</t>
  </si>
  <si>
    <t xml:space="preserve"> &gt;1.0、&lt;2.5</t>
  </si>
  <si>
    <t xml:space="preserve"> 城镇住宅(地下交通服务场站)</t>
  </si>
  <si>
    <t xml:space="preserve"> 郑州绿博文创置业有限公司  </t>
  </si>
  <si>
    <t>经南十一路以南、经南十二路以北、经开第十七大街以东</t>
  </si>
  <si>
    <t>郑政经开出(2017)075号</t>
  </si>
  <si>
    <t xml:space="preserve"> &gt;1且&lt;2.5</t>
  </si>
  <si>
    <t xml:space="preserve"> 城镇住宅兼容商业用地</t>
  </si>
  <si>
    <t xml:space="preserve"> 金地集团武汉房地产开发有限公司  </t>
  </si>
  <si>
    <t>经南十四路以南、经南十五路以北、经开第十六大街以东、经开第十七大街以西</t>
  </si>
  <si>
    <t>郑政经开出(2017)085号(网)</t>
  </si>
  <si>
    <t xml:space="preserve"> 其他普通商品住房用地</t>
  </si>
  <si>
    <t xml:space="preserve"> 河南泛悦置业有限公司  </t>
  </si>
  <si>
    <t>经南十三路以南、经南十四路以北、经开第十六大街以东、经开第十七大街以西</t>
  </si>
  <si>
    <t>郑政经开出(2017)084号(网)</t>
  </si>
  <si>
    <t xml:space="preserve"> 西安金辉兴业房地产开发有限公司  </t>
  </si>
  <si>
    <t>经开第十七大街以西、经北四路以南</t>
  </si>
  <si>
    <t>郑政经开出﹝2017﹞033号</t>
  </si>
  <si>
    <t xml:space="preserve"> &gt;1且&lt;4</t>
  </si>
  <si>
    <t xml:space="preserve"> 住宅,商业</t>
  </si>
  <si>
    <t xml:space="preserve"> 河南兴汉正商置业有限公司  </t>
  </si>
  <si>
    <t>经开第十七大街以西、经北一路以北</t>
  </si>
  <si>
    <t>郑政经开出(2017)034号(网)</t>
  </si>
  <si>
    <t xml:space="preserve"> &gt;1且&lt;3</t>
  </si>
  <si>
    <t xml:space="preserve"> 河南林盟置业有限公司  </t>
  </si>
  <si>
    <t>经开第十九大街以东、经南九路以南、四港联动大道以西、经南十路以北</t>
  </si>
  <si>
    <t>郑政经开出〔2017〕023号(网)</t>
  </si>
  <si>
    <t xml:space="preserve"> 福清融侨置业有限公司  </t>
  </si>
  <si>
    <t>经南八路南、经南九路北、经开第十九大街东、四港联动大道西</t>
  </si>
  <si>
    <t>郑政经开出〔2017〕032号(网)</t>
  </si>
  <si>
    <t xml:space="preserve"> 北京中海广场置业有限公司  </t>
  </si>
  <si>
    <t>经南八北一路以南、经南八路以北、经开第十九大街以东、四港联动大道以西</t>
  </si>
  <si>
    <t>郑政经开出〔2017〕031号(网)</t>
  </si>
  <si>
    <t xml:space="preserve"> 北京中信新城逸海房地产开发有限公司  </t>
  </si>
  <si>
    <t>凤栖街(规划路名凤凰大街)以东、安达路(规划路名九曲一街)以北、九曲路以西</t>
  </si>
  <si>
    <t>郑政经开出[2017]26号</t>
  </si>
  <si>
    <t xml:space="preserve"> 城镇住宅用地</t>
  </si>
  <si>
    <t xml:space="preserve"> 郑州万科房地产有限公司  </t>
  </si>
  <si>
    <t>凤栖街(规划路名凤凰大街)以东、安达路(规划路名九曲一街)以南、航海东路(规划路名航海大道)以北</t>
  </si>
  <si>
    <t>郑政经开出[2017]24号</t>
  </si>
  <si>
    <t xml:space="preserve"> &gt;1且&lt;3.5</t>
  </si>
  <si>
    <t xml:space="preserve"> 武汉金地慧谷置业有限公司  </t>
  </si>
  <si>
    <t>安达路(规划路名九曲一街)以南、九曲路以西、航海东路(规划路名航海大道)以北</t>
  </si>
  <si>
    <t>郑政经开出[2017]25号</t>
  </si>
  <si>
    <t xml:space="preserve"> 平顶山广鹰置业有限公司  </t>
  </si>
  <si>
    <t>经开第一大街西、航海东路南</t>
  </si>
  <si>
    <t>郑政经开出(2016)026(网)</t>
  </si>
  <si>
    <t xml:space="preserve"> &gt;1且&lt;4.5</t>
  </si>
  <si>
    <t xml:space="preserve"> 批发零售、住宿餐饮用地兼容商务金融、城镇住宅用地</t>
  </si>
  <si>
    <t xml:space="preserve"> 福建宏辉房地产开发有限公司  </t>
  </si>
  <si>
    <t>经开第七大街东、经北二路北</t>
  </si>
  <si>
    <t>郑政经开出(2016)028号</t>
  </si>
  <si>
    <t xml:space="preserve"> 北京华润曙光房地产开发有限公司  </t>
  </si>
  <si>
    <t>经开第十八大街以东、经开第十九大街以西、经南九路以南、经南十路以北</t>
  </si>
  <si>
    <t>郑政经开出[2016]005号(网)</t>
  </si>
  <si>
    <t xml:space="preserve"> &gt;1且&lt;2</t>
  </si>
  <si>
    <t xml:space="preserve"> 河南中联创房地产开发有限公司  </t>
  </si>
  <si>
    <t>经开第十九大街以东、四港联动大道以西、经南十一路以南、经南十二路以北</t>
  </si>
  <si>
    <t>郑政经开出[2016]006号</t>
  </si>
  <si>
    <t xml:space="preserve"> 郑州鑫茂房地产开发有限公司  </t>
  </si>
  <si>
    <t>经开第十七大街以东、经开第十八大街以西、经南十二路以南、经南十三路以北</t>
  </si>
  <si>
    <t>郑政经开出[2016]004号</t>
  </si>
  <si>
    <t xml:space="preserve"> 郑州河海置业有限公司  </t>
  </si>
  <si>
    <t>经开第一大街以东、经北二路以北</t>
  </si>
  <si>
    <t>郑政经开出(2015)042号(网)</t>
  </si>
  <si>
    <t xml:space="preserve"> 河南碧桂园置业有限公司  </t>
  </si>
  <si>
    <t>经开第十八大街以西、经南十一路以南、经南十二路以北</t>
  </si>
  <si>
    <t>郑政经开出[2015]041号(网)</t>
  </si>
  <si>
    <t xml:space="preserve"> 海马投资集团有限公司  </t>
  </si>
  <si>
    <t>经开第十八大街以东、经南十一路以南</t>
  </si>
  <si>
    <t>郑政经开出[2015]039号(网)</t>
  </si>
  <si>
    <t xml:space="preserve"> 河南绿地陆港置业有限公司  </t>
  </si>
  <si>
    <t>经开第十九大街以西,经南十一路以南</t>
  </si>
  <si>
    <t>郑政经开出[2015]040号(网)</t>
  </si>
  <si>
    <t>经开第十八大街以东、经南八北一路以南、经开第十九大街以西</t>
  </si>
  <si>
    <t>郑政经开出(2015)036号(网)</t>
  </si>
  <si>
    <t>龙美街以西、嬉雨路以北;</t>
  </si>
  <si>
    <t>郑政经开出[2015]051号(牟政出[2015]42号)</t>
  </si>
  <si>
    <t xml:space="preserve"> 大于1并且小于3.5</t>
  </si>
  <si>
    <t xml:space="preserve"> 郑州同润置业有限公司  </t>
  </si>
  <si>
    <t>龙美街以东、嬉雨路以北</t>
  </si>
  <si>
    <t>郑政经开出[2015]050号(牟政出[2015]41号)</t>
  </si>
  <si>
    <t>龙美街以西、嬉雨路以南、龙善街以东、朗星路以北;</t>
  </si>
  <si>
    <t>郑政经开出[2015]053号(牟政出[2015]44号)</t>
  </si>
  <si>
    <t>住宅</t>
  </si>
  <si>
    <t>住宅</t>
    <phoneticPr fontId="30" type="noConversion"/>
  </si>
  <si>
    <t>规证</t>
    <phoneticPr fontId="134" type="noConversion"/>
  </si>
  <si>
    <t>32/-1</t>
    <phoneticPr fontId="3" type="noConversion"/>
  </si>
  <si>
    <t>物业用房</t>
    <phoneticPr fontId="3" type="noConversion"/>
  </si>
  <si>
    <t>设备及其他用房</t>
    <phoneticPr fontId="3" type="noConversion"/>
  </si>
  <si>
    <t>公共配套</t>
    <phoneticPr fontId="3" type="noConversion"/>
  </si>
  <si>
    <t>34/-1</t>
    <phoneticPr fontId="3" type="noConversion"/>
  </si>
  <si>
    <t>23/-1</t>
    <phoneticPr fontId="3" type="noConversion"/>
  </si>
  <si>
    <t>人防工程</t>
    <phoneticPr fontId="3" type="noConversion"/>
  </si>
  <si>
    <t>18/-1</t>
    <phoneticPr fontId="3" type="noConversion"/>
  </si>
  <si>
    <t>地下车库</t>
    <phoneticPr fontId="3" type="noConversion"/>
  </si>
  <si>
    <t>合计</t>
    <phoneticPr fontId="3" type="noConversion"/>
  </si>
  <si>
    <t>已售</t>
    <phoneticPr fontId="3" type="noConversion"/>
  </si>
  <si>
    <t>物业用房</t>
    <phoneticPr fontId="3" type="noConversion"/>
  </si>
  <si>
    <t>人防用房</t>
    <phoneticPr fontId="3" type="noConversion"/>
  </si>
  <si>
    <t>独栋</t>
  </si>
  <si>
    <t>平层住宅</t>
  </si>
  <si>
    <t>地下</t>
  </si>
  <si>
    <t>住宅</t>
    <phoneticPr fontId="7" type="noConversion"/>
  </si>
  <si>
    <t>商业</t>
    <phoneticPr fontId="7" type="noConversion"/>
  </si>
  <si>
    <t>地下车库</t>
    <phoneticPr fontId="7" type="noConversion"/>
  </si>
  <si>
    <t>较差</t>
  </si>
  <si>
    <t>收益法</t>
  </si>
  <si>
    <t>收益法车</t>
  </si>
  <si>
    <t>收益法车</t>
    <phoneticPr fontId="16" type="noConversion"/>
  </si>
  <si>
    <t>押一</t>
  </si>
  <si>
    <t>面积</t>
    <phoneticPr fontId="3" type="noConversion"/>
  </si>
  <si>
    <t>3幼儿园</t>
    <phoneticPr fontId="3" type="noConversion"/>
  </si>
  <si>
    <t>工程进度</t>
    <phoneticPr fontId="3" type="noConversion"/>
  </si>
  <si>
    <t>假设开发法</t>
  </si>
  <si>
    <t>工程进度/成新度</t>
  </si>
  <si>
    <t>七通</t>
  </si>
  <si>
    <t>六通</t>
  </si>
  <si>
    <t>五通</t>
  </si>
  <si>
    <t>四通</t>
  </si>
  <si>
    <t>三通</t>
  </si>
  <si>
    <t>好</t>
  </si>
  <si>
    <t>差</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</si>
  <si>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商圈，周边商业氛围成熟，人流量大，商业繁华度一般</t>
    </r>
    <phoneticPr fontId="24" type="noConversion"/>
  </si>
  <si>
    <t>估价对象周边道路状况、公共交通通达情况、停车便捷程度，综合评价交通便捷度一般</t>
    <phoneticPr fontId="40" type="noConversion"/>
  </si>
  <si>
    <t>估价对象所在区域公共配套设施齐备情况一般</t>
    <phoneticPr fontId="40" type="noConversion"/>
  </si>
  <si>
    <t>项目模式</t>
  </si>
  <si>
    <t>售价</t>
  </si>
  <si>
    <t>60-70（含）</t>
  </si>
  <si>
    <t>50-60（含）</t>
  </si>
  <si>
    <t>40-50（含）</t>
  </si>
  <si>
    <t>30-40（含）</t>
  </si>
  <si>
    <t>20-30（含）</t>
  </si>
  <si>
    <t>10-20（含）</t>
  </si>
  <si>
    <t>0-10（含）</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</si>
  <si>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</si>
  <si>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</si>
  <si>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</si>
  <si>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</si>
  <si>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</si>
  <si>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</si>
  <si>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</si>
  <si>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</si>
  <si>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</si>
  <si>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</si>
  <si>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</si>
  <si>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</si>
  <si>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</si>
  <si>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</si>
  <si>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</si>
  <si>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正常</t>
  </si>
  <si>
    <t>住宅</t>
    <phoneticPr fontId="24" type="noConversion"/>
  </si>
  <si>
    <t>风神花园</t>
    <phoneticPr fontId="3" type="noConversion"/>
  </si>
  <si>
    <t>精装</t>
  </si>
  <si>
    <t>专业</t>
  </si>
  <si>
    <t>毛坯</t>
  </si>
  <si>
    <t>已包含在土地取得成本中</t>
  </si>
  <si>
    <t>未包含在土地购买价格中</t>
  </si>
  <si>
    <t>全部缴纳</t>
  </si>
  <si>
    <t>已全部缴纳</t>
  </si>
  <si>
    <t>泷悦华庭</t>
    <phoneticPr fontId="3" type="noConversion"/>
  </si>
  <si>
    <t>中建观湖国际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</si>
</sst>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 numFmtId="198" formatCode="&quot;按计容面积计，占比为&quot;#.#%"/>
    <numFmt numFmtId="199" formatCode="&quot;按计容面积计，占比为&quot;0.#%"/>
    <numFmt numFmtId="200" formatCode="\ \ #"/>
    <numFmt numFmtId="201" formatCode="#.0&quot;个/100㎡&quot;\ "/>
    <numFmt numFmtId="202" formatCode="0.0&quot;个/户&quot;\ "/>
    <numFmt numFmtId="203" formatCode="#.#&quot;个/户&quot;\ "/>
    <numFmt numFmtId="204" formatCode="0.0&quot;个/100㎡&quot;\ "/>
    <numFmt numFmtId="205" formatCode="#.0&quot;个/100平方米&quot;\ "/>
    <numFmt numFmtId="206" formatCode="#,##0_ ;[Red]\-#,##0\ "/>
    <numFmt numFmtId="207" formatCode="&quot;按&quot;#&quot;㎡/个车位计算地下建筑面积 &quot;"/>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
      <b/>
      <sz val="14"/>
      <name val="宋体"/>
      <family val="3"/>
      <charset val="134"/>
    </font>
    <font>
      <sz val="10"/>
      <color rgb="FF0000FF"/>
      <name val="宋体"/>
      <family val="3"/>
      <charset val="134"/>
    </font>
    <font>
      <sz val="10"/>
      <color rgb="FFC00000"/>
      <name val="宋体"/>
      <family val="3"/>
      <charset val="134"/>
    </font>
    <font>
      <sz val="10"/>
      <color rgb="FF000000"/>
      <name val="微软雅黑"/>
      <family val="2"/>
      <charset val="134"/>
    </font>
    <font>
      <b/>
      <sz val="9"/>
      <name val="宋体"/>
      <family val="3"/>
      <charset val="134"/>
    </font>
    <font>
      <sz val="10"/>
      <name val="微软雅黑"/>
      <family val="2"/>
      <charset val="134"/>
    </font>
    <font>
      <sz val="12"/>
      <name val="微软雅黑"/>
      <family val="2"/>
      <charset val="134"/>
    </font>
    <font>
      <sz val="10.5"/>
      <name val="Times New Roman"/>
      <family val="1"/>
    </font>
    <font>
      <sz val="14"/>
      <color rgb="FF000000"/>
      <name val="华文细黑"/>
      <family val="3"/>
      <charset val="134"/>
    </font>
    <font>
      <sz val="11"/>
      <color indexed="22"/>
      <name val="宋体"/>
      <family val="3"/>
      <charset val="134"/>
    </font>
    <font>
      <sz val="11"/>
      <color indexed="8"/>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bgColor indexed="64"/>
      </patternFill>
    </fill>
    <fill>
      <patternFill patternType="solid">
        <fgColor theme="3" tint="-0.249977111117893"/>
        <bgColor indexed="64"/>
      </patternFill>
    </fill>
    <fill>
      <patternFill patternType="solid">
        <fgColor theme="4" tint="0.799859614856410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cellStyleXfs>
  <cellXfs count="40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36" fillId="0" borderId="0" xfId="19"/>
    <xf numFmtId="0" fontId="270" fillId="0" borderId="0" xfId="19" applyFont="1" applyAlignment="1">
      <alignment horizontal="left"/>
    </xf>
    <xf numFmtId="0" fontId="271" fillId="0" borderId="1" xfId="19" applyFont="1" applyBorder="1" applyAlignment="1">
      <alignment horizontal="left"/>
    </xf>
    <xf numFmtId="0" fontId="36" fillId="0" borderId="0" xfId="19" applyFill="1"/>
    <xf numFmtId="0" fontId="36" fillId="0" borderId="0" xfId="19" applyFill="1" applyBorder="1" applyAlignment="1">
      <alignment horizontal="left"/>
    </xf>
    <xf numFmtId="0" fontId="36" fillId="0" borderId="0" xfId="19" applyFill="1" applyBorder="1"/>
    <xf numFmtId="0" fontId="272" fillId="23" borderId="0" xfId="10" applyFont="1" applyFill="1" applyBorder="1" applyAlignment="1">
      <alignment horizontal="left" vertical="center"/>
    </xf>
    <xf numFmtId="0" fontId="273" fillId="23" borderId="0" xfId="10" applyFont="1" applyFill="1" applyBorder="1" applyAlignment="1">
      <alignment horizontal="left" vertical="center"/>
    </xf>
    <xf numFmtId="0" fontId="271" fillId="0" borderId="1" xfId="19" applyFont="1" applyBorder="1" applyAlignment="1">
      <alignment horizontal="right"/>
    </xf>
    <xf numFmtId="14" fontId="271" fillId="0" borderId="1" xfId="19" applyNumberFormat="1" applyFont="1" applyBorder="1" applyAlignment="1">
      <alignment horizontal="right"/>
    </xf>
    <xf numFmtId="2" fontId="274" fillId="3" borderId="23" xfId="10" applyNumberFormat="1" applyFont="1" applyFill="1" applyBorder="1" applyAlignment="1">
      <alignment horizontal="left" vertical="center"/>
    </xf>
    <xf numFmtId="14" fontId="274" fillId="3" borderId="24" xfId="10" applyNumberFormat="1" applyFont="1" applyFill="1" applyBorder="1" applyAlignment="1">
      <alignment horizontal="right" vertical="center"/>
    </xf>
    <xf numFmtId="0" fontId="36" fillId="0" borderId="0" xfId="19" applyFill="1" applyAlignment="1">
      <alignment horizontal="left"/>
    </xf>
    <xf numFmtId="0" fontId="36" fillId="5" borderId="0" xfId="19" applyFont="1" applyFill="1" applyAlignment="1">
      <alignment horizontal="left"/>
    </xf>
    <xf numFmtId="0" fontId="36" fillId="5" borderId="0" xfId="19" applyFill="1" applyAlignment="1">
      <alignment horizontal="left"/>
    </xf>
    <xf numFmtId="0" fontId="36" fillId="0" borderId="0" xfId="19" applyAlignment="1">
      <alignment horizontal="left"/>
    </xf>
    <xf numFmtId="0" fontId="271" fillId="0" borderId="0" xfId="19" applyFont="1" applyAlignment="1">
      <alignment horizontal="left"/>
    </xf>
    <xf numFmtId="0" fontId="274" fillId="3" borderId="23" xfId="10" applyFont="1" applyFill="1" applyBorder="1" applyAlignment="1">
      <alignment horizontal="left" vertical="center"/>
    </xf>
    <xf numFmtId="0" fontId="274" fillId="3" borderId="24" xfId="10" applyFont="1" applyFill="1" applyBorder="1" applyAlignment="1">
      <alignment horizontal="left" vertical="center" wrapText="1"/>
    </xf>
    <xf numFmtId="0" fontId="274" fillId="3" borderId="24" xfId="10" applyFont="1" applyFill="1" applyBorder="1" applyAlignment="1">
      <alignment horizontal="right" vertical="center"/>
    </xf>
    <xf numFmtId="0" fontId="275" fillId="0" borderId="1" xfId="19" applyFont="1" applyBorder="1" applyAlignment="1">
      <alignment horizontal="left"/>
    </xf>
    <xf numFmtId="0" fontId="276" fillId="0" borderId="1" xfId="19" applyFont="1" applyBorder="1" applyAlignment="1">
      <alignment horizontal="right"/>
    </xf>
    <xf numFmtId="0" fontId="0" fillId="0" borderId="0" xfId="19" applyFont="1" applyAlignment="1">
      <alignment horizontal="left"/>
    </xf>
    <xf numFmtId="2" fontId="274" fillId="5" borderId="23" xfId="10" applyNumberFormat="1" applyFont="1" applyFill="1" applyBorder="1" applyAlignment="1">
      <alignment horizontal="left" vertical="center"/>
    </xf>
    <xf numFmtId="0" fontId="274" fillId="5" borderId="24" xfId="10" applyNumberFormat="1" applyFont="1" applyFill="1" applyBorder="1" applyAlignment="1">
      <alignment horizontal="right" vertical="center"/>
    </xf>
    <xf numFmtId="2" fontId="274" fillId="7" borderId="24" xfId="10" applyNumberFormat="1" applyFont="1" applyFill="1" applyBorder="1" applyAlignment="1">
      <alignment horizontal="right" vertical="center"/>
    </xf>
    <xf numFmtId="0" fontId="19" fillId="0" borderId="0" xfId="19" applyFont="1" applyAlignment="1">
      <alignment horizontal="left"/>
    </xf>
    <xf numFmtId="0" fontId="274" fillId="3" borderId="24" xfId="10" applyNumberFormat="1" applyFont="1" applyFill="1" applyBorder="1" applyAlignment="1">
      <alignment horizontal="right" vertical="center"/>
    </xf>
    <xf numFmtId="0" fontId="276" fillId="0" borderId="1" xfId="19" applyFont="1" applyBorder="1" applyAlignment="1">
      <alignment horizontal="left"/>
    </xf>
    <xf numFmtId="0" fontId="274" fillId="3" borderId="41" xfId="10" applyFont="1" applyFill="1" applyBorder="1" applyAlignment="1">
      <alignment horizontal="left" vertical="center"/>
    </xf>
    <xf numFmtId="0" fontId="36" fillId="0" borderId="1" xfId="19" applyFill="1" applyBorder="1" applyAlignment="1">
      <alignment horizontal="left"/>
    </xf>
    <xf numFmtId="0" fontId="274" fillId="5" borderId="23" xfId="10" applyFont="1" applyFill="1" applyBorder="1" applyAlignment="1">
      <alignment horizontal="left" vertical="center"/>
    </xf>
    <xf numFmtId="0" fontId="274" fillId="5" borderId="24" xfId="10" applyFont="1" applyFill="1" applyBorder="1" applyAlignment="1">
      <alignment horizontal="left" vertical="center"/>
    </xf>
    <xf numFmtId="0" fontId="274" fillId="5" borderId="25" xfId="10" applyFont="1" applyFill="1" applyBorder="1" applyAlignment="1">
      <alignment horizontal="left" vertical="center"/>
    </xf>
    <xf numFmtId="0" fontId="274" fillId="5" borderId="49" xfId="10" applyFont="1" applyFill="1" applyBorder="1" applyAlignment="1">
      <alignment horizontal="left" vertical="center"/>
    </xf>
    <xf numFmtId="0" fontId="274" fillId="3" borderId="0" xfId="10" applyFont="1" applyFill="1" applyAlignment="1">
      <alignment horizontal="left" vertical="center"/>
    </xf>
    <xf numFmtId="0" fontId="277" fillId="0" borderId="0" xfId="10" applyFont="1" applyFill="1" applyBorder="1" applyAlignment="1">
      <alignment horizontal="right" vertical="center"/>
    </xf>
    <xf numFmtId="0" fontId="278" fillId="0" borderId="0" xfId="10" applyFont="1" applyFill="1" applyBorder="1" applyAlignment="1">
      <alignment vertical="center"/>
    </xf>
    <xf numFmtId="0" fontId="279" fillId="0" borderId="0" xfId="10" applyFont="1" applyFill="1" applyBorder="1" applyAlignment="1">
      <alignment horizontal="center" vertical="center"/>
    </xf>
    <xf numFmtId="0" fontId="36" fillId="0" borderId="1" xfId="19" applyBorder="1"/>
    <xf numFmtId="0" fontId="270" fillId="0" borderId="1" xfId="19" applyFont="1" applyBorder="1" applyAlignment="1">
      <alignment horizontal="left"/>
    </xf>
    <xf numFmtId="0" fontId="164" fillId="0" borderId="0" xfId="10" applyFont="1" applyFill="1" applyBorder="1" applyAlignment="1">
      <alignment vertical="center" wrapText="1"/>
    </xf>
    <xf numFmtId="1" fontId="270" fillId="0" borderId="0" xfId="19" applyNumberFormat="1" applyFont="1" applyAlignment="1">
      <alignment horizontal="left"/>
    </xf>
    <xf numFmtId="3" fontId="280" fillId="0" borderId="0" xfId="10" applyNumberFormat="1" applyFont="1" applyFill="1" applyBorder="1" applyAlignment="1">
      <alignment horizontal="right" vertical="center"/>
    </xf>
    <xf numFmtId="0" fontId="280" fillId="0" borderId="0" xfId="10" applyFont="1" applyFill="1" applyBorder="1" applyAlignment="1">
      <alignment horizontal="right" vertical="center"/>
    </xf>
    <xf numFmtId="0" fontId="281" fillId="0" borderId="0" xfId="10" applyFont="1" applyFill="1" applyBorder="1" applyAlignment="1">
      <alignment horizontal="right" vertical="center"/>
    </xf>
    <xf numFmtId="4" fontId="277" fillId="0" borderId="0" xfId="10" applyNumberFormat="1" applyFont="1" applyFill="1" applyBorder="1" applyAlignment="1">
      <alignment horizontal="right" vertical="center"/>
    </xf>
    <xf numFmtId="3" fontId="281" fillId="0" borderId="0" xfId="10" applyNumberFormat="1" applyFont="1" applyFill="1" applyBorder="1" applyAlignment="1">
      <alignment horizontal="right" vertical="center"/>
    </xf>
    <xf numFmtId="3" fontId="277" fillId="0" borderId="0" xfId="10" applyNumberFormat="1" applyFont="1" applyFill="1" applyBorder="1" applyAlignment="1">
      <alignment horizontal="right" vertical="center"/>
    </xf>
    <xf numFmtId="10" fontId="281" fillId="0" borderId="0" xfId="10" applyNumberFormat="1" applyFont="1" applyFill="1" applyBorder="1" applyAlignment="1">
      <alignment horizontal="right" vertical="center"/>
    </xf>
    <xf numFmtId="0" fontId="36" fillId="7" borderId="0" xfId="20" applyFill="1">
      <alignment vertical="center"/>
    </xf>
    <xf numFmtId="0" fontId="0" fillId="7" borderId="0" xfId="0" applyFill="1" applyAlignment="1"/>
    <xf numFmtId="0" fontId="80" fillId="7" borderId="13" xfId="0" applyFont="1" applyFill="1" applyBorder="1" applyAlignment="1">
      <alignment horizontal="center" vertical="center" wrapText="1"/>
    </xf>
    <xf numFmtId="0" fontId="80" fillId="7" borderId="1" xfId="0" applyFont="1" applyFill="1" applyBorder="1" applyAlignment="1">
      <alignment horizontal="center" vertical="center" wrapText="1"/>
    </xf>
    <xf numFmtId="0" fontId="19" fillId="7" borderId="0" xfId="20" applyFont="1" applyFill="1" applyAlignment="1">
      <alignment horizontal="center" vertical="center"/>
    </xf>
    <xf numFmtId="0" fontId="80" fillId="7" borderId="3" xfId="0" applyFont="1" applyFill="1" applyBorder="1" applyAlignment="1">
      <alignment horizontal="left" vertical="center" wrapText="1"/>
    </xf>
    <xf numFmtId="196" fontId="80" fillId="7" borderId="1" xfId="0" applyNumberFormat="1" applyFont="1" applyFill="1" applyBorder="1" applyAlignment="1">
      <alignment horizontal="right" vertical="center"/>
    </xf>
    <xf numFmtId="0" fontId="19" fillId="7" borderId="2" xfId="0" applyFont="1" applyFill="1" applyBorder="1" applyAlignment="1">
      <alignment horizontal="center" vertical="center" wrapText="1"/>
    </xf>
    <xf numFmtId="0" fontId="19" fillId="7" borderId="3" xfId="0" applyFont="1" applyFill="1" applyBorder="1" applyAlignment="1">
      <alignment horizontal="left" vertical="center" wrapText="1"/>
    </xf>
    <xf numFmtId="0" fontId="19" fillId="7" borderId="1" xfId="0" applyFont="1" applyFill="1" applyBorder="1" applyAlignment="1">
      <alignment horizontal="center" vertical="center" wrapText="1"/>
    </xf>
    <xf numFmtId="196" fontId="283" fillId="7" borderId="2" xfId="0" applyNumberFormat="1" applyFont="1" applyFill="1" applyBorder="1" applyAlignment="1">
      <alignment horizontal="right" vertical="center"/>
    </xf>
    <xf numFmtId="0" fontId="19" fillId="7" borderId="1" xfId="0" applyFont="1" applyFill="1" applyBorder="1" applyAlignment="1">
      <alignment horizontal="left" vertical="center" wrapText="1"/>
    </xf>
    <xf numFmtId="0" fontId="19" fillId="7" borderId="1" xfId="0" applyFont="1" applyFill="1" applyBorder="1" applyAlignment="1">
      <alignment vertical="center" wrapText="1"/>
    </xf>
    <xf numFmtId="0" fontId="80" fillId="7" borderId="2" xfId="0" applyFont="1" applyFill="1" applyBorder="1" applyAlignment="1">
      <alignment horizontal="center" vertical="center" wrapText="1"/>
    </xf>
    <xf numFmtId="0" fontId="80" fillId="7" borderId="2" xfId="0" applyFont="1" applyFill="1" applyBorder="1" applyAlignment="1">
      <alignment horizontal="left" vertical="center" wrapText="1"/>
    </xf>
    <xf numFmtId="0" fontId="19" fillId="7" borderId="0" xfId="20" applyFont="1" applyFill="1" applyAlignment="1">
      <alignment horizontal="right" vertical="center"/>
    </xf>
    <xf numFmtId="3" fontId="0" fillId="7" borderId="0" xfId="0" applyNumberFormat="1" applyFill="1" applyBorder="1" applyAlignment="1">
      <alignment horizontal="center" wrapText="1"/>
    </xf>
    <xf numFmtId="10" fontId="0" fillId="7" borderId="0" xfId="0" applyNumberFormat="1" applyFill="1" applyBorder="1" applyAlignment="1">
      <alignment horizontal="center" wrapText="1"/>
    </xf>
    <xf numFmtId="0" fontId="0" fillId="7" borderId="0" xfId="0" applyFill="1" applyBorder="1" applyAlignment="1">
      <alignment horizontal="center" wrapText="1"/>
    </xf>
    <xf numFmtId="0" fontId="19" fillId="7" borderId="2" xfId="0" applyFont="1" applyFill="1" applyBorder="1" applyAlignment="1">
      <alignment horizontal="left" vertical="center" wrapText="1"/>
    </xf>
    <xf numFmtId="197" fontId="80" fillId="7" borderId="1" xfId="0" applyNumberFormat="1" applyFont="1" applyFill="1" applyBorder="1" applyAlignment="1">
      <alignment horizontal="right" vertical="center"/>
    </xf>
    <xf numFmtId="197" fontId="19" fillId="7" borderId="1" xfId="0" applyNumberFormat="1" applyFont="1" applyFill="1" applyBorder="1" applyAlignment="1">
      <alignment horizontal="left" vertical="center" wrapText="1"/>
    </xf>
    <xf numFmtId="196" fontId="19" fillId="7" borderId="0" xfId="20" applyNumberFormat="1" applyFont="1" applyFill="1" applyAlignment="1">
      <alignment horizontal="center" vertical="center"/>
    </xf>
    <xf numFmtId="197" fontId="19" fillId="7" borderId="1" xfId="0" applyNumberFormat="1" applyFont="1" applyFill="1" applyBorder="1" applyAlignment="1">
      <alignment horizontal="right" vertical="center"/>
    </xf>
    <xf numFmtId="197" fontId="19" fillId="7" borderId="0" xfId="20" applyNumberFormat="1" applyFont="1" applyFill="1" applyAlignment="1">
      <alignment horizontal="right" vertical="center"/>
    </xf>
    <xf numFmtId="3" fontId="19" fillId="7" borderId="0" xfId="0" applyNumberFormat="1" applyFont="1" applyFill="1" applyBorder="1" applyAlignment="1">
      <alignment horizontal="center" wrapText="1"/>
    </xf>
    <xf numFmtId="3" fontId="0" fillId="7" borderId="0" xfId="0" applyNumberFormat="1" applyFont="1" applyFill="1" applyBorder="1" applyAlignment="1">
      <alignment horizontal="center" wrapText="1"/>
    </xf>
    <xf numFmtId="0" fontId="122" fillId="7" borderId="1" xfId="0" applyFont="1" applyFill="1" applyBorder="1" applyAlignment="1">
      <alignment horizontal="left" vertical="center" wrapText="1"/>
    </xf>
    <xf numFmtId="0" fontId="122" fillId="7" borderId="1" xfId="0" applyFont="1" applyFill="1" applyBorder="1" applyAlignment="1">
      <alignment horizontal="center" vertical="center" wrapText="1"/>
    </xf>
    <xf numFmtId="0" fontId="284" fillId="7" borderId="1" xfId="0" applyFont="1" applyFill="1" applyBorder="1" applyAlignment="1">
      <alignment horizontal="left" vertical="center" wrapText="1"/>
    </xf>
    <xf numFmtId="197" fontId="19" fillId="7" borderId="0" xfId="20" applyNumberFormat="1" applyFont="1" applyFill="1" applyAlignment="1">
      <alignment horizontal="left" vertical="center"/>
    </xf>
    <xf numFmtId="0" fontId="285" fillId="7" borderId="0" xfId="0" applyFont="1" applyFill="1" applyBorder="1" applyAlignment="1">
      <alignment horizontal="center" vertical="center" wrapText="1" readingOrder="1"/>
    </xf>
    <xf numFmtId="10" fontId="0" fillId="7" borderId="0" xfId="17" applyNumberFormat="1" applyFont="1" applyFill="1" applyAlignment="1">
      <alignment vertical="center"/>
    </xf>
    <xf numFmtId="0" fontId="19" fillId="7" borderId="0" xfId="0" applyFont="1" applyFill="1" applyBorder="1" applyAlignment="1">
      <alignment horizontal="center" wrapText="1"/>
    </xf>
    <xf numFmtId="9" fontId="36" fillId="7" borderId="0" xfId="20" applyNumberFormat="1" applyFill="1">
      <alignment vertical="center"/>
    </xf>
    <xf numFmtId="0" fontId="19" fillId="7" borderId="13" xfId="0" applyFont="1" applyFill="1" applyBorder="1" applyAlignment="1">
      <alignment horizontal="center" vertical="center" wrapText="1"/>
    </xf>
    <xf numFmtId="196" fontId="122" fillId="7" borderId="1" xfId="0" applyNumberFormat="1" applyFont="1" applyFill="1" applyBorder="1" applyAlignment="1">
      <alignment horizontal="right" vertical="center"/>
    </xf>
    <xf numFmtId="198" fontId="19" fillId="7" borderId="13" xfId="0" applyNumberFormat="1" applyFont="1" applyFill="1" applyBorder="1" applyAlignment="1">
      <alignment horizontal="left" vertical="center" wrapText="1"/>
    </xf>
    <xf numFmtId="0" fontId="3" fillId="0" borderId="1" xfId="0" applyFont="1" applyBorder="1" applyAlignment="1">
      <alignment horizontal="center" vertical="center"/>
    </xf>
    <xf numFmtId="199" fontId="19" fillId="7" borderId="13" xfId="0" applyNumberFormat="1" applyFont="1" applyFill="1" applyBorder="1" applyAlignment="1">
      <alignment horizontal="left" vertical="center" wrapText="1"/>
    </xf>
    <xf numFmtId="200" fontId="283" fillId="7" borderId="1" xfId="0" applyNumberFormat="1" applyFont="1" applyFill="1" applyBorder="1" applyAlignment="1">
      <alignment horizontal="left" vertical="center" wrapText="1"/>
    </xf>
    <xf numFmtId="0" fontId="19" fillId="7" borderId="5" xfId="0" applyFont="1" applyFill="1" applyBorder="1" applyAlignment="1">
      <alignment horizontal="center" vertical="center" wrapText="1"/>
    </xf>
    <xf numFmtId="196" fontId="283" fillId="5" borderId="1" xfId="0" applyNumberFormat="1" applyFont="1" applyFill="1" applyBorder="1" applyAlignment="1">
      <alignment horizontal="right" vertical="center"/>
    </xf>
    <xf numFmtId="181" fontId="19" fillId="7" borderId="0" xfId="17" applyNumberFormat="1" applyFont="1" applyFill="1" applyAlignment="1">
      <alignment horizontal="center" vertical="center"/>
    </xf>
    <xf numFmtId="197" fontId="283" fillId="7" borderId="1" xfId="0" applyNumberFormat="1" applyFont="1" applyFill="1" applyBorder="1" applyAlignment="1">
      <alignment horizontal="right" vertical="center"/>
    </xf>
    <xf numFmtId="196" fontId="283" fillId="7" borderId="1" xfId="0" applyNumberFormat="1" applyFont="1" applyFill="1" applyBorder="1" applyAlignment="1">
      <alignment horizontal="right" vertical="center"/>
    </xf>
    <xf numFmtId="197" fontId="19" fillId="7" borderId="0" xfId="20" applyNumberFormat="1" applyFont="1" applyFill="1" applyAlignment="1">
      <alignment horizontal="center" vertical="center"/>
    </xf>
    <xf numFmtId="197" fontId="19" fillId="7" borderId="2" xfId="0" applyNumberFormat="1" applyFont="1" applyFill="1" applyBorder="1" applyAlignment="1">
      <alignment horizontal="left" vertical="center" wrapText="1"/>
    </xf>
    <xf numFmtId="9" fontId="3" fillId="0" borderId="1" xfId="0" applyNumberFormat="1" applyFont="1" applyBorder="1" applyAlignment="1">
      <alignment horizontal="center" vertical="center"/>
    </xf>
    <xf numFmtId="197" fontId="0" fillId="7" borderId="0" xfId="0" applyNumberFormat="1" applyFill="1" applyBorder="1" applyAlignment="1">
      <alignment horizontal="center" wrapText="1"/>
    </xf>
    <xf numFmtId="0" fontId="283" fillId="7" borderId="5" xfId="0" applyFont="1" applyFill="1" applyBorder="1" applyAlignment="1">
      <alignment horizontal="left" vertical="center" wrapText="1"/>
    </xf>
    <xf numFmtId="3"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20" applyFont="1" applyFill="1" applyBorder="1" applyAlignment="1">
      <alignment horizontal="center" vertical="center"/>
    </xf>
    <xf numFmtId="0" fontId="3" fillId="7" borderId="1" xfId="20" applyFont="1" applyFill="1" applyBorder="1" applyAlignment="1">
      <alignment vertical="center"/>
    </xf>
    <xf numFmtId="196" fontId="19" fillId="7" borderId="1" xfId="0" applyNumberFormat="1" applyFont="1" applyFill="1" applyBorder="1" applyAlignment="1">
      <alignment horizontal="right" vertical="center"/>
    </xf>
    <xf numFmtId="181" fontId="3" fillId="7" borderId="1" xfId="20" applyNumberFormat="1" applyFont="1" applyFill="1" applyBorder="1" applyAlignment="1">
      <alignment horizontal="center" vertical="center"/>
    </xf>
    <xf numFmtId="177" fontId="3" fillId="7" borderId="1" xfId="0" applyNumberFormat="1" applyFont="1" applyFill="1" applyBorder="1" applyAlignment="1">
      <alignment horizontal="center" vertical="center" wrapText="1"/>
    </xf>
    <xf numFmtId="201" fontId="3" fillId="7" borderId="1" xfId="20" applyNumberFormat="1" applyFont="1" applyFill="1" applyBorder="1" applyAlignment="1">
      <alignment horizontal="center" vertical="center"/>
    </xf>
    <xf numFmtId="202" fontId="3" fillId="7" borderId="1" xfId="20" applyNumberFormat="1" applyFont="1" applyFill="1" applyBorder="1" applyAlignment="1">
      <alignment horizontal="center" vertical="center"/>
    </xf>
    <xf numFmtId="0" fontId="19" fillId="7" borderId="0" xfId="20" applyNumberFormat="1" applyFont="1" applyFill="1" applyAlignment="1">
      <alignment horizontal="center" vertical="center"/>
    </xf>
    <xf numFmtId="203" fontId="3" fillId="7" borderId="1" xfId="20" applyNumberFormat="1" applyFont="1" applyFill="1" applyBorder="1" applyAlignment="1">
      <alignment horizontal="center" vertical="center"/>
    </xf>
    <xf numFmtId="204" fontId="3" fillId="7" borderId="1" xfId="20" applyNumberFormat="1" applyFont="1" applyFill="1" applyBorder="1" applyAlignment="1">
      <alignment horizontal="center" vertical="center"/>
    </xf>
    <xf numFmtId="205" fontId="3" fillId="7" borderId="1" xfId="20" applyNumberFormat="1" applyFont="1" applyFill="1" applyBorder="1" applyAlignment="1">
      <alignment horizontal="center" vertical="center"/>
    </xf>
    <xf numFmtId="10" fontId="3" fillId="7" borderId="1" xfId="0" applyNumberFormat="1" applyFont="1" applyFill="1" applyBorder="1" applyAlignment="1">
      <alignment horizontal="center" vertical="center" wrapText="1"/>
    </xf>
    <xf numFmtId="177" fontId="3" fillId="7" borderId="1" xfId="20" applyNumberFormat="1" applyFont="1" applyFill="1" applyBorder="1" applyAlignment="1">
      <alignment horizontal="center" vertical="center"/>
    </xf>
    <xf numFmtId="0" fontId="80" fillId="7" borderId="1" xfId="20" applyFont="1" applyFill="1" applyBorder="1" applyAlignment="1">
      <alignment horizontal="center" vertical="center"/>
    </xf>
    <xf numFmtId="0" fontId="80" fillId="7" borderId="5" xfId="0" applyFont="1" applyFill="1" applyBorder="1" applyAlignment="1">
      <alignment horizontal="left" vertical="center" wrapText="1"/>
    </xf>
    <xf numFmtId="0" fontId="36" fillId="7" borderId="1" xfId="20" applyFill="1" applyBorder="1" applyAlignment="1">
      <alignment horizontal="center" vertical="center"/>
    </xf>
    <xf numFmtId="0" fontId="19" fillId="0" borderId="1" xfId="0" applyFont="1" applyFill="1" applyBorder="1" applyAlignment="1">
      <alignment horizontal="left" vertical="center" wrapText="1"/>
    </xf>
    <xf numFmtId="177" fontId="19" fillId="7" borderId="0" xfId="20" applyNumberFormat="1" applyFont="1" applyFill="1" applyAlignment="1">
      <alignment horizontal="center" vertical="center"/>
    </xf>
    <xf numFmtId="0" fontId="0" fillId="7" borderId="0" xfId="0" applyFill="1" applyBorder="1" applyAlignment="1">
      <alignment vertical="center"/>
    </xf>
    <xf numFmtId="0" fontId="0" fillId="7" borderId="0" xfId="0" applyFill="1" applyBorder="1" applyAlignment="1">
      <alignment horizontal="center" vertical="center"/>
    </xf>
    <xf numFmtId="0" fontId="19" fillId="7" borderId="0" xfId="20" applyFont="1" applyFill="1" applyBorder="1" applyAlignment="1">
      <alignment horizontal="center" vertical="center"/>
    </xf>
    <xf numFmtId="0" fontId="36" fillId="7" borderId="0" xfId="20" applyFill="1" applyBorder="1">
      <alignment vertical="center"/>
    </xf>
    <xf numFmtId="0" fontId="287" fillId="24" borderId="0" xfId="20" applyFont="1" applyFill="1" applyBorder="1" applyAlignment="1">
      <alignment horizontal="center" vertical="center"/>
    </xf>
    <xf numFmtId="0" fontId="288" fillId="0" borderId="0" xfId="20" applyFont="1" applyBorder="1">
      <alignment vertical="center"/>
    </xf>
    <xf numFmtId="0" fontId="288" fillId="0" borderId="0" xfId="20" applyFont="1">
      <alignment vertical="center"/>
    </xf>
    <xf numFmtId="0" fontId="288" fillId="0" borderId="0" xfId="20" applyFont="1" applyAlignment="1">
      <alignment horizontal="center" vertical="center"/>
    </xf>
    <xf numFmtId="206" fontId="288" fillId="0" borderId="0" xfId="20" applyNumberFormat="1" applyFont="1" applyAlignment="1">
      <alignment horizontal="center" vertical="center"/>
    </xf>
    <xf numFmtId="0" fontId="19" fillId="7" borderId="4" xfId="0" applyFont="1" applyFill="1" applyBorder="1" applyAlignment="1">
      <alignment horizontal="center" vertical="center" wrapText="1"/>
    </xf>
    <xf numFmtId="1" fontId="288" fillId="0" borderId="0" xfId="20" applyNumberFormat="1" applyFont="1" applyAlignment="1">
      <alignment horizontal="center" vertical="center"/>
    </xf>
    <xf numFmtId="0" fontId="122" fillId="7" borderId="5" xfId="0" applyFont="1" applyFill="1" applyBorder="1" applyAlignment="1">
      <alignment horizontal="left" vertical="center" wrapText="1"/>
    </xf>
    <xf numFmtId="0" fontId="122" fillId="7" borderId="2" xfId="0" applyFont="1" applyFill="1" applyBorder="1" applyAlignment="1">
      <alignment horizontal="center" vertical="center" wrapText="1"/>
    </xf>
    <xf numFmtId="10" fontId="0" fillId="7" borderId="0" xfId="0" applyNumberFormat="1" applyFill="1" applyBorder="1" applyAlignment="1">
      <alignment horizontal="center" vertical="center"/>
    </xf>
    <xf numFmtId="177" fontId="19" fillId="7" borderId="0" xfId="0" applyNumberFormat="1" applyFont="1" applyFill="1" applyBorder="1" applyAlignment="1">
      <alignment horizontal="center" vertical="center" wrapText="1"/>
    </xf>
    <xf numFmtId="9" fontId="36" fillId="7" borderId="0" xfId="20" applyNumberFormat="1" applyFill="1" applyBorder="1">
      <alignment vertical="center"/>
    </xf>
    <xf numFmtId="197" fontId="122" fillId="7" borderId="7" xfId="0" applyNumberFormat="1" applyFont="1" applyFill="1" applyBorder="1" applyAlignment="1">
      <alignment horizontal="right" vertical="center"/>
    </xf>
    <xf numFmtId="200" fontId="122" fillId="0" borderId="1" xfId="0" applyNumberFormat="1" applyFont="1" applyFill="1" applyBorder="1" applyAlignment="1">
      <alignment horizontal="left" vertical="center" wrapText="1"/>
    </xf>
    <xf numFmtId="197" fontId="283" fillId="7" borderId="3" xfId="0" applyNumberFormat="1" applyFont="1" applyFill="1" applyBorder="1" applyAlignment="1">
      <alignment horizontal="right" vertical="center"/>
    </xf>
    <xf numFmtId="0" fontId="122" fillId="7" borderId="1" xfId="20" applyFont="1" applyFill="1" applyBorder="1">
      <alignment vertical="center"/>
    </xf>
    <xf numFmtId="0" fontId="122" fillId="7" borderId="1" xfId="20" applyFont="1" applyFill="1" applyBorder="1" applyAlignment="1">
      <alignment vertical="center" wrapText="1"/>
    </xf>
    <xf numFmtId="0" fontId="136" fillId="0" borderId="5" xfId="0" applyFont="1" applyFill="1" applyBorder="1" applyAlignment="1">
      <alignment horizontal="left" vertical="center" wrapText="1"/>
    </xf>
    <xf numFmtId="197" fontId="122" fillId="7" borderId="3" xfId="0" applyNumberFormat="1" applyFont="1" applyFill="1" applyBorder="1" applyAlignment="1">
      <alignment horizontal="right" vertical="center"/>
    </xf>
    <xf numFmtId="0" fontId="283" fillId="7" borderId="2" xfId="0" applyFont="1" applyFill="1" applyBorder="1" applyAlignment="1">
      <alignment horizontal="left" vertical="center" wrapText="1"/>
    </xf>
    <xf numFmtId="0" fontId="136" fillId="7" borderId="2" xfId="0" applyFont="1" applyFill="1" applyBorder="1" applyAlignment="1">
      <alignment horizontal="left" vertical="center" wrapText="1"/>
    </xf>
    <xf numFmtId="0" fontId="122" fillId="0" borderId="2" xfId="0" applyFont="1" applyFill="1" applyBorder="1" applyAlignment="1">
      <alignment horizontal="left" vertical="center" wrapText="1"/>
    </xf>
    <xf numFmtId="207" fontId="283" fillId="7" borderId="1" xfId="0" applyNumberFormat="1" applyFont="1" applyFill="1" applyBorder="1" applyAlignment="1">
      <alignment horizontal="left" vertical="center" wrapText="1"/>
    </xf>
    <xf numFmtId="0" fontId="136" fillId="0" borderId="2" xfId="0" applyFont="1" applyFill="1" applyBorder="1" applyAlignment="1">
      <alignment horizontal="left" vertical="center" wrapText="1"/>
    </xf>
    <xf numFmtId="0" fontId="136" fillId="7" borderId="2" xfId="0" applyFont="1" applyFill="1" applyBorder="1" applyAlignment="1">
      <alignment horizontal="center" vertical="center" wrapText="1"/>
    </xf>
    <xf numFmtId="196" fontId="136" fillId="7" borderId="1" xfId="0" applyNumberFormat="1" applyFont="1" applyFill="1" applyBorder="1" applyAlignment="1">
      <alignment horizontal="right" vertical="center"/>
    </xf>
    <xf numFmtId="177" fontId="19" fillId="7" borderId="0" xfId="20" applyNumberFormat="1" applyFont="1" applyFill="1">
      <alignment vertical="center"/>
    </xf>
    <xf numFmtId="200" fontId="122" fillId="0" borderId="2" xfId="0" applyNumberFormat="1" applyFont="1" applyFill="1" applyBorder="1" applyAlignment="1">
      <alignment horizontal="left" vertical="center" wrapText="1"/>
    </xf>
    <xf numFmtId="197" fontId="283" fillId="7" borderId="1" xfId="0" applyNumberFormat="1" applyFont="1" applyFill="1" applyBorder="1" applyAlignment="1">
      <alignment vertical="center" wrapText="1"/>
    </xf>
    <xf numFmtId="177" fontId="284" fillId="7" borderId="0" xfId="20" applyNumberFormat="1" applyFont="1" applyFill="1">
      <alignment vertical="center"/>
    </xf>
    <xf numFmtId="0" fontId="122" fillId="7" borderId="1" xfId="0" applyFont="1" applyFill="1" applyBorder="1" applyAlignment="1">
      <alignment vertical="center" wrapText="1"/>
    </xf>
    <xf numFmtId="0" fontId="283" fillId="0" borderId="2" xfId="0" applyFont="1" applyFill="1" applyBorder="1" applyAlignment="1">
      <alignment horizontal="left" vertical="center" wrapText="1"/>
    </xf>
    <xf numFmtId="200" fontId="122" fillId="7" borderId="2" xfId="0" applyNumberFormat="1" applyFont="1" applyFill="1" applyBorder="1" applyAlignment="1">
      <alignment horizontal="left" vertical="center" wrapText="1"/>
    </xf>
    <xf numFmtId="0" fontId="19" fillId="7" borderId="0" xfId="20" applyFont="1" applyFill="1">
      <alignment vertical="center"/>
    </xf>
    <xf numFmtId="197" fontId="19" fillId="7" borderId="0" xfId="20" applyNumberFormat="1" applyFont="1" applyFill="1">
      <alignment vertical="center"/>
    </xf>
    <xf numFmtId="0" fontId="80" fillId="7" borderId="1" xfId="0" applyFont="1" applyFill="1" applyBorder="1" applyAlignment="1">
      <alignment horizontal="left" vertical="center" wrapText="1"/>
    </xf>
    <xf numFmtId="196" fontId="80" fillId="0" borderId="1" xfId="0" applyNumberFormat="1" applyFont="1" applyFill="1" applyBorder="1" applyAlignment="1">
      <alignment horizontal="right" vertical="center"/>
    </xf>
    <xf numFmtId="4" fontId="289" fillId="7" borderId="0" xfId="0" applyNumberFormat="1" applyFont="1" applyFill="1" applyBorder="1" applyAlignment="1">
      <alignment horizontal="right"/>
    </xf>
    <xf numFmtId="181" fontId="19" fillId="7" borderId="0" xfId="20" applyNumberFormat="1" applyFont="1" applyFill="1" applyAlignment="1">
      <alignment horizontal="right" vertical="center"/>
    </xf>
    <xf numFmtId="177" fontId="19" fillId="7" borderId="0" xfId="20" applyNumberFormat="1" applyFont="1" applyFill="1" applyBorder="1" applyAlignment="1">
      <alignment horizontal="center" vertical="center"/>
    </xf>
    <xf numFmtId="179" fontId="19" fillId="7" borderId="0" xfId="20" applyNumberFormat="1" applyFont="1" applyFill="1" applyAlignment="1">
      <alignment horizontal="right" vertical="center"/>
    </xf>
    <xf numFmtId="177" fontId="19" fillId="7" borderId="0" xfId="20" applyNumberFormat="1" applyFont="1" applyFill="1" applyAlignment="1">
      <alignment horizontal="right" vertical="center"/>
    </xf>
    <xf numFmtId="177" fontId="36" fillId="7" borderId="0" xfId="20" applyNumberFormat="1" applyFill="1" applyBorder="1">
      <alignment vertical="center"/>
    </xf>
    <xf numFmtId="0" fontId="289" fillId="7" borderId="0" xfId="0" applyFont="1" applyFill="1" applyBorder="1" applyAlignment="1">
      <alignment horizontal="right"/>
    </xf>
    <xf numFmtId="0" fontId="290" fillId="7" borderId="0" xfId="0" applyFont="1" applyFill="1" applyBorder="1" applyAlignment="1">
      <alignment horizontal="center" vertical="center" wrapText="1" readingOrder="1"/>
    </xf>
    <xf numFmtId="0" fontId="94" fillId="7" borderId="0" xfId="0" applyFont="1" applyFill="1" applyBorder="1" applyAlignment="1">
      <alignment horizontal="justify"/>
    </xf>
    <xf numFmtId="9" fontId="94" fillId="7" borderId="0" xfId="0" applyNumberFormat="1" applyFont="1" applyFill="1" applyBorder="1" applyAlignment="1">
      <alignment horizontal="right"/>
    </xf>
    <xf numFmtId="0" fontId="291" fillId="7" borderId="0" xfId="0" applyFont="1" applyFill="1" applyBorder="1" applyAlignment="1">
      <alignment horizontal="right"/>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0" fillId="0" borderId="0" xfId="0" applyNumberFormat="1" applyFill="1" applyAlignment="1"/>
    <xf numFmtId="14" fontId="0" fillId="0" borderId="0" xfId="0" applyNumberFormat="1" applyFill="1" applyAlignment="1"/>
    <xf numFmtId="0" fontId="0" fillId="25" borderId="0" xfId="0" applyNumberFormat="1" applyFill="1" applyAlignment="1"/>
    <xf numFmtId="14" fontId="0" fillId="2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271" fillId="0" borderId="1" xfId="19" applyFont="1" applyFill="1" applyBorder="1" applyAlignment="1">
      <alignment horizontal="left"/>
    </xf>
    <xf numFmtId="0" fontId="271" fillId="9" borderId="1" xfId="19" applyFont="1" applyFill="1" applyBorder="1" applyAlignment="1">
      <alignment horizontal="left"/>
    </xf>
    <xf numFmtId="9" fontId="271" fillId="0" borderId="1" xfId="19" applyNumberFormat="1" applyFont="1" applyFill="1" applyBorder="1" applyAlignment="1">
      <alignment horizontal="left"/>
    </xf>
    <xf numFmtId="10" fontId="271" fillId="0" borderId="1" xfId="17" applyNumberFormat="1" applyFont="1" applyFill="1" applyBorder="1" applyAlignment="1">
      <alignment horizontal="left"/>
    </xf>
    <xf numFmtId="0" fontId="292" fillId="0" borderId="4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0" fontId="94" fillId="0" borderId="9" xfId="19"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94" fillId="0" borderId="44" xfId="19"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22" borderId="0" xfId="10" applyFont="1" applyFill="1" applyBorder="1" applyAlignment="1">
      <alignment horizontal="left" vertical="center" wrapText="1"/>
    </xf>
    <xf numFmtId="0" fontId="19" fillId="7" borderId="13"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7" borderId="0" xfId="0" applyFill="1" applyBorder="1" applyAlignment="1">
      <alignment horizontal="center" vertical="center"/>
    </xf>
    <xf numFmtId="3" fontId="286" fillId="7" borderId="1" xfId="21" applyNumberFormat="1" applyFont="1" applyFill="1" applyBorder="1" applyAlignment="1">
      <alignment horizontal="center" vertical="center" wrapText="1"/>
    </xf>
    <xf numFmtId="0" fontId="3" fillId="7" borderId="1" xfId="20" applyFont="1" applyFill="1" applyBorder="1" applyAlignment="1">
      <alignment horizontal="center" vertical="center"/>
    </xf>
    <xf numFmtId="177" fontId="3" fillId="7" borderId="1" xfId="20" applyNumberFormat="1" applyFont="1" applyFill="1" applyBorder="1" applyAlignment="1">
      <alignment horizontal="center" vertical="center"/>
    </xf>
    <xf numFmtId="10" fontId="19" fillId="7" borderId="0" xfId="20" applyNumberFormat="1" applyFont="1" applyFill="1" applyAlignment="1">
      <alignment horizontal="left" vertical="center" wrapText="1"/>
    </xf>
    <xf numFmtId="0" fontId="282" fillId="7" borderId="60" xfId="0" applyFont="1" applyFill="1" applyBorder="1" applyAlignment="1">
      <alignment horizontal="right" vertical="center"/>
    </xf>
    <xf numFmtId="0" fontId="282" fillId="7" borderId="60" xfId="0" applyFont="1" applyFill="1" applyBorder="1" applyAlignment="1">
      <alignment horizontal="left" vertical="center"/>
    </xf>
    <xf numFmtId="197" fontId="19" fillId="7" borderId="58" xfId="20" applyNumberFormat="1" applyFont="1" applyFill="1" applyBorder="1" applyAlignment="1">
      <alignment horizontal="left" vertical="center"/>
    </xf>
    <xf numFmtId="0" fontId="3" fillId="0" borderId="1" xfId="0" applyFont="1" applyBorder="1" applyAlignment="1">
      <alignment horizontal="center" vertical="center"/>
    </xf>
    <xf numFmtId="9" fontId="3" fillId="0" borderId="1" xfId="0" applyNumberFormat="1" applyFont="1" applyBorder="1" applyAlignment="1">
      <alignment horizontal="center" vertical="center"/>
    </xf>
    <xf numFmtId="0" fontId="19" fillId="7" borderId="13" xfId="0" applyFont="1" applyFill="1" applyBorder="1" applyAlignment="1">
      <alignment horizontal="left" vertical="center" wrapText="1"/>
    </xf>
    <xf numFmtId="0" fontId="19" fillId="7" borderId="2"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10" xfId="1" applyNumberFormat="1" applyFont="1" applyFill="1" applyBorder="1" applyAlignment="1" applyProtection="1">
      <alignment horizontal="center" vertical="center"/>
      <protection locked="0"/>
    </xf>
    <xf numFmtId="0" fontId="99" fillId="0" borderId="24" xfId="1" applyNumberFormat="1" applyFont="1" applyFill="1" applyBorder="1" applyAlignment="1" applyProtection="1">
      <alignment horizontal="center" vertical="center"/>
      <protection locked="0"/>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8" xfId="21"/>
    <cellStyle name="常规 5" xfId="5"/>
    <cellStyle name="常规 6" xfId="6"/>
    <cellStyle name="常规 6 2" xfId="9"/>
    <cellStyle name="常规 6 2 2" xfId="16"/>
    <cellStyle name="常规 6 2 3" xfId="13"/>
    <cellStyle name="常规 7" xfId="7"/>
    <cellStyle name="常规 8" xfId="11"/>
    <cellStyle name="常规 9" xfId="12"/>
    <cellStyle name="常规_经济效益指标汇总20070613(单价9000元）" xfId="20"/>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2303;&#22320;-&#23452;&#26124;&#19975;&#36798;1-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D1" t="str">
            <v>判定</v>
          </cell>
          <cell r="I1" t="str">
            <v>土地年限区间</v>
          </cell>
        </row>
        <row r="2">
          <cell r="A2" t="str">
            <v>平层住宅</v>
          </cell>
          <cell r="D2" t="str">
            <v>是</v>
          </cell>
          <cell r="I2" t="str">
            <v>60-70（含）</v>
          </cell>
        </row>
        <row r="3">
          <cell r="A3" t="str">
            <v>LOFT住宅</v>
          </cell>
          <cell r="D3" t="str">
            <v>否</v>
          </cell>
          <cell r="I3" t="str">
            <v>50-60（含）</v>
          </cell>
        </row>
        <row r="4">
          <cell r="A4" t="str">
            <v>普通住宅</v>
          </cell>
          <cell r="D4" t="str">
            <v>——</v>
          </cell>
          <cell r="I4" t="str">
            <v>40-50（含）</v>
          </cell>
        </row>
        <row r="5">
          <cell r="A5" t="str">
            <v>公寓</v>
          </cell>
          <cell r="I5" t="str">
            <v>30-40（含）</v>
          </cell>
        </row>
        <row r="6">
          <cell r="A6" t="str">
            <v>洋房</v>
          </cell>
          <cell r="I6" t="str">
            <v>20-30（含）</v>
          </cell>
        </row>
        <row r="7">
          <cell r="A7" t="str">
            <v>叠拼</v>
          </cell>
          <cell r="I7" t="str">
            <v>10-20（含）</v>
          </cell>
        </row>
        <row r="8">
          <cell r="A8" t="str">
            <v>联排</v>
          </cell>
          <cell r="I8" t="str">
            <v>0-10（含）</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河南省郑州市经开区房地产抵押价值预评估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受贵公司委托，我公司对河南省郑州市经开区房地产抵押价值进行了预评估。</v>
      </c>
    </row>
    <row r="7" spans="1:2" s="1198" customFormat="1">
      <c r="A7" s="1196" t="s">
        <v>566</v>
      </c>
      <c r="B7" s="1197" t="str">
        <f>'预评函-1'!A7</f>
        <v>估价对象为河南省郑州市经开区房地产，为所有。根据《国有土地使用证》[]，估价对象（分摊）出让国有建设用地使用权面积为61753.05平方米，建筑面积为185933.9平方米。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估价对象为河南省郑州市经开区房地产,属开发建设的，该项目尚在开发建设中。根据《国有土地使用证》[]，估价对象（分摊）出让国有建设用地使用权面积为61753.05平方米，规划建筑面积为185933.9平方米。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拟使用河南省郑州市经开区房地产作为抵押担保物，向办理贷款手续。特委托北京康正宏基房地产评估有限公司对上述抵押物进行评估。本次评估为确定房地产抵押贷款额度提供参考依据而评估房地产抵押价值。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2023年3月14日（评估专业人员实地查勘之日）</v>
      </c>
    </row>
    <row r="13" spans="1:2" s="1198" customFormat="1">
      <c r="A13" s="1196" t="s">
        <v>529</v>
      </c>
      <c r="B13" s="1197"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本次评估采用的主估价方法为成本法和假设开发法。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161326</v>
      </c>
    </row>
    <row r="21" spans="1:2" s="1198" customFormat="1">
      <c r="A21" s="1196" t="s">
        <v>537</v>
      </c>
      <c r="B21" s="1197">
        <f ca="1">'预评函-2'!D7</f>
        <v>8677</v>
      </c>
    </row>
    <row r="22" spans="1:2" s="1198" customFormat="1">
      <c r="A22" s="1196" t="s">
        <v>538</v>
      </c>
      <c r="B22" s="1197" t="str">
        <f ca="1">'预评函-2'!D6</f>
        <v>壹拾陆亿壹仟叁佰贰拾陆万元整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161326</v>
      </c>
    </row>
    <row r="31" spans="1:2" s="1198" customFormat="1">
      <c r="A31" s="1196" t="s">
        <v>576</v>
      </c>
      <c r="B31" s="1197">
        <f ca="1">'预评函-2'!D15</f>
        <v>8677</v>
      </c>
    </row>
    <row r="32" spans="1:2" s="1198" customFormat="1">
      <c r="A32" s="1196" t="s">
        <v>543</v>
      </c>
      <c r="B32" s="1197" t="str">
        <f ca="1">'预评函-2'!D14</f>
        <v>壹拾陆亿壹仟叁佰贰拾陆万元整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河南省郑州市经开区房地产</v>
      </c>
    </row>
    <row r="42" spans="1:2" s="1198" customFormat="1">
      <c r="A42" s="1196" t="s">
        <v>590</v>
      </c>
      <c r="B42" s="1197" t="str">
        <f>'预评函-3'!B2</f>
        <v>建筑面积</v>
      </c>
    </row>
    <row r="43" spans="1:2" s="1198" customFormat="1">
      <c r="A43" s="1196" t="s">
        <v>591</v>
      </c>
      <c r="B43" s="1197">
        <f>'预评函-3'!B4</f>
        <v>185933.89999999997</v>
      </c>
    </row>
    <row r="44" spans="1:2" s="1198" customFormat="1">
      <c r="A44" s="1196" t="s">
        <v>575</v>
      </c>
      <c r="B44" s="1197" t="str">
        <f>'预评函-3'!C2</f>
        <v>(分摊)土地面积</v>
      </c>
    </row>
    <row r="45" spans="1:2" s="1198" customFormat="1">
      <c r="A45" s="1196" t="s">
        <v>547</v>
      </c>
      <c r="B45" s="1197">
        <f>'预评函-3'!C4</f>
        <v>61753.05</v>
      </c>
    </row>
    <row r="46" spans="1:2" s="1198" customFormat="1">
      <c r="A46" s="1196" t="s">
        <v>573</v>
      </c>
      <c r="B46" s="1197" t="str">
        <f>'预评函-3'!D2</f>
        <v>出让国有建设用地使用权价值</v>
      </c>
    </row>
    <row r="47" spans="1:2" s="1198" customFormat="1">
      <c r="A47" s="1196" t="s">
        <v>548</v>
      </c>
      <c r="B47" s="1197">
        <f ca="1">'预评函-3'!D4</f>
        <v>113896</v>
      </c>
    </row>
    <row r="48" spans="1:2" s="1198" customFormat="1">
      <c r="A48" s="1196" t="s">
        <v>549</v>
      </c>
      <c r="B48" s="1197">
        <f ca="1">'预评函-3'!E4</f>
        <v>6126</v>
      </c>
    </row>
    <row r="49" spans="1:2" s="1198" customFormat="1">
      <c r="A49" s="1196" t="s">
        <v>550</v>
      </c>
      <c r="B49" s="1197" t="str">
        <f ca="1">'预评函-3'!D5</f>
        <v>壹拾壹亿叁仟捌佰玖拾陆万元整</v>
      </c>
    </row>
    <row r="50" spans="1:2" s="1198" customFormat="1">
      <c r="A50" s="1196" t="s">
        <v>574</v>
      </c>
      <c r="B50" s="1197" t="str">
        <f>'预评函-3'!F2</f>
        <v>在建建筑物价值</v>
      </c>
    </row>
    <row r="51" spans="1:2" s="1198" customFormat="1">
      <c r="A51" s="1196" t="s">
        <v>551</v>
      </c>
      <c r="B51" s="1197">
        <f ca="1">'预评函-3'!F4</f>
        <v>47430</v>
      </c>
    </row>
    <row r="52" spans="1:2" s="1198" customFormat="1">
      <c r="A52" s="1196" t="s">
        <v>552</v>
      </c>
      <c r="B52" s="1197">
        <f ca="1">'预评函-3'!G4</f>
        <v>2551</v>
      </c>
    </row>
    <row r="53" spans="1:2" s="1198" customFormat="1">
      <c r="A53" s="1196" t="s">
        <v>580</v>
      </c>
      <c r="B53" s="1197" t="str">
        <f ca="1">'预评函-3'!F5</f>
        <v>肆亿柒仟肆佰叁拾万元整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3354</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3340</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3341</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3342</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3343</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3344</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3345</v>
      </c>
    </row>
    <row r="8" spans="1:23">
      <c r="A8" s="1541" t="s">
        <v>1026</v>
      </c>
      <c r="B8" s="1541" t="s">
        <v>1027</v>
      </c>
      <c r="C8" s="1542" t="s">
        <v>319</v>
      </c>
      <c r="F8" s="1543" t="s">
        <v>1028</v>
      </c>
      <c r="H8" s="1543" t="s">
        <v>2576</v>
      </c>
      <c r="I8" s="1543" t="s">
        <v>3346</v>
      </c>
    </row>
    <row r="9" spans="1:23">
      <c r="A9" s="1541" t="s">
        <v>1029</v>
      </c>
      <c r="B9" s="1541" t="s">
        <v>1030</v>
      </c>
      <c r="C9" s="1542" t="s">
        <v>320</v>
      </c>
      <c r="F9" s="1543" t="s">
        <v>1031</v>
      </c>
      <c r="H9" s="1543"/>
      <c r="I9" s="1546" t="s">
        <v>3347</v>
      </c>
    </row>
    <row r="10" spans="1:23">
      <c r="A10" s="1541" t="s">
        <v>1032</v>
      </c>
      <c r="B10" s="1541" t="s">
        <v>1033</v>
      </c>
      <c r="C10" s="1542" t="s">
        <v>321</v>
      </c>
      <c r="F10" s="1543" t="s">
        <v>2577</v>
      </c>
      <c r="I10" s="1546" t="s">
        <v>3348</v>
      </c>
    </row>
    <row r="11" spans="1:23">
      <c r="A11" s="1541" t="s">
        <v>1034</v>
      </c>
      <c r="B11" s="1541" t="s">
        <v>1035</v>
      </c>
      <c r="C11" s="1542" t="s">
        <v>322</v>
      </c>
      <c r="F11" s="1543" t="s">
        <v>13</v>
      </c>
      <c r="I11" s="1546" t="s">
        <v>3349</v>
      </c>
    </row>
    <row r="12" spans="1:23">
      <c r="A12" s="1541" t="s">
        <v>1036</v>
      </c>
      <c r="B12" s="1541" t="s">
        <v>1037</v>
      </c>
      <c r="C12" s="1542" t="s">
        <v>323</v>
      </c>
      <c r="I12" s="1546" t="s">
        <v>3350</v>
      </c>
    </row>
    <row r="13" spans="1:23">
      <c r="A13" s="1541" t="s">
        <v>1038</v>
      </c>
      <c r="B13" s="1541" t="s">
        <v>1039</v>
      </c>
      <c r="C13" s="1542" t="s">
        <v>324</v>
      </c>
      <c r="I13" s="1546" t="s">
        <v>3351</v>
      </c>
    </row>
    <row r="14" spans="1:23">
      <c r="A14" s="1541" t="s">
        <v>1040</v>
      </c>
      <c r="B14" s="1541" t="s">
        <v>1041</v>
      </c>
      <c r="C14" s="1543" t="s">
        <v>13</v>
      </c>
      <c r="I14" s="1546" t="s">
        <v>3352</v>
      </c>
    </row>
    <row r="15" spans="1:23">
      <c r="A15" s="1541" t="s">
        <v>1042</v>
      </c>
      <c r="B15" s="1541" t="s">
        <v>1043</v>
      </c>
      <c r="C15" s="1542"/>
      <c r="I15" s="1546" t="s">
        <v>3353</v>
      </c>
    </row>
    <row r="16" spans="1:23">
      <c r="A16" s="1541" t="s">
        <v>1044</v>
      </c>
      <c r="B16" s="1541" t="s">
        <v>312</v>
      </c>
      <c r="C16" s="1542"/>
    </row>
    <row r="17" spans="1:3">
      <c r="A17" s="1541" t="s">
        <v>1045</v>
      </c>
      <c r="B17" s="1541" t="s">
        <v>2290</v>
      </c>
      <c r="C17" s="1542"/>
    </row>
    <row r="18" spans="1:3">
      <c r="A18" s="1541" t="s">
        <v>1046</v>
      </c>
      <c r="B18" s="1541" t="s">
        <v>2433</v>
      </c>
      <c r="C18" s="1542"/>
    </row>
    <row r="19" spans="1:3">
      <c r="A19" s="1541" t="s">
        <v>1047</v>
      </c>
      <c r="B19" s="1541" t="s">
        <v>3405</v>
      </c>
      <c r="C19" s="1542"/>
    </row>
    <row r="20" spans="1:3">
      <c r="A20" s="1541" t="s">
        <v>1048</v>
      </c>
      <c r="B20" s="1544" t="s">
        <v>3807</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拟使用河南省郑州市经开区房地产作为抵押担保物，向办理贷款手续。特委托北京康正宏基房地产评估有限公司对上述抵押物进行评估。本次评估为确定房地产抵押贷款额度提供参考依据而评估房地产抵押价值。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71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6"/>
      <c r="B54" s="1549" t="s">
        <v>385</v>
      </c>
      <c r="C54" s="1546" t="s">
        <v>583</v>
      </c>
    </row>
    <row r="55" spans="1:4">
      <c r="A55" s="3716"/>
      <c r="B55" s="1549" t="s">
        <v>386</v>
      </c>
      <c r="C55" s="1546" t="s">
        <v>584</v>
      </c>
    </row>
    <row r="56" spans="1:4">
      <c r="A56" s="3716"/>
      <c r="B56" s="1549" t="s">
        <v>387</v>
      </c>
      <c r="C56" s="1546" t="s">
        <v>588</v>
      </c>
    </row>
    <row r="57" spans="1:4">
      <c r="A57" s="371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2499</v>
      </c>
      <c r="B1" s="3000"/>
      <c r="C1" s="3000"/>
      <c r="D1" s="3000"/>
      <c r="E1" s="3000"/>
      <c r="F1" s="3001"/>
      <c r="I1" s="3423" t="s">
        <v>2592</v>
      </c>
      <c r="J1" s="3212"/>
      <c r="K1" s="3212"/>
      <c r="L1" s="3212"/>
      <c r="M1" s="3212"/>
      <c r="N1" s="3424"/>
      <c r="O1" s="3424"/>
      <c r="P1" s="3424"/>
      <c r="Q1" s="3424"/>
      <c r="R1" s="3424"/>
    </row>
    <row r="2" spans="1:18">
      <c r="A2" s="3003"/>
      <c r="B2" s="3004"/>
      <c r="C2" s="3004"/>
      <c r="D2" s="3004"/>
      <c r="E2" s="3004"/>
      <c r="F2" s="3005"/>
      <c r="I2" s="3717" t="s">
        <v>2579</v>
      </c>
      <c r="J2" s="3717"/>
      <c r="K2" s="3717"/>
      <c r="L2" s="3717"/>
      <c r="M2" s="3717"/>
      <c r="N2" s="3717"/>
      <c r="O2" s="3717"/>
      <c r="P2" s="3717"/>
      <c r="Q2" s="3717"/>
      <c r="R2" s="3717"/>
    </row>
    <row r="3" spans="1:18">
      <c r="A3" s="3006" t="s">
        <v>2500</v>
      </c>
      <c r="B3" s="3007">
        <f>项目基本情况!D3</f>
        <v>44999</v>
      </c>
      <c r="C3" s="3009"/>
      <c r="D3" s="3009"/>
      <c r="E3" s="3009"/>
      <c r="F3" s="3005"/>
      <c r="I3" s="3425"/>
      <c r="J3" s="3425" t="s">
        <v>2583</v>
      </c>
      <c r="K3" s="3425" t="s">
        <v>2584</v>
      </c>
      <c r="L3" s="3425" t="s">
        <v>2585</v>
      </c>
      <c r="M3" s="3425" t="s">
        <v>2586</v>
      </c>
      <c r="N3" s="3426" t="s">
        <v>2587</v>
      </c>
      <c r="O3" s="3426" t="s">
        <v>2588</v>
      </c>
      <c r="P3" s="3426" t="s">
        <v>2589</v>
      </c>
      <c r="Q3" s="3426" t="s">
        <v>2590</v>
      </c>
      <c r="R3" s="3426" t="s">
        <v>2591</v>
      </c>
    </row>
    <row r="4" spans="1:18">
      <c r="A4" s="3006" t="s">
        <v>2501</v>
      </c>
      <c r="B4" s="3009" t="s">
        <v>2502</v>
      </c>
      <c r="C4" s="3009" t="s">
        <v>2503</v>
      </c>
      <c r="D4" s="3009" t="s">
        <v>2504</v>
      </c>
      <c r="E4" s="3009" t="s">
        <v>2505</v>
      </c>
      <c r="F4" s="3005"/>
      <c r="I4" s="3425" t="s">
        <v>2580</v>
      </c>
      <c r="J4" s="3425">
        <v>80</v>
      </c>
      <c r="K4" s="3425">
        <v>70</v>
      </c>
      <c r="L4" s="3425">
        <v>20</v>
      </c>
      <c r="M4" s="3425">
        <v>30</v>
      </c>
      <c r="N4" s="3009">
        <v>45</v>
      </c>
      <c r="O4" s="3009">
        <v>60</v>
      </c>
      <c r="P4" s="3009">
        <v>50</v>
      </c>
      <c r="Q4" s="3009">
        <v>20</v>
      </c>
      <c r="R4" s="3009">
        <v>375</v>
      </c>
    </row>
    <row r="5" spans="1:18">
      <c r="A5" s="3010">
        <v>40</v>
      </c>
      <c r="B5" s="3007">
        <v>46375</v>
      </c>
      <c r="C5" s="3009">
        <f>ROUNDDOWN(MIN((B5-B3)/365,A5),2)</f>
        <v>3.76</v>
      </c>
      <c r="D5" s="3011">
        <f>IF(ISERROR(ROUND(POWER(1+E5,A5-C5)*(POWER(1+E5,C5)-1)/(POWER(1+E5,A5)-1),3)),0,ROUND(POWER(1+E5,A5-C5)*(POWER(1+E5,C5)-1)/(POWER(1+E5,A5)-1),4))</f>
        <v>0.17319999999999999</v>
      </c>
      <c r="E5" s="3012">
        <v>0.04</v>
      </c>
      <c r="F5" s="3005"/>
      <c r="I5" s="3425" t="s">
        <v>2581</v>
      </c>
      <c r="J5" s="3425">
        <v>70</v>
      </c>
      <c r="K5" s="3425">
        <v>60</v>
      </c>
      <c r="L5" s="3425">
        <v>15</v>
      </c>
      <c r="M5" s="3425">
        <v>25</v>
      </c>
      <c r="N5" s="3009">
        <v>40</v>
      </c>
      <c r="O5" s="3009">
        <v>50</v>
      </c>
      <c r="P5" s="3009">
        <v>40</v>
      </c>
      <c r="Q5" s="3009">
        <v>15</v>
      </c>
      <c r="R5" s="3009">
        <v>315</v>
      </c>
    </row>
    <row r="6" spans="1:18">
      <c r="A6" s="3010">
        <v>50</v>
      </c>
      <c r="B6" s="3007">
        <v>50028</v>
      </c>
      <c r="C6" s="3009">
        <f>ROUNDDOWN(MIN((B6-B3)/365,A6),2)</f>
        <v>13.77</v>
      </c>
      <c r="D6" s="3011">
        <f>IF(ISERROR(ROUND(POWER(1+E6,A6-C6)*(POWER(1+E6,C6)-1)/(POWER(1+E6,A6)-1),3)),0,ROUND(POWER(1+E6,A6-C6)*(POWER(1+E6,C6)-1)/(POWER(1+E6,A6)-1),4))</f>
        <v>0.48559999999999998</v>
      </c>
      <c r="E6" s="3012">
        <v>0.04</v>
      </c>
      <c r="F6" s="3005"/>
      <c r="I6" s="3425" t="s">
        <v>2582</v>
      </c>
      <c r="J6" s="3425">
        <v>60</v>
      </c>
      <c r="K6" s="3425">
        <v>50</v>
      </c>
      <c r="L6" s="3425">
        <v>10</v>
      </c>
      <c r="M6" s="3425">
        <v>20</v>
      </c>
      <c r="N6" s="3009">
        <v>35</v>
      </c>
      <c r="O6" s="3009">
        <v>40</v>
      </c>
      <c r="P6" s="3009">
        <v>30</v>
      </c>
      <c r="Q6" s="3009">
        <v>10</v>
      </c>
      <c r="R6" s="3009">
        <v>255</v>
      </c>
    </row>
    <row r="7" spans="1:18">
      <c r="A7" s="3010">
        <v>70</v>
      </c>
      <c r="B7" s="3007">
        <v>57333</v>
      </c>
      <c r="C7" s="3009">
        <f>ROUNDDOWN(MIN((B7-B3)/365,A7),2)</f>
        <v>33.79</v>
      </c>
      <c r="D7" s="3011">
        <f>IF(ISERROR(ROUND(POWER(1+E7,A7-C7)*(POWER(1+E7,C7)-1)/(POWER(1+E7,A7)-1),3)),0,ROUND(POWER(1+E7,A7-C7)*(POWER(1+E7,C7)-1)/(POWER(1+E7,A7)-1),4))</f>
        <v>0.78469999999999995</v>
      </c>
      <c r="E7" s="3012">
        <v>0.04</v>
      </c>
      <c r="F7" s="3005"/>
    </row>
    <row r="8" spans="1:18">
      <c r="A8" s="3003"/>
      <c r="B8" s="3004"/>
      <c r="C8" s="3004"/>
      <c r="D8" s="3004"/>
      <c r="E8" s="3004"/>
      <c r="F8" s="3005"/>
    </row>
    <row r="9" spans="1:18">
      <c r="A9" s="3006" t="s">
        <v>2506</v>
      </c>
      <c r="B9" s="3009"/>
      <c r="C9" s="3009"/>
      <c r="D9" s="3009"/>
      <c r="E9" s="3009"/>
      <c r="F9" s="3013"/>
    </row>
    <row r="10" spans="1:18">
      <c r="A10" s="3006" t="s">
        <v>2507</v>
      </c>
      <c r="B10" s="3009"/>
      <c r="C10" s="3009"/>
      <c r="D10" s="3009" t="s">
        <v>2505</v>
      </c>
      <c r="E10" s="3009"/>
      <c r="F10" s="3013" t="s">
        <v>2504</v>
      </c>
    </row>
    <row r="11" spans="1:18">
      <c r="A11" s="3006" t="s">
        <v>2508</v>
      </c>
      <c r="B11" s="3014">
        <v>70</v>
      </c>
      <c r="C11" s="3009" t="s">
        <v>2509</v>
      </c>
      <c r="D11" s="3015">
        <v>4.4999999999999998E-2</v>
      </c>
      <c r="E11" s="3009" t="s">
        <v>2510</v>
      </c>
      <c r="F11" s="3016">
        <f>ROUND(1-(1/(POWER(1+D11,B11))),4)</f>
        <v>0.95409999999999995</v>
      </c>
    </row>
    <row r="12" spans="1:18">
      <c r="A12" s="3006" t="s">
        <v>2511</v>
      </c>
      <c r="B12" s="3014">
        <v>40</v>
      </c>
      <c r="C12" s="3009" t="s">
        <v>2512</v>
      </c>
      <c r="D12" s="3015">
        <v>4.4999999999999998E-2</v>
      </c>
      <c r="E12" s="3009" t="s">
        <v>2513</v>
      </c>
      <c r="F12" s="3016">
        <f>ROUND(1-(1/(POWER(1+D12,B12))),4)</f>
        <v>0.82809999999999995</v>
      </c>
    </row>
    <row r="13" spans="1:18">
      <c r="A13" s="3006" t="s">
        <v>2514</v>
      </c>
      <c r="B13" s="3009"/>
      <c r="C13" s="3009"/>
      <c r="D13" s="3004"/>
      <c r="E13" s="3004"/>
      <c r="F13" s="3005"/>
    </row>
    <row r="14" spans="1:18">
      <c r="A14" s="3006" t="s">
        <v>2515</v>
      </c>
      <c r="B14" s="3014">
        <v>5000</v>
      </c>
      <c r="C14" s="3008"/>
      <c r="D14" s="3004"/>
      <c r="E14" s="3004"/>
      <c r="F14" s="3005"/>
    </row>
    <row r="15" spans="1:18">
      <c r="A15" s="3006" t="s">
        <v>2516</v>
      </c>
      <c r="B15" s="3009">
        <f>ROUND(B14*F12/F11,2)</f>
        <v>4339.6899999999996</v>
      </c>
      <c r="C15" s="3009">
        <f>ROUND(F12/F11,4)</f>
        <v>0.8679</v>
      </c>
      <c r="D15" s="3004"/>
      <c r="E15" s="3004"/>
      <c r="F15" s="3005"/>
    </row>
    <row r="16" spans="1:18">
      <c r="A16" s="3006" t="s">
        <v>2517</v>
      </c>
      <c r="B16" s="3009"/>
      <c r="C16" s="3009"/>
      <c r="D16" s="3004"/>
      <c r="E16" s="3004"/>
      <c r="F16" s="3005"/>
    </row>
    <row r="17" spans="1:13">
      <c r="A17" s="3006" t="s">
        <v>2516</v>
      </c>
      <c r="B17" s="3015">
        <v>4810</v>
      </c>
      <c r="C17" s="3008"/>
      <c r="D17" s="3004"/>
      <c r="E17" s="3004"/>
      <c r="F17" s="3005"/>
    </row>
    <row r="18" spans="1:13" ht="14.25" thickBot="1">
      <c r="A18" s="3017" t="s">
        <v>2515</v>
      </c>
      <c r="B18" s="3018">
        <f>ROUND(B17*F11/F12,2)</f>
        <v>5541.87</v>
      </c>
      <c r="C18" s="3018">
        <f>ROUND(F11/F12,4)</f>
        <v>1.1521999999999999</v>
      </c>
      <c r="D18" s="3019"/>
      <c r="E18" s="3019"/>
      <c r="F18" s="3020"/>
    </row>
    <row r="19" spans="1:13" ht="14.25" thickBot="1"/>
    <row r="20" spans="1:13" s="3055" customFormat="1" ht="14.25" thickTop="1">
      <c r="A20" s="3052" t="s">
        <v>2518</v>
      </c>
      <c r="B20" s="3053"/>
      <c r="C20" s="3053"/>
      <c r="D20" s="3053"/>
      <c r="E20" s="3053"/>
      <c r="F20" s="3053"/>
      <c r="G20" s="3054"/>
      <c r="I20" s="3056" t="s">
        <v>2563</v>
      </c>
      <c r="J20" s="3056" t="s">
        <v>2568</v>
      </c>
      <c r="K20" s="3056"/>
      <c r="L20" s="3056"/>
      <c r="M20" s="3056"/>
    </row>
    <row r="21" spans="1:13">
      <c r="A21" s="3021"/>
      <c r="B21" s="3022" t="s">
        <v>2519</v>
      </c>
      <c r="C21" s="3022" t="s">
        <v>2520</v>
      </c>
      <c r="D21" s="3022" t="s">
        <v>2521</v>
      </c>
      <c r="E21" s="3022" t="s">
        <v>2522</v>
      </c>
      <c r="F21" s="3022" t="s">
        <v>2523</v>
      </c>
      <c r="G21" s="3023" t="s">
        <v>2524</v>
      </c>
      <c r="I21" s="3044">
        <v>5</v>
      </c>
      <c r="J21" s="3044">
        <v>54.2</v>
      </c>
    </row>
    <row r="22" spans="1:13">
      <c r="A22" s="3021" t="s">
        <v>2525</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2526</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2566</v>
      </c>
      <c r="M23" s="3044" t="s">
        <v>2567</v>
      </c>
    </row>
    <row r="24" spans="1:13">
      <c r="A24" s="3021" t="s">
        <v>2527</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2565</v>
      </c>
      <c r="M24" s="3044">
        <v>10</v>
      </c>
    </row>
    <row r="25" spans="1:13">
      <c r="A25" s="3021" t="s">
        <v>2528</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2569</v>
      </c>
      <c r="M25" s="3044">
        <v>8</v>
      </c>
    </row>
    <row r="26" spans="1:13">
      <c r="A26" s="3026"/>
      <c r="B26" s="3027"/>
      <c r="C26" s="3027"/>
      <c r="D26" s="3027"/>
      <c r="E26" s="3027"/>
      <c r="F26" s="3027"/>
      <c r="G26" s="3028"/>
      <c r="I26" s="3044">
        <v>30</v>
      </c>
      <c r="J26" s="3044">
        <v>90.5</v>
      </c>
      <c r="K26" s="3044">
        <f t="shared" si="2"/>
        <v>4.2000000000000028</v>
      </c>
      <c r="L26" s="3044" t="s">
        <v>2570</v>
      </c>
      <c r="M26" s="3044">
        <v>5</v>
      </c>
    </row>
    <row r="27" spans="1:13">
      <c r="A27" s="3026" t="s">
        <v>2529</v>
      </c>
      <c r="B27" s="3027"/>
      <c r="C27" s="3027"/>
      <c r="D27" s="3027"/>
      <c r="E27" s="3027"/>
      <c r="F27" s="3027"/>
      <c r="G27" s="3028"/>
      <c r="I27" s="3044">
        <v>35</v>
      </c>
      <c r="J27" s="3044">
        <v>93.8</v>
      </c>
      <c r="K27" s="3044">
        <f t="shared" si="2"/>
        <v>3.2999999999999972</v>
      </c>
      <c r="L27" s="3044" t="s">
        <v>2571</v>
      </c>
      <c r="M27" s="3044">
        <v>3</v>
      </c>
    </row>
    <row r="28" spans="1:13">
      <c r="A28" s="3026" t="s">
        <v>2530</v>
      </c>
      <c r="B28" s="3027"/>
      <c r="C28" s="3027"/>
      <c r="D28" s="3027"/>
      <c r="E28" s="3027"/>
      <c r="F28" s="3027"/>
      <c r="G28" s="3028"/>
      <c r="I28" s="3044">
        <v>40</v>
      </c>
      <c r="J28" s="3044">
        <v>96.4</v>
      </c>
      <c r="K28" s="3044">
        <f t="shared" si="2"/>
        <v>2.6000000000000085</v>
      </c>
      <c r="L28" s="3044" t="s">
        <v>2572</v>
      </c>
      <c r="M28" s="3044">
        <v>2</v>
      </c>
    </row>
    <row r="29" spans="1:13">
      <c r="A29" s="3026" t="s">
        <v>2531</v>
      </c>
      <c r="B29" s="3027"/>
      <c r="C29" s="3027"/>
      <c r="D29" s="3027"/>
      <c r="E29" s="3027"/>
      <c r="F29" s="3027"/>
      <c r="G29" s="3028"/>
      <c r="I29" s="3044">
        <v>45</v>
      </c>
      <c r="J29" s="3044">
        <v>98.4</v>
      </c>
      <c r="K29" s="3044">
        <f t="shared" si="2"/>
        <v>2</v>
      </c>
    </row>
    <row r="30" spans="1:13">
      <c r="A30" s="3026" t="s">
        <v>2532</v>
      </c>
      <c r="B30" s="3027"/>
      <c r="C30" s="3027"/>
      <c r="D30" s="3027"/>
      <c r="E30" s="3027"/>
      <c r="F30" s="3027"/>
      <c r="G30" s="3028"/>
      <c r="I30" s="3044">
        <v>50</v>
      </c>
      <c r="J30" s="3044">
        <v>100</v>
      </c>
      <c r="K30" s="3044">
        <f t="shared" si="2"/>
        <v>1.5999999999999943</v>
      </c>
    </row>
    <row r="31" spans="1:13">
      <c r="A31" s="3026" t="s">
        <v>2533</v>
      </c>
      <c r="B31" s="3027"/>
      <c r="C31" s="3027"/>
      <c r="D31" s="3027"/>
      <c r="E31" s="3027"/>
      <c r="F31" s="3027"/>
      <c r="G31" s="3028"/>
      <c r="I31" s="3044" t="s">
        <v>2564</v>
      </c>
    </row>
    <row r="32" spans="1:13">
      <c r="A32" s="3026" t="s">
        <v>2534</v>
      </c>
      <c r="B32" s="3027"/>
      <c r="C32" s="3027"/>
      <c r="D32" s="3027"/>
      <c r="E32" s="3027"/>
      <c r="F32" s="3027"/>
      <c r="G32" s="3028"/>
    </row>
    <row r="33" spans="1:13">
      <c r="A33" s="3026" t="s">
        <v>2535</v>
      </c>
      <c r="B33" s="3027"/>
      <c r="C33" s="3027"/>
      <c r="D33" s="3027"/>
      <c r="E33" s="3027"/>
      <c r="F33" s="3027"/>
      <c r="G33" s="3028"/>
      <c r="I33" s="3044" t="s">
        <v>2563</v>
      </c>
      <c r="J33" s="3044" t="s">
        <v>2573</v>
      </c>
    </row>
    <row r="34" spans="1:13">
      <c r="A34" s="3026" t="s">
        <v>2536</v>
      </c>
      <c r="B34" s="3027"/>
      <c r="C34" s="3027"/>
      <c r="D34" s="3027"/>
      <c r="E34" s="3027"/>
      <c r="F34" s="3027"/>
      <c r="G34" s="3028"/>
      <c r="I34" s="3044">
        <v>5</v>
      </c>
      <c r="J34" s="3044">
        <v>55.1</v>
      </c>
    </row>
    <row r="35" spans="1:13">
      <c r="A35" s="3026" t="s">
        <v>2537</v>
      </c>
      <c r="B35" s="3027"/>
      <c r="C35" s="3027"/>
      <c r="D35" s="3027"/>
      <c r="E35" s="3027"/>
      <c r="F35" s="3027"/>
      <c r="G35" s="3028"/>
      <c r="I35" s="3044">
        <v>10</v>
      </c>
      <c r="J35" s="3044">
        <v>67</v>
      </c>
      <c r="K35" s="3044">
        <f>J35-J34</f>
        <v>11.899999999999999</v>
      </c>
    </row>
    <row r="36" spans="1:13">
      <c r="A36" s="3026" t="s">
        <v>2538</v>
      </c>
      <c r="B36" s="3027"/>
      <c r="C36" s="3027"/>
      <c r="D36" s="3027"/>
      <c r="E36" s="3027"/>
      <c r="F36" s="3027"/>
      <c r="G36" s="3028"/>
      <c r="I36" s="3044">
        <v>15</v>
      </c>
      <c r="J36" s="3044">
        <v>76.3</v>
      </c>
      <c r="K36" s="3044">
        <f t="shared" ref="K36:K41" si="3">J36-J35</f>
        <v>9.2999999999999972</v>
      </c>
      <c r="L36" s="3044" t="s">
        <v>2566</v>
      </c>
      <c r="M36" s="3044" t="s">
        <v>2567</v>
      </c>
    </row>
    <row r="37" spans="1:13">
      <c r="A37" s="3026" t="s">
        <v>2539</v>
      </c>
      <c r="B37" s="3027"/>
      <c r="C37" s="3027"/>
      <c r="D37" s="3027"/>
      <c r="E37" s="3027"/>
      <c r="F37" s="3027"/>
      <c r="G37" s="3028"/>
      <c r="I37" s="3044">
        <v>20</v>
      </c>
      <c r="J37" s="3044">
        <v>83.6</v>
      </c>
      <c r="K37" s="3044">
        <f t="shared" si="3"/>
        <v>7.2999999999999972</v>
      </c>
      <c r="L37" s="3044" t="s">
        <v>2565</v>
      </c>
      <c r="M37" s="3044">
        <v>10</v>
      </c>
    </row>
    <row r="38" spans="1:13">
      <c r="A38" s="3026" t="s">
        <v>2540</v>
      </c>
      <c r="B38" s="3027"/>
      <c r="C38" s="3027"/>
      <c r="D38" s="3027"/>
      <c r="E38" s="3027"/>
      <c r="F38" s="3027"/>
      <c r="G38" s="3028"/>
      <c r="I38" s="3044">
        <v>25</v>
      </c>
      <c r="J38" s="3044">
        <v>89.3</v>
      </c>
      <c r="K38" s="3044">
        <f t="shared" si="3"/>
        <v>5.7000000000000028</v>
      </c>
      <c r="L38" s="3044" t="s">
        <v>2569</v>
      </c>
      <c r="M38" s="3044">
        <v>8</v>
      </c>
    </row>
    <row r="39" spans="1:13">
      <c r="A39" s="3026"/>
      <c r="B39" s="3027"/>
      <c r="C39" s="3027"/>
      <c r="D39" s="3027"/>
      <c r="E39" s="3027"/>
      <c r="F39" s="3027"/>
      <c r="G39" s="3028"/>
      <c r="I39" s="3044">
        <v>30</v>
      </c>
      <c r="J39" s="3044">
        <v>93.8</v>
      </c>
      <c r="K39" s="3044">
        <f t="shared" si="3"/>
        <v>4.5</v>
      </c>
      <c r="L39" s="3044" t="s">
        <v>2570</v>
      </c>
      <c r="M39" s="3044">
        <v>6</v>
      </c>
    </row>
    <row r="40" spans="1:13">
      <c r="A40" s="3029" t="s">
        <v>2541</v>
      </c>
      <c r="B40" s="3030"/>
      <c r="C40" s="3030"/>
      <c r="D40" s="3030"/>
      <c r="E40" s="3030"/>
      <c r="F40" s="3030"/>
      <c r="G40" s="3031"/>
      <c r="I40" s="3044">
        <v>35</v>
      </c>
      <c r="J40" s="3044">
        <v>97.2</v>
      </c>
      <c r="K40" s="3044">
        <f t="shared" si="3"/>
        <v>3.4000000000000057</v>
      </c>
      <c r="L40" s="3044" t="s">
        <v>2571</v>
      </c>
      <c r="M40" s="3044">
        <v>3</v>
      </c>
    </row>
    <row r="41" spans="1:13">
      <c r="A41" s="3032" t="s">
        <v>2542</v>
      </c>
      <c r="B41" s="3033" t="s">
        <v>2543</v>
      </c>
      <c r="C41" s="3034" t="s">
        <v>2544</v>
      </c>
      <c r="D41" s="3034" t="s">
        <v>2545</v>
      </c>
      <c r="E41" s="3035"/>
      <c r="F41" s="3036"/>
      <c r="G41" s="3037"/>
      <c r="I41" s="3044">
        <v>40</v>
      </c>
      <c r="J41" s="3044">
        <v>100</v>
      </c>
      <c r="K41" s="3044">
        <f t="shared" si="3"/>
        <v>2.7999999999999972</v>
      </c>
    </row>
    <row r="42" spans="1:13">
      <c r="A42" s="3032" t="s">
        <v>2546</v>
      </c>
      <c r="B42" s="3033" t="s">
        <v>2547</v>
      </c>
      <c r="C42" s="3034" t="s">
        <v>2548</v>
      </c>
      <c r="D42" s="3038" t="s">
        <v>2549</v>
      </c>
      <c r="E42" s="3030" t="s">
        <v>2550</v>
      </c>
      <c r="F42" s="3030"/>
      <c r="G42" s="3031"/>
    </row>
    <row r="43" spans="1:13">
      <c r="A43" s="3032" t="s">
        <v>2551</v>
      </c>
      <c r="B43" s="3033" t="s">
        <v>2552</v>
      </c>
      <c r="C43" s="3034" t="s">
        <v>2553</v>
      </c>
      <c r="D43" s="3034" t="s">
        <v>2554</v>
      </c>
      <c r="E43" s="3035" t="s">
        <v>2555</v>
      </c>
      <c r="F43" s="3036"/>
      <c r="G43" s="3037"/>
      <c r="I43" s="3044" t="s">
        <v>2563</v>
      </c>
      <c r="J43" s="3044" t="s">
        <v>2574</v>
      </c>
    </row>
    <row r="44" spans="1:13">
      <c r="A44" s="3032" t="s">
        <v>2556</v>
      </c>
      <c r="B44" s="3033" t="s">
        <v>2557</v>
      </c>
      <c r="C44" s="3034" t="s">
        <v>2558</v>
      </c>
      <c r="D44" s="3038">
        <v>0.5</v>
      </c>
      <c r="E44" s="3035" t="s">
        <v>2559</v>
      </c>
      <c r="F44" s="3036"/>
      <c r="G44" s="3037"/>
      <c r="I44" s="3044">
        <v>30</v>
      </c>
      <c r="J44" s="3044">
        <v>81.7</v>
      </c>
    </row>
    <row r="45" spans="1:13" ht="14.25" thickBot="1">
      <c r="A45" s="3039" t="s">
        <v>2560</v>
      </c>
      <c r="B45" s="3040" t="s">
        <v>2547</v>
      </c>
      <c r="C45" s="3041" t="s">
        <v>2547</v>
      </c>
      <c r="D45" s="3041" t="s">
        <v>2561</v>
      </c>
      <c r="E45" s="3042" t="s">
        <v>2562</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8" sqref="J18"/>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9" customWidth="1"/>
    <col min="12" max="13" width="10" style="2620"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8" t="s">
        <v>2167</v>
      </c>
      <c r="B1" s="3718" t="str">
        <f>IF(B10="北京市","北京市",C10)&amp;F10&amp;IF(结果表!G1="在建","出让国有建设用地使用权及在建建筑物",IF(结果表!G1="土地","出让国有建设用地使用权",))&amp;B9&amp;"预评估"</f>
        <v>河南省郑州市经开区房地产抵押价值预评估</v>
      </c>
      <c r="C1" s="3719"/>
      <c r="D1" s="3719"/>
      <c r="E1" s="3719"/>
      <c r="F1" s="3719"/>
      <c r="G1" s="3719"/>
      <c r="H1" s="3719"/>
      <c r="I1" s="3720"/>
      <c r="J1" s="2462"/>
      <c r="K1" s="2360"/>
      <c r="L1" s="2361"/>
      <c r="M1" s="2361"/>
      <c r="N1" s="2362"/>
      <c r="O1" s="1571"/>
      <c r="P1" s="2362"/>
      <c r="Q1" s="2362"/>
      <c r="R1" s="2362"/>
      <c r="S1" s="1677" t="str">
        <f>IF(B10="北京市","北京市",C10)&amp;F10&amp;IF(结果表!G1="在建","出让国有建设用地使用权及在建建筑物房地产抵押价值",IF(结果表!G1="土地","出让国有建设用地使用权抵押价值",B9))</f>
        <v>河南省郑州市经开区房地产抵押价值</v>
      </c>
      <c r="T1" s="1740"/>
      <c r="U1" s="1740"/>
      <c r="V1" s="1740"/>
      <c r="W1" s="1740"/>
      <c r="X1" s="1740"/>
      <c r="Y1" s="1740"/>
      <c r="Z1" s="1740"/>
      <c r="AA1" s="1740"/>
      <c r="AB1" s="1740"/>
    </row>
    <row r="2" spans="1:30">
      <c r="A2" s="2359" t="s">
        <v>2168</v>
      </c>
      <c r="B2" s="2363"/>
      <c r="C2" s="2364"/>
      <c r="D2" s="2660"/>
      <c r="E2" s="2653"/>
      <c r="F2" s="2653"/>
      <c r="G2" s="2654"/>
      <c r="H2" s="2654"/>
      <c r="I2" s="2654"/>
      <c r="J2" s="2462"/>
      <c r="K2" s="2360"/>
      <c r="L2" s="2361"/>
      <c r="M2" s="2361"/>
      <c r="N2" s="2362"/>
      <c r="O2" s="1571"/>
      <c r="P2" s="2362"/>
      <c r="Q2" s="2362"/>
      <c r="R2" s="2362"/>
      <c r="S2" s="1677" t="str">
        <f>IF(B10="北京市","北京市",C10)&amp;F10&amp;IF(结果表!G1="在建","出让国有建设用地使用权及在建建筑物房地产",IF(结果表!G1="土地","出让国有建设用地使用权","房地产"))</f>
        <v>河南省郑州市经开区房地产</v>
      </c>
      <c r="T2" s="1740"/>
      <c r="U2" s="1740"/>
      <c r="V2" s="1740"/>
      <c r="W2" s="1740"/>
      <c r="X2" s="1740"/>
      <c r="Y2" s="1740"/>
      <c r="Z2" s="1740"/>
      <c r="AA2" s="1740"/>
      <c r="AB2" s="1740"/>
    </row>
    <row r="3" spans="1:30">
      <c r="A3" s="301" t="s">
        <v>2169</v>
      </c>
      <c r="B3" s="2365">
        <v>44999</v>
      </c>
      <c r="C3" s="2366" t="s">
        <v>2170</v>
      </c>
      <c r="D3" s="2365">
        <v>44999</v>
      </c>
      <c r="E3" s="2654"/>
      <c r="F3" s="2654"/>
      <c r="G3" s="2654"/>
      <c r="H3" s="2654"/>
      <c r="I3" s="2654"/>
      <c r="J3" s="2462"/>
      <c r="K3" s="2360"/>
      <c r="L3" s="2361"/>
      <c r="M3" s="2361"/>
      <c r="N3" s="2362"/>
      <c r="O3" s="1571"/>
      <c r="P3" s="2362"/>
      <c r="Q3" s="2362"/>
      <c r="R3" s="2362"/>
      <c r="S3" s="1677"/>
      <c r="T3" s="1740"/>
      <c r="U3" s="1740"/>
      <c r="V3" s="1740"/>
      <c r="W3" s="1740"/>
      <c r="X3" s="1740"/>
      <c r="Y3" s="1740"/>
      <c r="Z3" s="1740"/>
      <c r="AA3" s="1740"/>
      <c r="AB3" s="1740"/>
    </row>
    <row r="4" spans="1:30" ht="13.5" thickBot="1">
      <c r="A4" s="1086" t="s">
        <v>2171</v>
      </c>
      <c r="B4" s="2367"/>
      <c r="C4" s="2368">
        <f>SUMIF(注册房地产估价师,B4,估价师及机构信息!B3:B24)</f>
        <v>0</v>
      </c>
      <c r="D4" s="2367"/>
      <c r="E4" s="2369">
        <f>SUMIF(注册房地产估价师,D4,估价师及机构信息!B3:B24)</f>
        <v>0</v>
      </c>
      <c r="F4" s="2367"/>
      <c r="G4" s="2369">
        <f>SUMIF(注册房地产估价师,F4,估价师及机构信息!B3:B24)</f>
        <v>0</v>
      </c>
      <c r="H4" s="2367"/>
      <c r="I4" s="2369">
        <f>SUMIF(注册房地产估价师,H4,估价师及机构信息!B3:B24)</f>
        <v>0</v>
      </c>
      <c r="J4" s="2430"/>
      <c r="K4" s="2370" t="str">
        <f>CONCATENATE(B4,"（注册号：",C4,")、",D4,"（注册号：",E4,")")</f>
        <v>（注册号：0)、（注册号：0)</v>
      </c>
      <c r="L4" s="2361"/>
      <c r="M4" s="2361"/>
      <c r="N4" s="2362"/>
      <c r="O4" s="1571"/>
      <c r="P4" s="2362"/>
      <c r="Q4" s="2362"/>
      <c r="R4" s="2362"/>
      <c r="S4" s="1677"/>
      <c r="T4" s="1740"/>
      <c r="U4" s="1740"/>
      <c r="V4" s="1740"/>
      <c r="W4" s="1740"/>
      <c r="X4" s="1740"/>
      <c r="Y4" s="1740"/>
      <c r="Z4" s="1740"/>
      <c r="AA4" s="1740"/>
      <c r="AB4" s="1740"/>
    </row>
    <row r="5" spans="1:30" ht="13.5" thickTop="1">
      <c r="A5" s="2371" t="s">
        <v>2172</v>
      </c>
      <c r="B5" s="2372"/>
      <c r="C5" s="2373"/>
      <c r="D5" s="2374"/>
      <c r="E5" s="2655"/>
      <c r="F5" s="2655"/>
      <c r="G5" s="2655"/>
      <c r="H5" s="2655"/>
      <c r="I5" s="2655"/>
      <c r="J5" s="2430"/>
      <c r="K5" s="2370" t="str">
        <f>IF(F4="——","",IF(H4="——",F4&amp;"（注册号："&amp;G4&amp;")",CONCATENATE(F4,"（注册号：",G4,")、",H4,"（注册号：",I4,")")))</f>
        <v>（注册号：0)、（注册号：0)</v>
      </c>
      <c r="L5" s="2361"/>
      <c r="M5" s="2361"/>
      <c r="N5" s="2362"/>
      <c r="O5" s="1571"/>
      <c r="P5" s="2362"/>
      <c r="Q5" s="2362"/>
      <c r="R5" s="2362"/>
      <c r="S5" s="1740"/>
      <c r="T5" s="1740"/>
      <c r="U5" s="1740"/>
      <c r="V5" s="1740"/>
      <c r="W5" s="1740"/>
      <c r="X5" s="1740"/>
      <c r="Y5" s="1740"/>
      <c r="Z5" s="1740"/>
      <c r="AA5" s="1740"/>
      <c r="AB5" s="1740"/>
    </row>
    <row r="6" spans="1:30">
      <c r="A6" s="2375" t="s">
        <v>2173</v>
      </c>
      <c r="B6" s="2376"/>
      <c r="C6" s="2377"/>
      <c r="D6" s="2378"/>
      <c r="E6" s="2653"/>
      <c r="F6" s="2655"/>
      <c r="G6" s="2655"/>
      <c r="H6" s="2655"/>
      <c r="I6" s="2655"/>
      <c r="J6" s="2430"/>
      <c r="K6" s="2606" t="str">
        <f>IF(COUNTIF(B6,"*上海银行*"),"上海银行","")</f>
        <v/>
      </c>
      <c r="L6" s="2604"/>
      <c r="M6" s="2604"/>
      <c r="N6" s="2430"/>
      <c r="O6" s="2441"/>
      <c r="P6" s="2430"/>
      <c r="Q6" s="2430"/>
      <c r="R6" s="2430"/>
    </row>
    <row r="7" spans="1:30">
      <c r="A7" s="2375" t="s">
        <v>2174</v>
      </c>
      <c r="B7" s="2379"/>
      <c r="C7" s="2377"/>
      <c r="D7" s="2378"/>
      <c r="E7" s="2653"/>
      <c r="F7" s="2655"/>
      <c r="G7" s="2655"/>
      <c r="H7" s="2655"/>
      <c r="I7" s="2655"/>
      <c r="J7" s="2430"/>
      <c r="K7" s="2607"/>
      <c r="L7" s="2604"/>
      <c r="M7" s="2604"/>
      <c r="N7" s="2430"/>
      <c r="O7" s="2441"/>
      <c r="P7" s="2430"/>
      <c r="Q7" s="2430"/>
      <c r="R7" s="2430"/>
    </row>
    <row r="8" spans="1:30">
      <c r="A8" s="2380" t="s">
        <v>2175</v>
      </c>
      <c r="B8" s="2381" t="s">
        <v>3374</v>
      </c>
      <c r="C8" s="2382"/>
      <c r="D8" s="3721" t="s">
        <v>2176</v>
      </c>
      <c r="E8" s="2383" t="s">
        <v>3375</v>
      </c>
      <c r="F8" s="2384"/>
      <c r="G8" s="2654"/>
      <c r="H8" s="2654"/>
      <c r="I8" s="2654"/>
      <c r="J8" s="2430"/>
      <c r="K8" s="2605"/>
      <c r="L8" s="2604"/>
      <c r="M8" s="2604"/>
      <c r="N8" s="2430"/>
      <c r="O8" s="2441"/>
      <c r="P8" s="2430"/>
      <c r="Q8" s="2430"/>
      <c r="R8" s="2430"/>
    </row>
    <row r="9" spans="1:30" ht="13.5" thickBot="1">
      <c r="A9" s="2385" t="s">
        <v>2177</v>
      </c>
      <c r="B9" s="2386" t="s">
        <v>3375</v>
      </c>
      <c r="C9" s="2387"/>
      <c r="D9" s="3722"/>
      <c r="E9" s="2386"/>
      <c r="F9" s="2388"/>
      <c r="G9" s="2656"/>
      <c r="H9" s="2656"/>
      <c r="I9" s="2656"/>
      <c r="J9" s="2430"/>
      <c r="K9" s="2607"/>
      <c r="L9" s="2604"/>
      <c r="M9" s="2604"/>
      <c r="N9" s="2430"/>
      <c r="O9" s="2441"/>
      <c r="P9" s="2430"/>
      <c r="Q9" s="2430"/>
      <c r="R9" s="2430"/>
    </row>
    <row r="10" spans="1:30" ht="13.5" thickTop="1">
      <c r="A10" s="2389" t="s">
        <v>2178</v>
      </c>
      <c r="B10" s="2390" t="s">
        <v>3584</v>
      </c>
      <c r="C10" s="3650" t="s">
        <v>3586</v>
      </c>
      <c r="D10" s="2374"/>
      <c r="E10" s="2391" t="s">
        <v>2179</v>
      </c>
      <c r="F10" s="3651" t="s">
        <v>3587</v>
      </c>
      <c r="G10" s="2657"/>
      <c r="H10" s="2658"/>
      <c r="I10" s="2659"/>
      <c r="J10" s="2430"/>
      <c r="K10" s="2607"/>
      <c r="L10" s="2604"/>
      <c r="M10" s="2604"/>
      <c r="N10" s="2430"/>
      <c r="O10" s="2441"/>
      <c r="P10" s="2430"/>
      <c r="Q10" s="2430"/>
      <c r="R10" s="2430"/>
    </row>
    <row r="11" spans="1:30">
      <c r="A11" s="2392" t="s">
        <v>2180</v>
      </c>
      <c r="B11" s="2393"/>
      <c r="C11" s="2394"/>
      <c r="D11" s="2395"/>
      <c r="E11" s="2362"/>
      <c r="F11" s="2362"/>
      <c r="G11" s="2362"/>
      <c r="H11" s="2362"/>
      <c r="I11" s="2362"/>
      <c r="J11" s="3047"/>
      <c r="K11" s="3046"/>
      <c r="L11" s="2604"/>
      <c r="M11" s="2604"/>
      <c r="N11" s="2430"/>
      <c r="O11" s="2441"/>
      <c r="P11" s="2430"/>
      <c r="Q11" s="2430"/>
      <c r="R11" s="2430"/>
    </row>
    <row r="12" spans="1:30">
      <c r="A12" s="2396" t="s">
        <v>2181</v>
      </c>
      <c r="B12" s="322" t="s">
        <v>2182</v>
      </c>
      <c r="C12" s="2397" t="s">
        <v>2183</v>
      </c>
      <c r="D12" s="2397" t="s">
        <v>2184</v>
      </c>
      <c r="E12" s="2397" t="s">
        <v>2185</v>
      </c>
      <c r="F12" s="2397" t="s">
        <v>2186</v>
      </c>
      <c r="G12" s="2397" t="s">
        <v>2187</v>
      </c>
      <c r="H12" s="2397" t="s">
        <v>2188</v>
      </c>
      <c r="I12" s="3045" t="s">
        <v>2575</v>
      </c>
      <c r="J12" s="3048"/>
      <c r="K12" s="2604"/>
      <c r="L12" s="2604"/>
      <c r="M12" s="2430"/>
      <c r="N12" s="2441"/>
      <c r="O12" s="2430"/>
      <c r="P12" s="2430"/>
      <c r="Q12" s="2430"/>
      <c r="AD12" s="1740"/>
    </row>
    <row r="13" spans="1:30">
      <c r="A13" s="3409" t="s">
        <v>3335</v>
      </c>
      <c r="B13" s="2398" t="s">
        <v>2189</v>
      </c>
      <c r="C13" s="852">
        <v>69478</v>
      </c>
      <c r="D13" s="852">
        <v>58521</v>
      </c>
      <c r="E13" s="852"/>
      <c r="F13" s="852">
        <v>62173</v>
      </c>
      <c r="G13" s="852"/>
      <c r="H13" s="852"/>
      <c r="I13" s="852"/>
      <c r="J13" s="3048"/>
      <c r="K13" s="2604"/>
      <c r="L13" s="2604"/>
      <c r="M13" s="2430"/>
      <c r="N13" s="2441"/>
      <c r="O13" s="2430"/>
      <c r="P13" s="2430"/>
      <c r="Q13" s="2430"/>
      <c r="AD13" s="1740"/>
    </row>
    <row r="14" spans="1:30">
      <c r="A14" s="1077"/>
      <c r="B14" s="2398" t="s">
        <v>2190</v>
      </c>
      <c r="C14" s="2399">
        <v>70</v>
      </c>
      <c r="D14" s="2399">
        <v>40</v>
      </c>
      <c r="E14" s="2399">
        <v>50</v>
      </c>
      <c r="F14" s="2399">
        <v>50</v>
      </c>
      <c r="G14" s="2399"/>
      <c r="H14" s="2399"/>
      <c r="I14" s="2399"/>
      <c r="J14" s="3049"/>
      <c r="K14" s="2604"/>
      <c r="L14" s="2604"/>
      <c r="M14" s="2430"/>
      <c r="N14" s="2441"/>
      <c r="O14" s="2430"/>
      <c r="P14" s="2430"/>
      <c r="Q14" s="2430"/>
      <c r="AD14" s="1740"/>
    </row>
    <row r="15" spans="1:30">
      <c r="A15" s="319"/>
      <c r="B15" s="2400" t="s">
        <v>2191</v>
      </c>
      <c r="C15" s="2401">
        <f>IF(A13="出让",IF(C13="","",ROUNDDOWN(MIN((C13-$D$3)/365,C14),2)),C14)</f>
        <v>67.06</v>
      </c>
      <c r="D15" s="2401">
        <f>IF(A13="出让",IF(D13="","",ROUNDDOWN(MIN((D13-$D$3)/365,D14),2)),D14)</f>
        <v>37.04</v>
      </c>
      <c r="E15" s="2401" t="str">
        <f>IF(A13="出让",IF(E13="","",ROUNDDOWN(MIN((E13-$D$3)/365,E14),2)),E14)</f>
        <v/>
      </c>
      <c r="F15" s="2401">
        <f>IF(A13="出让",IF(F13="","",ROUNDDOWN(MIN((F13-$D$3)/365,F14),2)),F14)</f>
        <v>47.05</v>
      </c>
      <c r="G15" s="2401" t="str">
        <f>IF(A13="出让",IF(G13="","",ROUNDDOWN(MIN((G13-$D$3)/365,G14),2)),G14)</f>
        <v/>
      </c>
      <c r="H15" s="2401" t="str">
        <f>IF(A13="出让",IF(H13="","",ROUNDDOWN(MIN((H13-$D$3)/365,H14),2)),H14)</f>
        <v/>
      </c>
      <c r="I15" s="2401" t="str">
        <f>IF(A13="出让",IF(I13="","",ROUNDDOWN(MIN((I13-$D$3)/365,I14),2)),I14)</f>
        <v/>
      </c>
      <c r="J15" s="3050"/>
      <c r="K15" s="2442"/>
      <c r="L15" s="2442"/>
      <c r="M15" s="2500"/>
      <c r="N15" s="2442"/>
      <c r="O15" s="2500"/>
      <c r="P15" s="2430"/>
      <c r="Q15" s="2430"/>
      <c r="AD15" s="1740"/>
    </row>
    <row r="16" spans="1:30">
      <c r="A16" s="2391" t="s">
        <v>2192</v>
      </c>
      <c r="B16" s="3728"/>
      <c r="C16" s="3729"/>
      <c r="D16" s="3730"/>
      <c r="E16" s="2404" t="s">
        <v>2193</v>
      </c>
      <c r="F16" s="3731"/>
      <c r="G16" s="3732"/>
      <c r="H16" s="3732"/>
      <c r="I16" s="3733"/>
      <c r="J16" s="2430"/>
      <c r="K16" s="2608"/>
      <c r="L16" s="2442"/>
      <c r="M16" s="2442"/>
      <c r="N16" s="2500"/>
      <c r="O16" s="2442"/>
      <c r="P16" s="2500"/>
      <c r="Q16" s="2430"/>
      <c r="R16" s="2430"/>
    </row>
    <row r="17" spans="1:28">
      <c r="A17" s="312" t="s">
        <v>2194</v>
      </c>
      <c r="B17" s="301" t="s">
        <v>2195</v>
      </c>
      <c r="C17" s="8">
        <f>'数据-汇总表'!E3</f>
        <v>185933.89999999997</v>
      </c>
      <c r="D17" s="2314" t="s">
        <v>2196</v>
      </c>
      <c r="E17" s="3734" t="s">
        <v>2197</v>
      </c>
      <c r="F17" s="3735"/>
      <c r="G17" s="3735"/>
      <c r="H17" s="3735"/>
      <c r="I17" s="3736"/>
      <c r="J17" s="2430"/>
      <c r="K17" s="2609"/>
      <c r="L17" s="2442"/>
      <c r="M17" s="2442"/>
      <c r="N17" s="2500"/>
      <c r="O17" s="2442"/>
      <c r="P17" s="2500"/>
      <c r="Q17" s="2430"/>
      <c r="R17" s="2430"/>
      <c r="S17" s="2430"/>
      <c r="T17" s="2430"/>
      <c r="U17" s="2430"/>
      <c r="V17" s="2430"/>
    </row>
    <row r="18" spans="1:28" ht="24.75" thickBot="1">
      <c r="A18" s="2405" t="s">
        <v>2198</v>
      </c>
      <c r="B18" s="1086" t="s">
        <v>2199</v>
      </c>
      <c r="C18" s="2406">
        <f>'数据-汇总表'!D3</f>
        <v>61753.05</v>
      </c>
      <c r="D18" s="1088" t="s">
        <v>2200</v>
      </c>
      <c r="E18" s="3737" t="s">
        <v>2201</v>
      </c>
      <c r="F18" s="3738"/>
      <c r="G18" s="3738"/>
      <c r="H18" s="3738"/>
      <c r="I18" s="3739"/>
      <c r="J18" s="2430"/>
      <c r="K18" s="2609"/>
      <c r="L18" s="2442"/>
      <c r="M18" s="2442"/>
      <c r="N18" s="2500"/>
      <c r="O18" s="2442"/>
      <c r="P18" s="2500"/>
      <c r="Q18" s="2430"/>
      <c r="R18" s="2430"/>
      <c r="S18" s="2430"/>
      <c r="T18" s="2430"/>
      <c r="U18" s="2430"/>
      <c r="V18" s="2430"/>
    </row>
    <row r="19" spans="1:28" ht="37.5" thickTop="1" thickBot="1">
      <c r="A19" s="326" t="s">
        <v>1055</v>
      </c>
      <c r="B19" s="306" t="s">
        <v>2202</v>
      </c>
      <c r="C19" s="1558"/>
      <c r="D19" s="1559" t="s">
        <v>2203</v>
      </c>
      <c r="E19" s="1560"/>
      <c r="F19" s="1561" t="str">
        <f>IF(AND(C19="是",E19="否"),"是否提供他项权证或相关说明","")</f>
        <v/>
      </c>
      <c r="G19" s="1562"/>
      <c r="H19" s="2655"/>
      <c r="I19" s="2655"/>
      <c r="J19" s="2430"/>
      <c r="K19" s="2607"/>
      <c r="L19" s="2604"/>
      <c r="M19" s="2604"/>
      <c r="N19" s="2500"/>
      <c r="O19" s="2442"/>
      <c r="P19" s="2500"/>
      <c r="Q19" s="2430"/>
      <c r="R19" s="2430"/>
      <c r="S19" s="2430"/>
      <c r="T19" s="2430"/>
      <c r="U19" s="2430"/>
      <c r="V19" s="2430"/>
    </row>
    <row r="20" spans="1:28">
      <c r="A20" s="2623" t="s">
        <v>2204</v>
      </c>
      <c r="B20" s="3724" t="s">
        <v>2205</v>
      </c>
      <c r="C20" s="3725"/>
      <c r="D20" s="3726" t="s">
        <v>2206</v>
      </c>
      <c r="E20" s="3727"/>
      <c r="F20" s="2638" t="s">
        <v>1056</v>
      </c>
      <c r="G20" s="2655"/>
      <c r="H20" s="2655"/>
      <c r="I20" s="2655"/>
      <c r="J20" s="2430"/>
      <c r="K20" s="372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40"/>
      <c r="X20" s="1740"/>
      <c r="Y20" s="1740"/>
      <c r="Z20" s="1740"/>
      <c r="AA20" s="1740"/>
      <c r="AB20" s="1740"/>
    </row>
    <row r="21" spans="1:28" ht="24.75" thickBot="1">
      <c r="A21" s="2623"/>
      <c r="B21" s="2624" t="s">
        <v>2208</v>
      </c>
      <c r="C21" s="2625" t="s">
        <v>1057</v>
      </c>
      <c r="D21" s="1563" t="s">
        <v>2209</v>
      </c>
      <c r="E21" s="2626" t="s">
        <v>1057</v>
      </c>
      <c r="F21" s="2639"/>
      <c r="G21" s="2655"/>
      <c r="H21" s="2655"/>
      <c r="I21" s="2655"/>
      <c r="J21" s="2430"/>
      <c r="K21" s="372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40"/>
      <c r="X21" s="1740"/>
      <c r="Y21" s="1740"/>
      <c r="Z21" s="1740"/>
      <c r="AA21" s="1740"/>
      <c r="AB21" s="1740"/>
    </row>
    <row r="22" spans="1:28" ht="24.75" thickBot="1">
      <c r="A22" s="2623"/>
      <c r="B22" s="2627" t="s">
        <v>2210</v>
      </c>
      <c r="C22" s="2625" t="s">
        <v>1058</v>
      </c>
      <c r="D22" s="2654"/>
      <c r="E22" s="2654"/>
      <c r="F22" s="2654"/>
      <c r="G22" s="2655"/>
      <c r="H22" s="2655"/>
      <c r="I22" s="2655"/>
      <c r="J22" s="2430"/>
      <c r="K22" s="372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40"/>
      <c r="X22" s="1740"/>
      <c r="Y22" s="1740"/>
      <c r="Z22" s="1740"/>
      <c r="AA22" s="1740"/>
      <c r="AB22" s="1740"/>
    </row>
    <row r="23" spans="1:28">
      <c r="A23" s="2628" t="s">
        <v>2211</v>
      </c>
      <c r="B23" s="2493" t="s">
        <v>2212</v>
      </c>
      <c r="C23" s="2629"/>
      <c r="D23" s="2630" t="s">
        <v>2212</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741" t="s">
        <v>2213</v>
      </c>
      <c r="B27" s="319" t="s">
        <v>2214</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741"/>
      <c r="B28" s="301" t="s">
        <v>2215</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741"/>
      <c r="B29" s="301" t="s">
        <v>2216</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742"/>
      <c r="B30" s="301" t="s">
        <v>2217</v>
      </c>
      <c r="C30" s="3743"/>
      <c r="D30" s="3744"/>
      <c r="E30" s="2655"/>
      <c r="F30" s="2655"/>
      <c r="G30" s="2655"/>
      <c r="H30" s="2655"/>
      <c r="I30" s="2655"/>
      <c r="J30" s="2430"/>
      <c r="K30" s="2607"/>
      <c r="L30" s="2604"/>
      <c r="M30" s="2604"/>
      <c r="N30" s="2430"/>
      <c r="O30" s="2441"/>
      <c r="P30" s="2430"/>
      <c r="Q30" s="2430"/>
      <c r="R30" s="2430"/>
      <c r="S30" s="2430"/>
      <c r="T30" s="2430"/>
      <c r="U30" s="2430"/>
      <c r="V30" s="2430"/>
    </row>
    <row r="31" spans="1:28">
      <c r="A31" s="3745" t="s">
        <v>2218</v>
      </c>
      <c r="B31" s="2413"/>
      <c r="C31" s="2315" t="str">
        <f>IF(B31="现房","成新及维护状况正常否",IF(B31="在建","工程状态是否正常",IF(B31="土地","是否闲置","-")))</f>
        <v>-</v>
      </c>
      <c r="D31" s="1368"/>
      <c r="E31" s="2414"/>
      <c r="F31" s="2655"/>
      <c r="G31" s="2655"/>
      <c r="H31" s="2655"/>
      <c r="I31" s="2655"/>
      <c r="J31" s="2430"/>
      <c r="K31" s="2606"/>
      <c r="L31" s="2604"/>
      <c r="M31" s="2604"/>
      <c r="N31" s="2430"/>
      <c r="O31" s="2441"/>
      <c r="P31" s="2430"/>
      <c r="Q31" s="2430"/>
      <c r="R31" s="2430"/>
      <c r="S31" s="2430"/>
      <c r="T31" s="2430"/>
      <c r="U31" s="2430"/>
      <c r="V31" s="2430"/>
    </row>
    <row r="32" spans="1:28">
      <c r="A32" s="3746"/>
      <c r="B32" s="2413"/>
      <c r="C32" s="2315" t="str">
        <f>IF(B32="现房","成新及维护状况是否正常",IF(B32="在建","工程状态是否正常",IF(B32="土地","是否闲置","-")))</f>
        <v>-</v>
      </c>
      <c r="D32" s="1368"/>
      <c r="E32" s="2414"/>
      <c r="F32" s="2655"/>
      <c r="G32" s="2655"/>
      <c r="H32" s="2655"/>
      <c r="I32" s="2655"/>
      <c r="J32" s="2430"/>
      <c r="K32" s="2607"/>
      <c r="L32" s="2604"/>
      <c r="M32" s="2604"/>
      <c r="N32" s="2430"/>
      <c r="O32" s="2441"/>
      <c r="P32" s="2430"/>
      <c r="Q32" s="2430"/>
      <c r="R32" s="2430"/>
      <c r="S32" s="2430"/>
      <c r="T32" s="2430"/>
      <c r="U32" s="2430"/>
      <c r="V32" s="2430"/>
    </row>
    <row r="33" spans="1:30">
      <c r="A33" s="3746"/>
      <c r="B33" s="2416"/>
      <c r="C33" s="1585" t="str">
        <f>IF(B33="现房","成新及维护状况是否正常",IF(B33="在建","工程状态是否正常",IF(B33="土地","是否闲置","-")))</f>
        <v>-</v>
      </c>
      <c r="D33" s="1360"/>
      <c r="E33" s="2417"/>
      <c r="F33" s="2655"/>
      <c r="G33" s="2655"/>
      <c r="H33" s="2655"/>
      <c r="I33" s="2655"/>
      <c r="J33" s="2430"/>
      <c r="K33" s="2607"/>
      <c r="L33" s="2604"/>
      <c r="M33" s="2604"/>
      <c r="N33" s="2430"/>
      <c r="O33" s="2441"/>
      <c r="P33" s="2430"/>
      <c r="Q33" s="2430"/>
      <c r="R33" s="2430"/>
      <c r="S33" s="2430"/>
      <c r="T33" s="2430"/>
      <c r="U33" s="2430"/>
      <c r="V33" s="2430"/>
    </row>
    <row r="34" spans="1:30">
      <c r="A34" s="301" t="s">
        <v>2219</v>
      </c>
      <c r="B34" s="2018" t="s">
        <v>3379</v>
      </c>
      <c r="C34" s="2018" t="s">
        <v>3380</v>
      </c>
      <c r="D34" s="2018" t="s">
        <v>3381</v>
      </c>
      <c r="E34" s="2018" t="s">
        <v>3382</v>
      </c>
      <c r="F34" s="2018" t="s">
        <v>3383</v>
      </c>
      <c r="G34" s="2018" t="s">
        <v>3384</v>
      </c>
      <c r="H34" s="2018" t="s">
        <v>3385</v>
      </c>
      <c r="I34" s="2655"/>
      <c r="J34" s="2430"/>
      <c r="K34" s="2418">
        <f>COUNTIF(B34:H34,"——")</f>
        <v>0</v>
      </c>
      <c r="L34" s="322" t="s">
        <v>2220</v>
      </c>
      <c r="M34" s="322" t="s">
        <v>2221</v>
      </c>
      <c r="N34" s="322" t="s">
        <v>2222</v>
      </c>
      <c r="O34" s="322" t="s">
        <v>2223</v>
      </c>
      <c r="P34" s="322" t="s">
        <v>2224</v>
      </c>
      <c r="Q34" s="322" t="s">
        <v>2225</v>
      </c>
      <c r="R34" s="322" t="s">
        <v>2226</v>
      </c>
      <c r="S34" s="3740" t="s">
        <v>2227</v>
      </c>
      <c r="T34" s="2419" t="str">
        <f>NUMBERSTRING(7-K34,1)&amp;"通"</f>
        <v>七通</v>
      </c>
      <c r="U34" s="2430"/>
      <c r="V34" s="2430"/>
    </row>
    <row r="35" spans="1:30">
      <c r="A35" s="2420"/>
      <c r="B35" s="3747" t="s">
        <v>2228</v>
      </c>
      <c r="C35" s="3747"/>
      <c r="D35" s="3747"/>
      <c r="E35" s="3747"/>
      <c r="F35" s="663" t="str">
        <f>C10</f>
        <v>河南省</v>
      </c>
      <c r="G35" s="2655"/>
      <c r="H35" s="2655"/>
      <c r="I35" s="2655"/>
      <c r="J35" s="2430"/>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740"/>
      <c r="T35" s="328" t="str">
        <f>IF(T34="一通",L35,IF(T34="二通",M35,IF(T34="三通",N35,IF(T34="四通",O35,IF(T34="五通",P35,IF(T34="六通",Q35,R35))))))</f>
        <v>通路、通电、通讯、通上水、通下水、燃气、平整</v>
      </c>
      <c r="U35" s="2430"/>
      <c r="V35" s="2430"/>
    </row>
    <row r="36" spans="1:30">
      <c r="A36" s="2421"/>
      <c r="B36" s="663" t="s">
        <v>2184</v>
      </c>
      <c r="C36" s="663" t="s">
        <v>2185</v>
      </c>
      <c r="D36" s="663" t="s">
        <v>2183</v>
      </c>
      <c r="E36" s="663" t="s">
        <v>2188</v>
      </c>
      <c r="F36" s="3051" t="s">
        <v>2578</v>
      </c>
      <c r="G36" s="2655"/>
      <c r="H36" s="2655"/>
      <c r="I36" s="2655"/>
      <c r="J36" s="2430"/>
      <c r="K36" s="2607"/>
      <c r="L36" s="2604"/>
      <c r="M36" s="2604"/>
      <c r="N36" s="2430"/>
      <c r="O36" s="2441"/>
      <c r="P36" s="2430"/>
      <c r="Q36" s="2430"/>
      <c r="R36" s="2430"/>
      <c r="S36" s="2430"/>
      <c r="T36" s="2430"/>
      <c r="U36" s="2430"/>
      <c r="V36" s="2430"/>
    </row>
    <row r="37" spans="1:30">
      <c r="A37" s="2621" t="s">
        <v>2229</v>
      </c>
      <c r="B37" s="2422" t="s">
        <v>296</v>
      </c>
      <c r="C37" s="2422" t="s">
        <v>296</v>
      </c>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2230</v>
      </c>
      <c r="B38" s="2423" t="s">
        <v>186</v>
      </c>
      <c r="C38" s="2423" t="s">
        <v>169</v>
      </c>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3"/>
      <c r="J40" s="2500"/>
      <c r="K40" s="2606"/>
      <c r="L40" s="2442"/>
      <c r="M40" s="2442"/>
      <c r="N40" s="2500"/>
      <c r="O40" s="2442"/>
      <c r="P40" s="2430"/>
      <c r="Q40" s="2430"/>
      <c r="R40" s="2430"/>
      <c r="S40" s="2430"/>
      <c r="T40" s="2430"/>
      <c r="U40" s="2430"/>
      <c r="V40" s="2430"/>
    </row>
    <row r="41" spans="1:30">
      <c r="A41" s="2427" t="s">
        <v>2232</v>
      </c>
      <c r="B41" s="1752"/>
      <c r="C41" s="1368"/>
      <c r="D41" s="2362"/>
      <c r="E41" s="2362"/>
      <c r="F41" s="2362"/>
      <c r="G41" s="2362"/>
      <c r="H41" s="2362"/>
      <c r="I41" s="1571"/>
      <c r="J41" s="2430"/>
      <c r="K41" s="2607"/>
      <c r="L41" s="2604"/>
      <c r="M41" s="2604"/>
      <c r="N41" s="2430"/>
      <c r="O41" s="2441"/>
      <c r="P41" s="2430"/>
      <c r="Q41" s="2430"/>
      <c r="R41" s="2430"/>
      <c r="S41" s="2430"/>
      <c r="T41" s="2430"/>
      <c r="U41" s="2430"/>
      <c r="V41" s="2430"/>
    </row>
    <row r="42" spans="1:30" ht="25.5">
      <c r="A42" s="322"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8" customFormat="1">
      <c r="A43" s="1565"/>
      <c r="B43" s="1047"/>
      <c r="C43" s="1047"/>
      <c r="D43" s="1047"/>
      <c r="E43" s="1047"/>
      <c r="F43" s="1047"/>
      <c r="G43" s="1047"/>
      <c r="H43" s="1047"/>
      <c r="I43" s="1047"/>
      <c r="J43" s="2428"/>
      <c r="K43" s="2429"/>
      <c r="L43" s="2429"/>
      <c r="M43" s="1047"/>
      <c r="N43" s="1047"/>
      <c r="O43" s="1047"/>
      <c r="P43" s="1047"/>
      <c r="Q43" s="1047"/>
      <c r="R43" s="1047"/>
      <c r="S43" s="2430"/>
      <c r="T43" s="2430"/>
      <c r="U43" s="2430"/>
      <c r="V43" s="2430"/>
    </row>
    <row r="44" spans="1:30" s="1738" customFormat="1">
      <c r="A44" s="1565"/>
      <c r="B44" s="1565"/>
      <c r="C44" s="1047"/>
      <c r="D44" s="1047"/>
      <c r="E44" s="1047"/>
      <c r="F44" s="1047"/>
      <c r="G44" s="1047"/>
      <c r="H44" s="1047"/>
      <c r="I44" s="1047"/>
      <c r="J44" s="2428"/>
      <c r="K44" s="2429"/>
      <c r="L44" s="2429"/>
      <c r="M44" s="1047"/>
      <c r="N44" s="1047"/>
      <c r="O44" s="1047"/>
      <c r="P44" s="1047"/>
      <c r="Q44" s="1047"/>
      <c r="R44" s="1047"/>
      <c r="S44" s="2430"/>
      <c r="T44" s="2430"/>
      <c r="U44" s="2430"/>
      <c r="V44" s="2430"/>
    </row>
    <row r="45" spans="1:30" s="1738" customFormat="1">
      <c r="A45" s="1565"/>
      <c r="B45" s="1565"/>
      <c r="C45" s="1047"/>
      <c r="D45" s="1047"/>
      <c r="E45" s="1047"/>
      <c r="F45" s="1047"/>
      <c r="G45" s="1047"/>
      <c r="H45" s="1047"/>
      <c r="I45" s="1047"/>
      <c r="J45" s="2428"/>
      <c r="K45" s="2429"/>
      <c r="L45" s="2429"/>
      <c r="M45" s="1047"/>
      <c r="N45" s="1047"/>
      <c r="O45" s="1047"/>
      <c r="P45" s="1047"/>
      <c r="Q45" s="1047"/>
      <c r="R45" s="1047"/>
      <c r="S45" s="2430"/>
      <c r="T45" s="2430"/>
      <c r="U45" s="2430"/>
      <c r="V45" s="2430"/>
    </row>
    <row r="46" spans="1:30" s="1738" customFormat="1">
      <c r="A46" s="1565"/>
      <c r="B46" s="1565"/>
      <c r="C46" s="1047"/>
      <c r="D46" s="1047"/>
      <c r="E46" s="1047"/>
      <c r="F46" s="1047"/>
      <c r="G46" s="1047"/>
      <c r="H46" s="1047"/>
      <c r="I46" s="1047"/>
      <c r="J46" s="2428"/>
      <c r="K46" s="2429"/>
      <c r="L46" s="2429"/>
      <c r="M46" s="1047"/>
      <c r="N46" s="1047"/>
      <c r="O46" s="1047"/>
      <c r="P46" s="1047"/>
      <c r="Q46" s="1047"/>
      <c r="R46" s="1047"/>
      <c r="S46" s="2430"/>
      <c r="T46" s="2430"/>
      <c r="U46" s="2430"/>
      <c r="V46" s="2430"/>
    </row>
    <row r="47" spans="1:30" s="1738" customFormat="1">
      <c r="A47" s="1565"/>
      <c r="B47" s="1565"/>
      <c r="C47" s="1047"/>
      <c r="D47" s="1047"/>
      <c r="E47" s="1047"/>
      <c r="F47" s="1047"/>
      <c r="G47" s="1047"/>
      <c r="H47" s="1047"/>
      <c r="I47" s="1047"/>
      <c r="J47" s="2428"/>
      <c r="K47" s="2429"/>
      <c r="L47" s="2429"/>
      <c r="M47" s="1047"/>
      <c r="N47" s="1047"/>
      <c r="O47" s="1047"/>
      <c r="P47" s="1047"/>
      <c r="Q47" s="1047"/>
      <c r="R47" s="1047"/>
      <c r="S47" s="2430"/>
      <c r="T47" s="2430"/>
      <c r="U47" s="2430"/>
      <c r="V47" s="2430"/>
    </row>
    <row r="48" spans="1:30" s="1738" customFormat="1">
      <c r="A48" s="1565"/>
      <c r="B48" s="1565"/>
      <c r="C48" s="1047"/>
      <c r="D48" s="1047"/>
      <c r="E48" s="1047"/>
      <c r="F48" s="1047"/>
      <c r="G48" s="1047"/>
      <c r="H48" s="1047"/>
      <c r="I48" s="1047"/>
      <c r="J48" s="2428"/>
      <c r="K48" s="2429"/>
      <c r="L48" s="2429"/>
      <c r="M48" s="1047"/>
      <c r="N48" s="1047"/>
      <c r="O48" s="1047"/>
      <c r="P48" s="1047"/>
      <c r="Q48" s="1047"/>
      <c r="R48" s="1047"/>
      <c r="S48" s="2430"/>
      <c r="T48" s="2430"/>
      <c r="U48" s="2430"/>
      <c r="V48" s="2430"/>
    </row>
    <row r="49" spans="1:22" s="1738" customFormat="1">
      <c r="A49" s="1565"/>
      <c r="B49" s="1565"/>
      <c r="C49" s="1047"/>
      <c r="D49" s="1047"/>
      <c r="E49" s="1047"/>
      <c r="F49" s="1047"/>
      <c r="G49" s="1047"/>
      <c r="H49" s="1047"/>
      <c r="I49" s="1047"/>
      <c r="J49" s="2428"/>
      <c r="K49" s="2429"/>
      <c r="L49" s="2429"/>
      <c r="M49" s="1047"/>
      <c r="N49" s="1047"/>
      <c r="O49" s="1047"/>
      <c r="P49" s="1047"/>
      <c r="Q49" s="1047"/>
      <c r="R49" s="1047"/>
      <c r="S49" s="2430"/>
      <c r="T49" s="2430"/>
      <c r="U49" s="2430"/>
      <c r="V49" s="2430"/>
    </row>
    <row r="50" spans="1:22" s="1738" customFormat="1">
      <c r="A50" s="1565"/>
      <c r="B50" s="1565"/>
      <c r="C50" s="1047"/>
      <c r="D50" s="1047"/>
      <c r="E50" s="1047"/>
      <c r="F50" s="1047"/>
      <c r="G50" s="1047"/>
      <c r="H50" s="1047"/>
      <c r="I50" s="1047"/>
      <c r="J50" s="2428"/>
      <c r="K50" s="2429"/>
      <c r="L50" s="2429"/>
      <c r="M50" s="1047"/>
      <c r="N50" s="1047"/>
      <c r="O50" s="1047"/>
      <c r="P50" s="1047"/>
      <c r="Q50" s="1047"/>
      <c r="R50" s="1047"/>
      <c r="S50" s="2430"/>
      <c r="T50" s="2430"/>
      <c r="U50" s="2430"/>
      <c r="V50" s="2430"/>
    </row>
    <row r="51" spans="1:22" s="1738" customFormat="1">
      <c r="A51" s="1565"/>
      <c r="B51" s="1565"/>
      <c r="C51" s="1047"/>
      <c r="D51" s="1047"/>
      <c r="E51" s="1047"/>
      <c r="F51" s="1047"/>
      <c r="G51" s="1047"/>
      <c r="H51" s="1047"/>
      <c r="I51" s="1047"/>
      <c r="J51" s="2428"/>
      <c r="K51" s="2429"/>
      <c r="L51" s="2429"/>
      <c r="M51" s="1047"/>
      <c r="N51" s="1047"/>
      <c r="O51" s="1047"/>
      <c r="P51" s="1047"/>
      <c r="Q51" s="1047"/>
      <c r="R51" s="1047"/>
    </row>
    <row r="52" spans="1:22" s="1738" customFormat="1">
      <c r="A52" s="1565"/>
      <c r="B52" s="1565"/>
      <c r="C52" s="1565"/>
      <c r="D52" s="1565"/>
      <c r="E52" s="1565"/>
      <c r="F52" s="1047"/>
      <c r="G52" s="1565"/>
      <c r="H52" s="1565"/>
      <c r="I52" s="1565"/>
      <c r="J52" s="2431"/>
      <c r="K52" s="2429"/>
      <c r="L52" s="2429"/>
      <c r="M52" s="2429"/>
      <c r="N52" s="1565"/>
      <c r="O52" s="1565"/>
      <c r="P52" s="1565"/>
      <c r="Q52" s="1565"/>
      <c r="R52" s="1565"/>
    </row>
    <row r="53" spans="1:22" s="1738" customFormat="1">
      <c r="A53" s="1565"/>
      <c r="B53" s="1565"/>
      <c r="C53" s="1565"/>
      <c r="D53" s="1565"/>
      <c r="E53" s="1565"/>
      <c r="F53" s="1047"/>
      <c r="G53" s="1565"/>
      <c r="H53" s="1565"/>
      <c r="I53" s="1565"/>
      <c r="J53" s="2431"/>
      <c r="K53" s="2429"/>
      <c r="L53" s="2429"/>
      <c r="M53" s="2429"/>
      <c r="N53" s="1565"/>
      <c r="O53" s="1565"/>
      <c r="P53" s="1565"/>
      <c r="Q53" s="1565"/>
      <c r="R53" s="1565"/>
    </row>
    <row r="54" spans="1:22" s="1738" customFormat="1">
      <c r="A54" s="1565"/>
      <c r="B54" s="1565"/>
      <c r="C54" s="1565"/>
      <c r="D54" s="1565"/>
      <c r="E54" s="1565"/>
      <c r="F54" s="1047"/>
      <c r="G54" s="1565"/>
      <c r="H54" s="1565"/>
      <c r="I54" s="1565"/>
      <c r="J54" s="2431"/>
      <c r="K54" s="2429"/>
      <c r="L54" s="2429"/>
      <c r="M54" s="2429"/>
      <c r="N54" s="1565"/>
      <c r="O54" s="1565"/>
      <c r="P54" s="1565"/>
      <c r="Q54" s="1565"/>
      <c r="R54" s="1565"/>
    </row>
    <row r="55" spans="1:22" s="1738" customFormat="1">
      <c r="A55" s="1565"/>
      <c r="B55" s="1565"/>
      <c r="C55" s="1565"/>
      <c r="D55" s="1565"/>
      <c r="E55" s="1565"/>
      <c r="F55" s="1047"/>
      <c r="G55" s="1565"/>
      <c r="H55" s="1565"/>
      <c r="I55" s="1565"/>
      <c r="J55" s="2431"/>
      <c r="K55" s="2429"/>
      <c r="L55" s="2429"/>
      <c r="M55" s="2429"/>
      <c r="N55" s="1565"/>
      <c r="O55" s="1565"/>
      <c r="P55" s="1565"/>
      <c r="Q55" s="1565"/>
      <c r="R55" s="1565"/>
    </row>
    <row r="56" spans="1:22" s="1738" customFormat="1">
      <c r="A56" s="1565"/>
      <c r="B56" s="1565"/>
      <c r="C56" s="1565"/>
      <c r="D56" s="1565"/>
      <c r="E56" s="1565"/>
      <c r="F56" s="1047"/>
      <c r="G56" s="1565"/>
      <c r="H56" s="1565"/>
      <c r="I56" s="1565"/>
      <c r="J56" s="2431"/>
      <c r="K56" s="2429"/>
      <c r="L56" s="2429"/>
      <c r="M56" s="2429"/>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9"/>
  <sheetViews>
    <sheetView topLeftCell="H43" workbookViewId="0">
      <selection activeCell="R27" sqref="R27"/>
    </sheetView>
  </sheetViews>
  <sheetFormatPr defaultRowHeight="15.75"/>
  <cols>
    <col min="1" max="1" width="23.5" style="3512" customWidth="1"/>
    <col min="2" max="2" width="36.625" style="3512" customWidth="1"/>
    <col min="3" max="3" width="5.125" style="3477" customWidth="1"/>
    <col min="4" max="4" width="4.875" style="3478" customWidth="1"/>
    <col min="5" max="5" width="9.875" style="3477" customWidth="1"/>
    <col min="6" max="6" width="14.5" style="3477" customWidth="1"/>
    <col min="7" max="7" width="11.25" style="3477" customWidth="1"/>
    <col min="8" max="9" width="10.125" style="3477" customWidth="1"/>
    <col min="10" max="11" width="10.75" style="3477" customWidth="1"/>
    <col min="12" max="12" width="12.25" style="3477" customWidth="1"/>
    <col min="13" max="13" width="11.375" style="3477" customWidth="1"/>
    <col min="14" max="14" width="10.375" style="3477" customWidth="1"/>
    <col min="15" max="16" width="11.375" style="3477" customWidth="1"/>
    <col min="17" max="17" width="9" style="3477"/>
    <col min="18" max="18" width="10.875" style="3477" customWidth="1"/>
    <col min="19" max="20" width="9" style="3477"/>
    <col min="21" max="21" width="9" style="3480"/>
    <col min="22" max="22" width="11.875" style="3480" customWidth="1"/>
    <col min="23" max="23" width="11.25" style="3480" customWidth="1"/>
    <col min="24" max="31" width="9" style="3480"/>
    <col min="32" max="32" width="12" style="3477" customWidth="1"/>
    <col min="33" max="36" width="9" style="3477"/>
    <col min="37" max="37" width="9.5" style="3477" bestFit="1" customWidth="1"/>
    <col min="38" max="256" width="9" style="3477"/>
    <col min="257" max="257" width="23.5" style="3477" customWidth="1"/>
    <col min="258" max="258" width="36.625" style="3477" customWidth="1"/>
    <col min="259" max="259" width="5.125" style="3477" customWidth="1"/>
    <col min="260" max="260" width="9.5" style="3477" customWidth="1"/>
    <col min="261" max="261" width="13.875" style="3477" customWidth="1"/>
    <col min="262" max="262" width="11.75" style="3477" customWidth="1"/>
    <col min="263" max="263" width="11.25" style="3477" customWidth="1"/>
    <col min="264" max="264" width="10.125" style="3477" customWidth="1"/>
    <col min="265" max="267" width="10.75" style="3477" customWidth="1"/>
    <col min="268" max="268" width="12.25" style="3477" customWidth="1"/>
    <col min="269" max="269" width="11.375" style="3477" customWidth="1"/>
    <col min="270" max="270" width="10.375" style="3477" customWidth="1"/>
    <col min="271" max="272" width="11.375" style="3477" customWidth="1"/>
    <col min="273" max="273" width="9" style="3477"/>
    <col min="274" max="274" width="10.875" style="3477" customWidth="1"/>
    <col min="275" max="277" width="9" style="3477"/>
    <col min="278" max="278" width="11.875" style="3477" customWidth="1"/>
    <col min="279" max="279" width="11.25" style="3477" customWidth="1"/>
    <col min="280" max="287" width="9" style="3477"/>
    <col min="288" max="288" width="12" style="3477" customWidth="1"/>
    <col min="289" max="292" width="9" style="3477"/>
    <col min="293" max="293" width="9.5" style="3477" bestFit="1" customWidth="1"/>
    <col min="294" max="512" width="9" style="3477"/>
    <col min="513" max="513" width="23.5" style="3477" customWidth="1"/>
    <col min="514" max="514" width="36.625" style="3477" customWidth="1"/>
    <col min="515" max="515" width="5.125" style="3477" customWidth="1"/>
    <col min="516" max="516" width="9.5" style="3477" customWidth="1"/>
    <col min="517" max="517" width="13.875" style="3477" customWidth="1"/>
    <col min="518" max="518" width="11.75" style="3477" customWidth="1"/>
    <col min="519" max="519" width="11.25" style="3477" customWidth="1"/>
    <col min="520" max="520" width="10.125" style="3477" customWidth="1"/>
    <col min="521" max="523" width="10.75" style="3477" customWidth="1"/>
    <col min="524" max="524" width="12.25" style="3477" customWidth="1"/>
    <col min="525" max="525" width="11.375" style="3477" customWidth="1"/>
    <col min="526" max="526" width="10.375" style="3477" customWidth="1"/>
    <col min="527" max="528" width="11.375" style="3477" customWidth="1"/>
    <col min="529" max="529" width="9" style="3477"/>
    <col min="530" max="530" width="10.875" style="3477" customWidth="1"/>
    <col min="531" max="533" width="9" style="3477"/>
    <col min="534" max="534" width="11.875" style="3477" customWidth="1"/>
    <col min="535" max="535" width="11.25" style="3477" customWidth="1"/>
    <col min="536" max="543" width="9" style="3477"/>
    <col min="544" max="544" width="12" style="3477" customWidth="1"/>
    <col min="545" max="548" width="9" style="3477"/>
    <col min="549" max="549" width="9.5" style="3477" bestFit="1" customWidth="1"/>
    <col min="550" max="768" width="9" style="3477"/>
    <col min="769" max="769" width="23.5" style="3477" customWidth="1"/>
    <col min="770" max="770" width="36.625" style="3477" customWidth="1"/>
    <col min="771" max="771" width="5.125" style="3477" customWidth="1"/>
    <col min="772" max="772" width="9.5" style="3477" customWidth="1"/>
    <col min="773" max="773" width="13.875" style="3477" customWidth="1"/>
    <col min="774" max="774" width="11.75" style="3477" customWidth="1"/>
    <col min="775" max="775" width="11.25" style="3477" customWidth="1"/>
    <col min="776" max="776" width="10.125" style="3477" customWidth="1"/>
    <col min="777" max="779" width="10.75" style="3477" customWidth="1"/>
    <col min="780" max="780" width="12.25" style="3477" customWidth="1"/>
    <col min="781" max="781" width="11.375" style="3477" customWidth="1"/>
    <col min="782" max="782" width="10.375" style="3477" customWidth="1"/>
    <col min="783" max="784" width="11.375" style="3477" customWidth="1"/>
    <col min="785" max="785" width="9" style="3477"/>
    <col min="786" max="786" width="10.875" style="3477" customWidth="1"/>
    <col min="787" max="789" width="9" style="3477"/>
    <col min="790" max="790" width="11.875" style="3477" customWidth="1"/>
    <col min="791" max="791" width="11.25" style="3477" customWidth="1"/>
    <col min="792" max="799" width="9" style="3477"/>
    <col min="800" max="800" width="12" style="3477" customWidth="1"/>
    <col min="801" max="804" width="9" style="3477"/>
    <col min="805" max="805" width="9.5" style="3477" bestFit="1" customWidth="1"/>
    <col min="806" max="1024" width="9" style="3477"/>
    <col min="1025" max="1025" width="23.5" style="3477" customWidth="1"/>
    <col min="1026" max="1026" width="36.625" style="3477" customWidth="1"/>
    <col min="1027" max="1027" width="5.125" style="3477" customWidth="1"/>
    <col min="1028" max="1028" width="9.5" style="3477" customWidth="1"/>
    <col min="1029" max="1029" width="13.875" style="3477" customWidth="1"/>
    <col min="1030" max="1030" width="11.75" style="3477" customWidth="1"/>
    <col min="1031" max="1031" width="11.25" style="3477" customWidth="1"/>
    <col min="1032" max="1032" width="10.125" style="3477" customWidth="1"/>
    <col min="1033" max="1035" width="10.75" style="3477" customWidth="1"/>
    <col min="1036" max="1036" width="12.25" style="3477" customWidth="1"/>
    <col min="1037" max="1037" width="11.375" style="3477" customWidth="1"/>
    <col min="1038" max="1038" width="10.375" style="3477" customWidth="1"/>
    <col min="1039" max="1040" width="11.375" style="3477" customWidth="1"/>
    <col min="1041" max="1041" width="9" style="3477"/>
    <col min="1042" max="1042" width="10.875" style="3477" customWidth="1"/>
    <col min="1043" max="1045" width="9" style="3477"/>
    <col min="1046" max="1046" width="11.875" style="3477" customWidth="1"/>
    <col min="1047" max="1047" width="11.25" style="3477" customWidth="1"/>
    <col min="1048" max="1055" width="9" style="3477"/>
    <col min="1056" max="1056" width="12" style="3477" customWidth="1"/>
    <col min="1057" max="1060" width="9" style="3477"/>
    <col min="1061" max="1061" width="9.5" style="3477" bestFit="1" customWidth="1"/>
    <col min="1062" max="1280" width="9" style="3477"/>
    <col min="1281" max="1281" width="23.5" style="3477" customWidth="1"/>
    <col min="1282" max="1282" width="36.625" style="3477" customWidth="1"/>
    <col min="1283" max="1283" width="5.125" style="3477" customWidth="1"/>
    <col min="1284" max="1284" width="9.5" style="3477" customWidth="1"/>
    <col min="1285" max="1285" width="13.875" style="3477" customWidth="1"/>
    <col min="1286" max="1286" width="11.75" style="3477" customWidth="1"/>
    <col min="1287" max="1287" width="11.25" style="3477" customWidth="1"/>
    <col min="1288" max="1288" width="10.125" style="3477" customWidth="1"/>
    <col min="1289" max="1291" width="10.75" style="3477" customWidth="1"/>
    <col min="1292" max="1292" width="12.25" style="3477" customWidth="1"/>
    <col min="1293" max="1293" width="11.375" style="3477" customWidth="1"/>
    <col min="1294" max="1294" width="10.375" style="3477" customWidth="1"/>
    <col min="1295" max="1296" width="11.375" style="3477" customWidth="1"/>
    <col min="1297" max="1297" width="9" style="3477"/>
    <col min="1298" max="1298" width="10.875" style="3477" customWidth="1"/>
    <col min="1299" max="1301" width="9" style="3477"/>
    <col min="1302" max="1302" width="11.875" style="3477" customWidth="1"/>
    <col min="1303" max="1303" width="11.25" style="3477" customWidth="1"/>
    <col min="1304" max="1311" width="9" style="3477"/>
    <col min="1312" max="1312" width="12" style="3477" customWidth="1"/>
    <col min="1313" max="1316" width="9" style="3477"/>
    <col min="1317" max="1317" width="9.5" style="3477" bestFit="1" customWidth="1"/>
    <col min="1318" max="1536" width="9" style="3477"/>
    <col min="1537" max="1537" width="23.5" style="3477" customWidth="1"/>
    <col min="1538" max="1538" width="36.625" style="3477" customWidth="1"/>
    <col min="1539" max="1539" width="5.125" style="3477" customWidth="1"/>
    <col min="1540" max="1540" width="9.5" style="3477" customWidth="1"/>
    <col min="1541" max="1541" width="13.875" style="3477" customWidth="1"/>
    <col min="1542" max="1542" width="11.75" style="3477" customWidth="1"/>
    <col min="1543" max="1543" width="11.25" style="3477" customWidth="1"/>
    <col min="1544" max="1544" width="10.125" style="3477" customWidth="1"/>
    <col min="1545" max="1547" width="10.75" style="3477" customWidth="1"/>
    <col min="1548" max="1548" width="12.25" style="3477" customWidth="1"/>
    <col min="1549" max="1549" width="11.375" style="3477" customWidth="1"/>
    <col min="1550" max="1550" width="10.375" style="3477" customWidth="1"/>
    <col min="1551" max="1552" width="11.375" style="3477" customWidth="1"/>
    <col min="1553" max="1553" width="9" style="3477"/>
    <col min="1554" max="1554" width="10.875" style="3477" customWidth="1"/>
    <col min="1555" max="1557" width="9" style="3477"/>
    <col min="1558" max="1558" width="11.875" style="3477" customWidth="1"/>
    <col min="1559" max="1559" width="11.25" style="3477" customWidth="1"/>
    <col min="1560" max="1567" width="9" style="3477"/>
    <col min="1568" max="1568" width="12" style="3477" customWidth="1"/>
    <col min="1569" max="1572" width="9" style="3477"/>
    <col min="1573" max="1573" width="9.5" style="3477" bestFit="1" customWidth="1"/>
    <col min="1574" max="1792" width="9" style="3477"/>
    <col min="1793" max="1793" width="23.5" style="3477" customWidth="1"/>
    <col min="1794" max="1794" width="36.625" style="3477" customWidth="1"/>
    <col min="1795" max="1795" width="5.125" style="3477" customWidth="1"/>
    <col min="1796" max="1796" width="9.5" style="3477" customWidth="1"/>
    <col min="1797" max="1797" width="13.875" style="3477" customWidth="1"/>
    <col min="1798" max="1798" width="11.75" style="3477" customWidth="1"/>
    <col min="1799" max="1799" width="11.25" style="3477" customWidth="1"/>
    <col min="1800" max="1800" width="10.125" style="3477" customWidth="1"/>
    <col min="1801" max="1803" width="10.75" style="3477" customWidth="1"/>
    <col min="1804" max="1804" width="12.25" style="3477" customWidth="1"/>
    <col min="1805" max="1805" width="11.375" style="3477" customWidth="1"/>
    <col min="1806" max="1806" width="10.375" style="3477" customWidth="1"/>
    <col min="1807" max="1808" width="11.375" style="3477" customWidth="1"/>
    <col min="1809" max="1809" width="9" style="3477"/>
    <col min="1810" max="1810" width="10.875" style="3477" customWidth="1"/>
    <col min="1811" max="1813" width="9" style="3477"/>
    <col min="1814" max="1814" width="11.875" style="3477" customWidth="1"/>
    <col min="1815" max="1815" width="11.25" style="3477" customWidth="1"/>
    <col min="1816" max="1823" width="9" style="3477"/>
    <col min="1824" max="1824" width="12" style="3477" customWidth="1"/>
    <col min="1825" max="1828" width="9" style="3477"/>
    <col min="1829" max="1829" width="9.5" style="3477" bestFit="1" customWidth="1"/>
    <col min="1830" max="2048" width="9" style="3477"/>
    <col min="2049" max="2049" width="23.5" style="3477" customWidth="1"/>
    <col min="2050" max="2050" width="36.625" style="3477" customWidth="1"/>
    <col min="2051" max="2051" width="5.125" style="3477" customWidth="1"/>
    <col min="2052" max="2052" width="9.5" style="3477" customWidth="1"/>
    <col min="2053" max="2053" width="13.875" style="3477" customWidth="1"/>
    <col min="2054" max="2054" width="11.75" style="3477" customWidth="1"/>
    <col min="2055" max="2055" width="11.25" style="3477" customWidth="1"/>
    <col min="2056" max="2056" width="10.125" style="3477" customWidth="1"/>
    <col min="2057" max="2059" width="10.75" style="3477" customWidth="1"/>
    <col min="2060" max="2060" width="12.25" style="3477" customWidth="1"/>
    <col min="2061" max="2061" width="11.375" style="3477" customWidth="1"/>
    <col min="2062" max="2062" width="10.375" style="3477" customWidth="1"/>
    <col min="2063" max="2064" width="11.375" style="3477" customWidth="1"/>
    <col min="2065" max="2065" width="9" style="3477"/>
    <col min="2066" max="2066" width="10.875" style="3477" customWidth="1"/>
    <col min="2067" max="2069" width="9" style="3477"/>
    <col min="2070" max="2070" width="11.875" style="3477" customWidth="1"/>
    <col min="2071" max="2071" width="11.25" style="3477" customWidth="1"/>
    <col min="2072" max="2079" width="9" style="3477"/>
    <col min="2080" max="2080" width="12" style="3477" customWidth="1"/>
    <col min="2081" max="2084" width="9" style="3477"/>
    <col min="2085" max="2085" width="9.5" style="3477" bestFit="1" customWidth="1"/>
    <col min="2086" max="2304" width="9" style="3477"/>
    <col min="2305" max="2305" width="23.5" style="3477" customWidth="1"/>
    <col min="2306" max="2306" width="36.625" style="3477" customWidth="1"/>
    <col min="2307" max="2307" width="5.125" style="3477" customWidth="1"/>
    <col min="2308" max="2308" width="9.5" style="3477" customWidth="1"/>
    <col min="2309" max="2309" width="13.875" style="3477" customWidth="1"/>
    <col min="2310" max="2310" width="11.75" style="3477" customWidth="1"/>
    <col min="2311" max="2311" width="11.25" style="3477" customWidth="1"/>
    <col min="2312" max="2312" width="10.125" style="3477" customWidth="1"/>
    <col min="2313" max="2315" width="10.75" style="3477" customWidth="1"/>
    <col min="2316" max="2316" width="12.25" style="3477" customWidth="1"/>
    <col min="2317" max="2317" width="11.375" style="3477" customWidth="1"/>
    <col min="2318" max="2318" width="10.375" style="3477" customWidth="1"/>
    <col min="2319" max="2320" width="11.375" style="3477" customWidth="1"/>
    <col min="2321" max="2321" width="9" style="3477"/>
    <col min="2322" max="2322" width="10.875" style="3477" customWidth="1"/>
    <col min="2323" max="2325" width="9" style="3477"/>
    <col min="2326" max="2326" width="11.875" style="3477" customWidth="1"/>
    <col min="2327" max="2327" width="11.25" style="3477" customWidth="1"/>
    <col min="2328" max="2335" width="9" style="3477"/>
    <col min="2336" max="2336" width="12" style="3477" customWidth="1"/>
    <col min="2337" max="2340" width="9" style="3477"/>
    <col min="2341" max="2341" width="9.5" style="3477" bestFit="1" customWidth="1"/>
    <col min="2342" max="2560" width="9" style="3477"/>
    <col min="2561" max="2561" width="23.5" style="3477" customWidth="1"/>
    <col min="2562" max="2562" width="36.625" style="3477" customWidth="1"/>
    <col min="2563" max="2563" width="5.125" style="3477" customWidth="1"/>
    <col min="2564" max="2564" width="9.5" style="3477" customWidth="1"/>
    <col min="2565" max="2565" width="13.875" style="3477" customWidth="1"/>
    <col min="2566" max="2566" width="11.75" style="3477" customWidth="1"/>
    <col min="2567" max="2567" width="11.25" style="3477" customWidth="1"/>
    <col min="2568" max="2568" width="10.125" style="3477" customWidth="1"/>
    <col min="2569" max="2571" width="10.75" style="3477" customWidth="1"/>
    <col min="2572" max="2572" width="12.25" style="3477" customWidth="1"/>
    <col min="2573" max="2573" width="11.375" style="3477" customWidth="1"/>
    <col min="2574" max="2574" width="10.375" style="3477" customWidth="1"/>
    <col min="2575" max="2576" width="11.375" style="3477" customWidth="1"/>
    <col min="2577" max="2577" width="9" style="3477"/>
    <col min="2578" max="2578" width="10.875" style="3477" customWidth="1"/>
    <col min="2579" max="2581" width="9" style="3477"/>
    <col min="2582" max="2582" width="11.875" style="3477" customWidth="1"/>
    <col min="2583" max="2583" width="11.25" style="3477" customWidth="1"/>
    <col min="2584" max="2591" width="9" style="3477"/>
    <col min="2592" max="2592" width="12" style="3477" customWidth="1"/>
    <col min="2593" max="2596" width="9" style="3477"/>
    <col min="2597" max="2597" width="9.5" style="3477" bestFit="1" customWidth="1"/>
    <col min="2598" max="2816" width="9" style="3477"/>
    <col min="2817" max="2817" width="23.5" style="3477" customWidth="1"/>
    <col min="2818" max="2818" width="36.625" style="3477" customWidth="1"/>
    <col min="2819" max="2819" width="5.125" style="3477" customWidth="1"/>
    <col min="2820" max="2820" width="9.5" style="3477" customWidth="1"/>
    <col min="2821" max="2821" width="13.875" style="3477" customWidth="1"/>
    <col min="2822" max="2822" width="11.75" style="3477" customWidth="1"/>
    <col min="2823" max="2823" width="11.25" style="3477" customWidth="1"/>
    <col min="2824" max="2824" width="10.125" style="3477" customWidth="1"/>
    <col min="2825" max="2827" width="10.75" style="3477" customWidth="1"/>
    <col min="2828" max="2828" width="12.25" style="3477" customWidth="1"/>
    <col min="2829" max="2829" width="11.375" style="3477" customWidth="1"/>
    <col min="2830" max="2830" width="10.375" style="3477" customWidth="1"/>
    <col min="2831" max="2832" width="11.375" style="3477" customWidth="1"/>
    <col min="2833" max="2833" width="9" style="3477"/>
    <col min="2834" max="2834" width="10.875" style="3477" customWidth="1"/>
    <col min="2835" max="2837" width="9" style="3477"/>
    <col min="2838" max="2838" width="11.875" style="3477" customWidth="1"/>
    <col min="2839" max="2839" width="11.25" style="3477" customWidth="1"/>
    <col min="2840" max="2847" width="9" style="3477"/>
    <col min="2848" max="2848" width="12" style="3477" customWidth="1"/>
    <col min="2849" max="2852" width="9" style="3477"/>
    <col min="2853" max="2853" width="9.5" style="3477" bestFit="1" customWidth="1"/>
    <col min="2854" max="3072" width="9" style="3477"/>
    <col min="3073" max="3073" width="23.5" style="3477" customWidth="1"/>
    <col min="3074" max="3074" width="36.625" style="3477" customWidth="1"/>
    <col min="3075" max="3075" width="5.125" style="3477" customWidth="1"/>
    <col min="3076" max="3076" width="9.5" style="3477" customWidth="1"/>
    <col min="3077" max="3077" width="13.875" style="3477" customWidth="1"/>
    <col min="3078" max="3078" width="11.75" style="3477" customWidth="1"/>
    <col min="3079" max="3079" width="11.25" style="3477" customWidth="1"/>
    <col min="3080" max="3080" width="10.125" style="3477" customWidth="1"/>
    <col min="3081" max="3083" width="10.75" style="3477" customWidth="1"/>
    <col min="3084" max="3084" width="12.25" style="3477" customWidth="1"/>
    <col min="3085" max="3085" width="11.375" style="3477" customWidth="1"/>
    <col min="3086" max="3086" width="10.375" style="3477" customWidth="1"/>
    <col min="3087" max="3088" width="11.375" style="3477" customWidth="1"/>
    <col min="3089" max="3089" width="9" style="3477"/>
    <col min="3090" max="3090" width="10.875" style="3477" customWidth="1"/>
    <col min="3091" max="3093" width="9" style="3477"/>
    <col min="3094" max="3094" width="11.875" style="3477" customWidth="1"/>
    <col min="3095" max="3095" width="11.25" style="3477" customWidth="1"/>
    <col min="3096" max="3103" width="9" style="3477"/>
    <col min="3104" max="3104" width="12" style="3477" customWidth="1"/>
    <col min="3105" max="3108" width="9" style="3477"/>
    <col min="3109" max="3109" width="9.5" style="3477" bestFit="1" customWidth="1"/>
    <col min="3110" max="3328" width="9" style="3477"/>
    <col min="3329" max="3329" width="23.5" style="3477" customWidth="1"/>
    <col min="3330" max="3330" width="36.625" style="3477" customWidth="1"/>
    <col min="3331" max="3331" width="5.125" style="3477" customWidth="1"/>
    <col min="3332" max="3332" width="9.5" style="3477" customWidth="1"/>
    <col min="3333" max="3333" width="13.875" style="3477" customWidth="1"/>
    <col min="3334" max="3334" width="11.75" style="3477" customWidth="1"/>
    <col min="3335" max="3335" width="11.25" style="3477" customWidth="1"/>
    <col min="3336" max="3336" width="10.125" style="3477" customWidth="1"/>
    <col min="3337" max="3339" width="10.75" style="3477" customWidth="1"/>
    <col min="3340" max="3340" width="12.25" style="3477" customWidth="1"/>
    <col min="3341" max="3341" width="11.375" style="3477" customWidth="1"/>
    <col min="3342" max="3342" width="10.375" style="3477" customWidth="1"/>
    <col min="3343" max="3344" width="11.375" style="3477" customWidth="1"/>
    <col min="3345" max="3345" width="9" style="3477"/>
    <col min="3346" max="3346" width="10.875" style="3477" customWidth="1"/>
    <col min="3347" max="3349" width="9" style="3477"/>
    <col min="3350" max="3350" width="11.875" style="3477" customWidth="1"/>
    <col min="3351" max="3351" width="11.25" style="3477" customWidth="1"/>
    <col min="3352" max="3359" width="9" style="3477"/>
    <col min="3360" max="3360" width="12" style="3477" customWidth="1"/>
    <col min="3361" max="3364" width="9" style="3477"/>
    <col min="3365" max="3365" width="9.5" style="3477" bestFit="1" customWidth="1"/>
    <col min="3366" max="3584" width="9" style="3477"/>
    <col min="3585" max="3585" width="23.5" style="3477" customWidth="1"/>
    <col min="3586" max="3586" width="36.625" style="3477" customWidth="1"/>
    <col min="3587" max="3587" width="5.125" style="3477" customWidth="1"/>
    <col min="3588" max="3588" width="9.5" style="3477" customWidth="1"/>
    <col min="3589" max="3589" width="13.875" style="3477" customWidth="1"/>
    <col min="3590" max="3590" width="11.75" style="3477" customWidth="1"/>
    <col min="3591" max="3591" width="11.25" style="3477" customWidth="1"/>
    <col min="3592" max="3592" width="10.125" style="3477" customWidth="1"/>
    <col min="3593" max="3595" width="10.75" style="3477" customWidth="1"/>
    <col min="3596" max="3596" width="12.25" style="3477" customWidth="1"/>
    <col min="3597" max="3597" width="11.375" style="3477" customWidth="1"/>
    <col min="3598" max="3598" width="10.375" style="3477" customWidth="1"/>
    <col min="3599" max="3600" width="11.375" style="3477" customWidth="1"/>
    <col min="3601" max="3601" width="9" style="3477"/>
    <col min="3602" max="3602" width="10.875" style="3477" customWidth="1"/>
    <col min="3603" max="3605" width="9" style="3477"/>
    <col min="3606" max="3606" width="11.875" style="3477" customWidth="1"/>
    <col min="3607" max="3607" width="11.25" style="3477" customWidth="1"/>
    <col min="3608" max="3615" width="9" style="3477"/>
    <col min="3616" max="3616" width="12" style="3477" customWidth="1"/>
    <col min="3617" max="3620" width="9" style="3477"/>
    <col min="3621" max="3621" width="9.5" style="3477" bestFit="1" customWidth="1"/>
    <col min="3622" max="3840" width="9" style="3477"/>
    <col min="3841" max="3841" width="23.5" style="3477" customWidth="1"/>
    <col min="3842" max="3842" width="36.625" style="3477" customWidth="1"/>
    <col min="3843" max="3843" width="5.125" style="3477" customWidth="1"/>
    <col min="3844" max="3844" width="9.5" style="3477" customWidth="1"/>
    <col min="3845" max="3845" width="13.875" style="3477" customWidth="1"/>
    <col min="3846" max="3846" width="11.75" style="3477" customWidth="1"/>
    <col min="3847" max="3847" width="11.25" style="3477" customWidth="1"/>
    <col min="3848" max="3848" width="10.125" style="3477" customWidth="1"/>
    <col min="3849" max="3851" width="10.75" style="3477" customWidth="1"/>
    <col min="3852" max="3852" width="12.25" style="3477" customWidth="1"/>
    <col min="3853" max="3853" width="11.375" style="3477" customWidth="1"/>
    <col min="3854" max="3854" width="10.375" style="3477" customWidth="1"/>
    <col min="3855" max="3856" width="11.375" style="3477" customWidth="1"/>
    <col min="3857" max="3857" width="9" style="3477"/>
    <col min="3858" max="3858" width="10.875" style="3477" customWidth="1"/>
    <col min="3859" max="3861" width="9" style="3477"/>
    <col min="3862" max="3862" width="11.875" style="3477" customWidth="1"/>
    <col min="3863" max="3863" width="11.25" style="3477" customWidth="1"/>
    <col min="3864" max="3871" width="9" style="3477"/>
    <col min="3872" max="3872" width="12" style="3477" customWidth="1"/>
    <col min="3873" max="3876" width="9" style="3477"/>
    <col min="3877" max="3877" width="9.5" style="3477" bestFit="1" customWidth="1"/>
    <col min="3878" max="4096" width="9" style="3477"/>
    <col min="4097" max="4097" width="23.5" style="3477" customWidth="1"/>
    <col min="4098" max="4098" width="36.625" style="3477" customWidth="1"/>
    <col min="4099" max="4099" width="5.125" style="3477" customWidth="1"/>
    <col min="4100" max="4100" width="9.5" style="3477" customWidth="1"/>
    <col min="4101" max="4101" width="13.875" style="3477" customWidth="1"/>
    <col min="4102" max="4102" width="11.75" style="3477" customWidth="1"/>
    <col min="4103" max="4103" width="11.25" style="3477" customWidth="1"/>
    <col min="4104" max="4104" width="10.125" style="3477" customWidth="1"/>
    <col min="4105" max="4107" width="10.75" style="3477" customWidth="1"/>
    <col min="4108" max="4108" width="12.25" style="3477" customWidth="1"/>
    <col min="4109" max="4109" width="11.375" style="3477" customWidth="1"/>
    <col min="4110" max="4110" width="10.375" style="3477" customWidth="1"/>
    <col min="4111" max="4112" width="11.375" style="3477" customWidth="1"/>
    <col min="4113" max="4113" width="9" style="3477"/>
    <col min="4114" max="4114" width="10.875" style="3477" customWidth="1"/>
    <col min="4115" max="4117" width="9" style="3477"/>
    <col min="4118" max="4118" width="11.875" style="3477" customWidth="1"/>
    <col min="4119" max="4119" width="11.25" style="3477" customWidth="1"/>
    <col min="4120" max="4127" width="9" style="3477"/>
    <col min="4128" max="4128" width="12" style="3477" customWidth="1"/>
    <col min="4129" max="4132" width="9" style="3477"/>
    <col min="4133" max="4133" width="9.5" style="3477" bestFit="1" customWidth="1"/>
    <col min="4134" max="4352" width="9" style="3477"/>
    <col min="4353" max="4353" width="23.5" style="3477" customWidth="1"/>
    <col min="4354" max="4354" width="36.625" style="3477" customWidth="1"/>
    <col min="4355" max="4355" width="5.125" style="3477" customWidth="1"/>
    <col min="4356" max="4356" width="9.5" style="3477" customWidth="1"/>
    <col min="4357" max="4357" width="13.875" style="3477" customWidth="1"/>
    <col min="4358" max="4358" width="11.75" style="3477" customWidth="1"/>
    <col min="4359" max="4359" width="11.25" style="3477" customWidth="1"/>
    <col min="4360" max="4360" width="10.125" style="3477" customWidth="1"/>
    <col min="4361" max="4363" width="10.75" style="3477" customWidth="1"/>
    <col min="4364" max="4364" width="12.25" style="3477" customWidth="1"/>
    <col min="4365" max="4365" width="11.375" style="3477" customWidth="1"/>
    <col min="4366" max="4366" width="10.375" style="3477" customWidth="1"/>
    <col min="4367" max="4368" width="11.375" style="3477" customWidth="1"/>
    <col min="4369" max="4369" width="9" style="3477"/>
    <col min="4370" max="4370" width="10.875" style="3477" customWidth="1"/>
    <col min="4371" max="4373" width="9" style="3477"/>
    <col min="4374" max="4374" width="11.875" style="3477" customWidth="1"/>
    <col min="4375" max="4375" width="11.25" style="3477" customWidth="1"/>
    <col min="4376" max="4383" width="9" style="3477"/>
    <col min="4384" max="4384" width="12" style="3477" customWidth="1"/>
    <col min="4385" max="4388" width="9" style="3477"/>
    <col min="4389" max="4389" width="9.5" style="3477" bestFit="1" customWidth="1"/>
    <col min="4390" max="4608" width="9" style="3477"/>
    <col min="4609" max="4609" width="23.5" style="3477" customWidth="1"/>
    <col min="4610" max="4610" width="36.625" style="3477" customWidth="1"/>
    <col min="4611" max="4611" width="5.125" style="3477" customWidth="1"/>
    <col min="4612" max="4612" width="9.5" style="3477" customWidth="1"/>
    <col min="4613" max="4613" width="13.875" style="3477" customWidth="1"/>
    <col min="4614" max="4614" width="11.75" style="3477" customWidth="1"/>
    <col min="4615" max="4615" width="11.25" style="3477" customWidth="1"/>
    <col min="4616" max="4616" width="10.125" style="3477" customWidth="1"/>
    <col min="4617" max="4619" width="10.75" style="3477" customWidth="1"/>
    <col min="4620" max="4620" width="12.25" style="3477" customWidth="1"/>
    <col min="4621" max="4621" width="11.375" style="3477" customWidth="1"/>
    <col min="4622" max="4622" width="10.375" style="3477" customWidth="1"/>
    <col min="4623" max="4624" width="11.375" style="3477" customWidth="1"/>
    <col min="4625" max="4625" width="9" style="3477"/>
    <col min="4626" max="4626" width="10.875" style="3477" customWidth="1"/>
    <col min="4627" max="4629" width="9" style="3477"/>
    <col min="4630" max="4630" width="11.875" style="3477" customWidth="1"/>
    <col min="4631" max="4631" width="11.25" style="3477" customWidth="1"/>
    <col min="4632" max="4639" width="9" style="3477"/>
    <col min="4640" max="4640" width="12" style="3477" customWidth="1"/>
    <col min="4641" max="4644" width="9" style="3477"/>
    <col min="4645" max="4645" width="9.5" style="3477" bestFit="1" customWidth="1"/>
    <col min="4646" max="4864" width="9" style="3477"/>
    <col min="4865" max="4865" width="23.5" style="3477" customWidth="1"/>
    <col min="4866" max="4866" width="36.625" style="3477" customWidth="1"/>
    <col min="4867" max="4867" width="5.125" style="3477" customWidth="1"/>
    <col min="4868" max="4868" width="9.5" style="3477" customWidth="1"/>
    <col min="4869" max="4869" width="13.875" style="3477" customWidth="1"/>
    <col min="4870" max="4870" width="11.75" style="3477" customWidth="1"/>
    <col min="4871" max="4871" width="11.25" style="3477" customWidth="1"/>
    <col min="4872" max="4872" width="10.125" style="3477" customWidth="1"/>
    <col min="4873" max="4875" width="10.75" style="3477" customWidth="1"/>
    <col min="4876" max="4876" width="12.25" style="3477" customWidth="1"/>
    <col min="4877" max="4877" width="11.375" style="3477" customWidth="1"/>
    <col min="4878" max="4878" width="10.375" style="3477" customWidth="1"/>
    <col min="4879" max="4880" width="11.375" style="3477" customWidth="1"/>
    <col min="4881" max="4881" width="9" style="3477"/>
    <col min="4882" max="4882" width="10.875" style="3477" customWidth="1"/>
    <col min="4883" max="4885" width="9" style="3477"/>
    <col min="4886" max="4886" width="11.875" style="3477" customWidth="1"/>
    <col min="4887" max="4887" width="11.25" style="3477" customWidth="1"/>
    <col min="4888" max="4895" width="9" style="3477"/>
    <col min="4896" max="4896" width="12" style="3477" customWidth="1"/>
    <col min="4897" max="4900" width="9" style="3477"/>
    <col min="4901" max="4901" width="9.5" style="3477" bestFit="1" customWidth="1"/>
    <col min="4902" max="5120" width="9" style="3477"/>
    <col min="5121" max="5121" width="23.5" style="3477" customWidth="1"/>
    <col min="5122" max="5122" width="36.625" style="3477" customWidth="1"/>
    <col min="5123" max="5123" width="5.125" style="3477" customWidth="1"/>
    <col min="5124" max="5124" width="9.5" style="3477" customWidth="1"/>
    <col min="5125" max="5125" width="13.875" style="3477" customWidth="1"/>
    <col min="5126" max="5126" width="11.75" style="3477" customWidth="1"/>
    <col min="5127" max="5127" width="11.25" style="3477" customWidth="1"/>
    <col min="5128" max="5128" width="10.125" style="3477" customWidth="1"/>
    <col min="5129" max="5131" width="10.75" style="3477" customWidth="1"/>
    <col min="5132" max="5132" width="12.25" style="3477" customWidth="1"/>
    <col min="5133" max="5133" width="11.375" style="3477" customWidth="1"/>
    <col min="5134" max="5134" width="10.375" style="3477" customWidth="1"/>
    <col min="5135" max="5136" width="11.375" style="3477" customWidth="1"/>
    <col min="5137" max="5137" width="9" style="3477"/>
    <col min="5138" max="5138" width="10.875" style="3477" customWidth="1"/>
    <col min="5139" max="5141" width="9" style="3477"/>
    <col min="5142" max="5142" width="11.875" style="3477" customWidth="1"/>
    <col min="5143" max="5143" width="11.25" style="3477" customWidth="1"/>
    <col min="5144" max="5151" width="9" style="3477"/>
    <col min="5152" max="5152" width="12" style="3477" customWidth="1"/>
    <col min="5153" max="5156" width="9" style="3477"/>
    <col min="5157" max="5157" width="9.5" style="3477" bestFit="1" customWidth="1"/>
    <col min="5158" max="5376" width="9" style="3477"/>
    <col min="5377" max="5377" width="23.5" style="3477" customWidth="1"/>
    <col min="5378" max="5378" width="36.625" style="3477" customWidth="1"/>
    <col min="5379" max="5379" width="5.125" style="3477" customWidth="1"/>
    <col min="5380" max="5380" width="9.5" style="3477" customWidth="1"/>
    <col min="5381" max="5381" width="13.875" style="3477" customWidth="1"/>
    <col min="5382" max="5382" width="11.75" style="3477" customWidth="1"/>
    <col min="5383" max="5383" width="11.25" style="3477" customWidth="1"/>
    <col min="5384" max="5384" width="10.125" style="3477" customWidth="1"/>
    <col min="5385" max="5387" width="10.75" style="3477" customWidth="1"/>
    <col min="5388" max="5388" width="12.25" style="3477" customWidth="1"/>
    <col min="5389" max="5389" width="11.375" style="3477" customWidth="1"/>
    <col min="5390" max="5390" width="10.375" style="3477" customWidth="1"/>
    <col min="5391" max="5392" width="11.375" style="3477" customWidth="1"/>
    <col min="5393" max="5393" width="9" style="3477"/>
    <col min="5394" max="5394" width="10.875" style="3477" customWidth="1"/>
    <col min="5395" max="5397" width="9" style="3477"/>
    <col min="5398" max="5398" width="11.875" style="3477" customWidth="1"/>
    <col min="5399" max="5399" width="11.25" style="3477" customWidth="1"/>
    <col min="5400" max="5407" width="9" style="3477"/>
    <col min="5408" max="5408" width="12" style="3477" customWidth="1"/>
    <col min="5409" max="5412" width="9" style="3477"/>
    <col min="5413" max="5413" width="9.5" style="3477" bestFit="1" customWidth="1"/>
    <col min="5414" max="5632" width="9" style="3477"/>
    <col min="5633" max="5633" width="23.5" style="3477" customWidth="1"/>
    <col min="5634" max="5634" width="36.625" style="3477" customWidth="1"/>
    <col min="5635" max="5635" width="5.125" style="3477" customWidth="1"/>
    <col min="5636" max="5636" width="9.5" style="3477" customWidth="1"/>
    <col min="5637" max="5637" width="13.875" style="3477" customWidth="1"/>
    <col min="5638" max="5638" width="11.75" style="3477" customWidth="1"/>
    <col min="5639" max="5639" width="11.25" style="3477" customWidth="1"/>
    <col min="5640" max="5640" width="10.125" style="3477" customWidth="1"/>
    <col min="5641" max="5643" width="10.75" style="3477" customWidth="1"/>
    <col min="5644" max="5644" width="12.25" style="3477" customWidth="1"/>
    <col min="5645" max="5645" width="11.375" style="3477" customWidth="1"/>
    <col min="5646" max="5646" width="10.375" style="3477" customWidth="1"/>
    <col min="5647" max="5648" width="11.375" style="3477" customWidth="1"/>
    <col min="5649" max="5649" width="9" style="3477"/>
    <col min="5650" max="5650" width="10.875" style="3477" customWidth="1"/>
    <col min="5651" max="5653" width="9" style="3477"/>
    <col min="5654" max="5654" width="11.875" style="3477" customWidth="1"/>
    <col min="5655" max="5655" width="11.25" style="3477" customWidth="1"/>
    <col min="5656" max="5663" width="9" style="3477"/>
    <col min="5664" max="5664" width="12" style="3477" customWidth="1"/>
    <col min="5665" max="5668" width="9" style="3477"/>
    <col min="5669" max="5669" width="9.5" style="3477" bestFit="1" customWidth="1"/>
    <col min="5670" max="5888" width="9" style="3477"/>
    <col min="5889" max="5889" width="23.5" style="3477" customWidth="1"/>
    <col min="5890" max="5890" width="36.625" style="3477" customWidth="1"/>
    <col min="5891" max="5891" width="5.125" style="3477" customWidth="1"/>
    <col min="5892" max="5892" width="9.5" style="3477" customWidth="1"/>
    <col min="5893" max="5893" width="13.875" style="3477" customWidth="1"/>
    <col min="5894" max="5894" width="11.75" style="3477" customWidth="1"/>
    <col min="5895" max="5895" width="11.25" style="3477" customWidth="1"/>
    <col min="5896" max="5896" width="10.125" style="3477" customWidth="1"/>
    <col min="5897" max="5899" width="10.75" style="3477" customWidth="1"/>
    <col min="5900" max="5900" width="12.25" style="3477" customWidth="1"/>
    <col min="5901" max="5901" width="11.375" style="3477" customWidth="1"/>
    <col min="5902" max="5902" width="10.375" style="3477" customWidth="1"/>
    <col min="5903" max="5904" width="11.375" style="3477" customWidth="1"/>
    <col min="5905" max="5905" width="9" style="3477"/>
    <col min="5906" max="5906" width="10.875" style="3477" customWidth="1"/>
    <col min="5907" max="5909" width="9" style="3477"/>
    <col min="5910" max="5910" width="11.875" style="3477" customWidth="1"/>
    <col min="5911" max="5911" width="11.25" style="3477" customWidth="1"/>
    <col min="5912" max="5919" width="9" style="3477"/>
    <col min="5920" max="5920" width="12" style="3477" customWidth="1"/>
    <col min="5921" max="5924" width="9" style="3477"/>
    <col min="5925" max="5925" width="9.5" style="3477" bestFit="1" customWidth="1"/>
    <col min="5926" max="6144" width="9" style="3477"/>
    <col min="6145" max="6145" width="23.5" style="3477" customWidth="1"/>
    <col min="6146" max="6146" width="36.625" style="3477" customWidth="1"/>
    <col min="6147" max="6147" width="5.125" style="3477" customWidth="1"/>
    <col min="6148" max="6148" width="9.5" style="3477" customWidth="1"/>
    <col min="6149" max="6149" width="13.875" style="3477" customWidth="1"/>
    <col min="6150" max="6150" width="11.75" style="3477" customWidth="1"/>
    <col min="6151" max="6151" width="11.25" style="3477" customWidth="1"/>
    <col min="6152" max="6152" width="10.125" style="3477" customWidth="1"/>
    <col min="6153" max="6155" width="10.75" style="3477" customWidth="1"/>
    <col min="6156" max="6156" width="12.25" style="3477" customWidth="1"/>
    <col min="6157" max="6157" width="11.375" style="3477" customWidth="1"/>
    <col min="6158" max="6158" width="10.375" style="3477" customWidth="1"/>
    <col min="6159" max="6160" width="11.375" style="3477" customWidth="1"/>
    <col min="6161" max="6161" width="9" style="3477"/>
    <col min="6162" max="6162" width="10.875" style="3477" customWidth="1"/>
    <col min="6163" max="6165" width="9" style="3477"/>
    <col min="6166" max="6166" width="11.875" style="3477" customWidth="1"/>
    <col min="6167" max="6167" width="11.25" style="3477" customWidth="1"/>
    <col min="6168" max="6175" width="9" style="3477"/>
    <col min="6176" max="6176" width="12" style="3477" customWidth="1"/>
    <col min="6177" max="6180" width="9" style="3477"/>
    <col min="6181" max="6181" width="9.5" style="3477" bestFit="1" customWidth="1"/>
    <col min="6182" max="6400" width="9" style="3477"/>
    <col min="6401" max="6401" width="23.5" style="3477" customWidth="1"/>
    <col min="6402" max="6402" width="36.625" style="3477" customWidth="1"/>
    <col min="6403" max="6403" width="5.125" style="3477" customWidth="1"/>
    <col min="6404" max="6404" width="9.5" style="3477" customWidth="1"/>
    <col min="6405" max="6405" width="13.875" style="3477" customWidth="1"/>
    <col min="6406" max="6406" width="11.75" style="3477" customWidth="1"/>
    <col min="6407" max="6407" width="11.25" style="3477" customWidth="1"/>
    <col min="6408" max="6408" width="10.125" style="3477" customWidth="1"/>
    <col min="6409" max="6411" width="10.75" style="3477" customWidth="1"/>
    <col min="6412" max="6412" width="12.25" style="3477" customWidth="1"/>
    <col min="6413" max="6413" width="11.375" style="3477" customWidth="1"/>
    <col min="6414" max="6414" width="10.375" style="3477" customWidth="1"/>
    <col min="6415" max="6416" width="11.375" style="3477" customWidth="1"/>
    <col min="6417" max="6417" width="9" style="3477"/>
    <col min="6418" max="6418" width="10.875" style="3477" customWidth="1"/>
    <col min="6419" max="6421" width="9" style="3477"/>
    <col min="6422" max="6422" width="11.875" style="3477" customWidth="1"/>
    <col min="6423" max="6423" width="11.25" style="3477" customWidth="1"/>
    <col min="6424" max="6431" width="9" style="3477"/>
    <col min="6432" max="6432" width="12" style="3477" customWidth="1"/>
    <col min="6433" max="6436" width="9" style="3477"/>
    <col min="6437" max="6437" width="9.5" style="3477" bestFit="1" customWidth="1"/>
    <col min="6438" max="6656" width="9" style="3477"/>
    <col min="6657" max="6657" width="23.5" style="3477" customWidth="1"/>
    <col min="6658" max="6658" width="36.625" style="3477" customWidth="1"/>
    <col min="6659" max="6659" width="5.125" style="3477" customWidth="1"/>
    <col min="6660" max="6660" width="9.5" style="3477" customWidth="1"/>
    <col min="6661" max="6661" width="13.875" style="3477" customWidth="1"/>
    <col min="6662" max="6662" width="11.75" style="3477" customWidth="1"/>
    <col min="6663" max="6663" width="11.25" style="3477" customWidth="1"/>
    <col min="6664" max="6664" width="10.125" style="3477" customWidth="1"/>
    <col min="6665" max="6667" width="10.75" style="3477" customWidth="1"/>
    <col min="6668" max="6668" width="12.25" style="3477" customWidth="1"/>
    <col min="6669" max="6669" width="11.375" style="3477" customWidth="1"/>
    <col min="6670" max="6670" width="10.375" style="3477" customWidth="1"/>
    <col min="6671" max="6672" width="11.375" style="3477" customWidth="1"/>
    <col min="6673" max="6673" width="9" style="3477"/>
    <col min="6674" max="6674" width="10.875" style="3477" customWidth="1"/>
    <col min="6675" max="6677" width="9" style="3477"/>
    <col min="6678" max="6678" width="11.875" style="3477" customWidth="1"/>
    <col min="6679" max="6679" width="11.25" style="3477" customWidth="1"/>
    <col min="6680" max="6687" width="9" style="3477"/>
    <col min="6688" max="6688" width="12" style="3477" customWidth="1"/>
    <col min="6689" max="6692" width="9" style="3477"/>
    <col min="6693" max="6693" width="9.5" style="3477" bestFit="1" customWidth="1"/>
    <col min="6694" max="6912" width="9" style="3477"/>
    <col min="6913" max="6913" width="23.5" style="3477" customWidth="1"/>
    <col min="6914" max="6914" width="36.625" style="3477" customWidth="1"/>
    <col min="6915" max="6915" width="5.125" style="3477" customWidth="1"/>
    <col min="6916" max="6916" width="9.5" style="3477" customWidth="1"/>
    <col min="6917" max="6917" width="13.875" style="3477" customWidth="1"/>
    <col min="6918" max="6918" width="11.75" style="3477" customWidth="1"/>
    <col min="6919" max="6919" width="11.25" style="3477" customWidth="1"/>
    <col min="6920" max="6920" width="10.125" style="3477" customWidth="1"/>
    <col min="6921" max="6923" width="10.75" style="3477" customWidth="1"/>
    <col min="6924" max="6924" width="12.25" style="3477" customWidth="1"/>
    <col min="6925" max="6925" width="11.375" style="3477" customWidth="1"/>
    <col min="6926" max="6926" width="10.375" style="3477" customWidth="1"/>
    <col min="6927" max="6928" width="11.375" style="3477" customWidth="1"/>
    <col min="6929" max="6929" width="9" style="3477"/>
    <col min="6930" max="6930" width="10.875" style="3477" customWidth="1"/>
    <col min="6931" max="6933" width="9" style="3477"/>
    <col min="6934" max="6934" width="11.875" style="3477" customWidth="1"/>
    <col min="6935" max="6935" width="11.25" style="3477" customWidth="1"/>
    <col min="6936" max="6943" width="9" style="3477"/>
    <col min="6944" max="6944" width="12" style="3477" customWidth="1"/>
    <col min="6945" max="6948" width="9" style="3477"/>
    <col min="6949" max="6949" width="9.5" style="3477" bestFit="1" customWidth="1"/>
    <col min="6950" max="7168" width="9" style="3477"/>
    <col min="7169" max="7169" width="23.5" style="3477" customWidth="1"/>
    <col min="7170" max="7170" width="36.625" style="3477" customWidth="1"/>
    <col min="7171" max="7171" width="5.125" style="3477" customWidth="1"/>
    <col min="7172" max="7172" width="9.5" style="3477" customWidth="1"/>
    <col min="7173" max="7173" width="13.875" style="3477" customWidth="1"/>
    <col min="7174" max="7174" width="11.75" style="3477" customWidth="1"/>
    <col min="7175" max="7175" width="11.25" style="3477" customWidth="1"/>
    <col min="7176" max="7176" width="10.125" style="3477" customWidth="1"/>
    <col min="7177" max="7179" width="10.75" style="3477" customWidth="1"/>
    <col min="7180" max="7180" width="12.25" style="3477" customWidth="1"/>
    <col min="7181" max="7181" width="11.375" style="3477" customWidth="1"/>
    <col min="7182" max="7182" width="10.375" style="3477" customWidth="1"/>
    <col min="7183" max="7184" width="11.375" style="3477" customWidth="1"/>
    <col min="7185" max="7185" width="9" style="3477"/>
    <col min="7186" max="7186" width="10.875" style="3477" customWidth="1"/>
    <col min="7187" max="7189" width="9" style="3477"/>
    <col min="7190" max="7190" width="11.875" style="3477" customWidth="1"/>
    <col min="7191" max="7191" width="11.25" style="3477" customWidth="1"/>
    <col min="7192" max="7199" width="9" style="3477"/>
    <col min="7200" max="7200" width="12" style="3477" customWidth="1"/>
    <col min="7201" max="7204" width="9" style="3477"/>
    <col min="7205" max="7205" width="9.5" style="3477" bestFit="1" customWidth="1"/>
    <col min="7206" max="7424" width="9" style="3477"/>
    <col min="7425" max="7425" width="23.5" style="3477" customWidth="1"/>
    <col min="7426" max="7426" width="36.625" style="3477" customWidth="1"/>
    <col min="7427" max="7427" width="5.125" style="3477" customWidth="1"/>
    <col min="7428" max="7428" width="9.5" style="3477" customWidth="1"/>
    <col min="7429" max="7429" width="13.875" style="3477" customWidth="1"/>
    <col min="7430" max="7430" width="11.75" style="3477" customWidth="1"/>
    <col min="7431" max="7431" width="11.25" style="3477" customWidth="1"/>
    <col min="7432" max="7432" width="10.125" style="3477" customWidth="1"/>
    <col min="7433" max="7435" width="10.75" style="3477" customWidth="1"/>
    <col min="7436" max="7436" width="12.25" style="3477" customWidth="1"/>
    <col min="7437" max="7437" width="11.375" style="3477" customWidth="1"/>
    <col min="7438" max="7438" width="10.375" style="3477" customWidth="1"/>
    <col min="7439" max="7440" width="11.375" style="3477" customWidth="1"/>
    <col min="7441" max="7441" width="9" style="3477"/>
    <col min="7442" max="7442" width="10.875" style="3477" customWidth="1"/>
    <col min="7443" max="7445" width="9" style="3477"/>
    <col min="7446" max="7446" width="11.875" style="3477" customWidth="1"/>
    <col min="7447" max="7447" width="11.25" style="3477" customWidth="1"/>
    <col min="7448" max="7455" width="9" style="3477"/>
    <col min="7456" max="7456" width="12" style="3477" customWidth="1"/>
    <col min="7457" max="7460" width="9" style="3477"/>
    <col min="7461" max="7461" width="9.5" style="3477" bestFit="1" customWidth="1"/>
    <col min="7462" max="7680" width="9" style="3477"/>
    <col min="7681" max="7681" width="23.5" style="3477" customWidth="1"/>
    <col min="7682" max="7682" width="36.625" style="3477" customWidth="1"/>
    <col min="7683" max="7683" width="5.125" style="3477" customWidth="1"/>
    <col min="7684" max="7684" width="9.5" style="3477" customWidth="1"/>
    <col min="7685" max="7685" width="13.875" style="3477" customWidth="1"/>
    <col min="7686" max="7686" width="11.75" style="3477" customWidth="1"/>
    <col min="7687" max="7687" width="11.25" style="3477" customWidth="1"/>
    <col min="7688" max="7688" width="10.125" style="3477" customWidth="1"/>
    <col min="7689" max="7691" width="10.75" style="3477" customWidth="1"/>
    <col min="7692" max="7692" width="12.25" style="3477" customWidth="1"/>
    <col min="7693" max="7693" width="11.375" style="3477" customWidth="1"/>
    <col min="7694" max="7694" width="10.375" style="3477" customWidth="1"/>
    <col min="7695" max="7696" width="11.375" style="3477" customWidth="1"/>
    <col min="7697" max="7697" width="9" style="3477"/>
    <col min="7698" max="7698" width="10.875" style="3477" customWidth="1"/>
    <col min="7699" max="7701" width="9" style="3477"/>
    <col min="7702" max="7702" width="11.875" style="3477" customWidth="1"/>
    <col min="7703" max="7703" width="11.25" style="3477" customWidth="1"/>
    <col min="7704" max="7711" width="9" style="3477"/>
    <col min="7712" max="7712" width="12" style="3477" customWidth="1"/>
    <col min="7713" max="7716" width="9" style="3477"/>
    <col min="7717" max="7717" width="9.5" style="3477" bestFit="1" customWidth="1"/>
    <col min="7718" max="7936" width="9" style="3477"/>
    <col min="7937" max="7937" width="23.5" style="3477" customWidth="1"/>
    <col min="7938" max="7938" width="36.625" style="3477" customWidth="1"/>
    <col min="7939" max="7939" width="5.125" style="3477" customWidth="1"/>
    <col min="7940" max="7940" width="9.5" style="3477" customWidth="1"/>
    <col min="7941" max="7941" width="13.875" style="3477" customWidth="1"/>
    <col min="7942" max="7942" width="11.75" style="3477" customWidth="1"/>
    <col min="7943" max="7943" width="11.25" style="3477" customWidth="1"/>
    <col min="7944" max="7944" width="10.125" style="3477" customWidth="1"/>
    <col min="7945" max="7947" width="10.75" style="3477" customWidth="1"/>
    <col min="7948" max="7948" width="12.25" style="3477" customWidth="1"/>
    <col min="7949" max="7949" width="11.375" style="3477" customWidth="1"/>
    <col min="7950" max="7950" width="10.375" style="3477" customWidth="1"/>
    <col min="7951" max="7952" width="11.375" style="3477" customWidth="1"/>
    <col min="7953" max="7953" width="9" style="3477"/>
    <col min="7954" max="7954" width="10.875" style="3477" customWidth="1"/>
    <col min="7955" max="7957" width="9" style="3477"/>
    <col min="7958" max="7958" width="11.875" style="3477" customWidth="1"/>
    <col min="7959" max="7959" width="11.25" style="3477" customWidth="1"/>
    <col min="7960" max="7967" width="9" style="3477"/>
    <col min="7968" max="7968" width="12" style="3477" customWidth="1"/>
    <col min="7969" max="7972" width="9" style="3477"/>
    <col min="7973" max="7973" width="9.5" style="3477" bestFit="1" customWidth="1"/>
    <col min="7974" max="8192" width="9" style="3477"/>
    <col min="8193" max="8193" width="23.5" style="3477" customWidth="1"/>
    <col min="8194" max="8194" width="36.625" style="3477" customWidth="1"/>
    <col min="8195" max="8195" width="5.125" style="3477" customWidth="1"/>
    <col min="8196" max="8196" width="9.5" style="3477" customWidth="1"/>
    <col min="8197" max="8197" width="13.875" style="3477" customWidth="1"/>
    <col min="8198" max="8198" width="11.75" style="3477" customWidth="1"/>
    <col min="8199" max="8199" width="11.25" style="3477" customWidth="1"/>
    <col min="8200" max="8200" width="10.125" style="3477" customWidth="1"/>
    <col min="8201" max="8203" width="10.75" style="3477" customWidth="1"/>
    <col min="8204" max="8204" width="12.25" style="3477" customWidth="1"/>
    <col min="8205" max="8205" width="11.375" style="3477" customWidth="1"/>
    <col min="8206" max="8206" width="10.375" style="3477" customWidth="1"/>
    <col min="8207" max="8208" width="11.375" style="3477" customWidth="1"/>
    <col min="8209" max="8209" width="9" style="3477"/>
    <col min="8210" max="8210" width="10.875" style="3477" customWidth="1"/>
    <col min="8211" max="8213" width="9" style="3477"/>
    <col min="8214" max="8214" width="11.875" style="3477" customWidth="1"/>
    <col min="8215" max="8215" width="11.25" style="3477" customWidth="1"/>
    <col min="8216" max="8223" width="9" style="3477"/>
    <col min="8224" max="8224" width="12" style="3477" customWidth="1"/>
    <col min="8225" max="8228" width="9" style="3477"/>
    <col min="8229" max="8229" width="9.5" style="3477" bestFit="1" customWidth="1"/>
    <col min="8230" max="8448" width="9" style="3477"/>
    <col min="8449" max="8449" width="23.5" style="3477" customWidth="1"/>
    <col min="8450" max="8450" width="36.625" style="3477" customWidth="1"/>
    <col min="8451" max="8451" width="5.125" style="3477" customWidth="1"/>
    <col min="8452" max="8452" width="9.5" style="3477" customWidth="1"/>
    <col min="8453" max="8453" width="13.875" style="3477" customWidth="1"/>
    <col min="8454" max="8454" width="11.75" style="3477" customWidth="1"/>
    <col min="8455" max="8455" width="11.25" style="3477" customWidth="1"/>
    <col min="8456" max="8456" width="10.125" style="3477" customWidth="1"/>
    <col min="8457" max="8459" width="10.75" style="3477" customWidth="1"/>
    <col min="8460" max="8460" width="12.25" style="3477" customWidth="1"/>
    <col min="8461" max="8461" width="11.375" style="3477" customWidth="1"/>
    <col min="8462" max="8462" width="10.375" style="3477" customWidth="1"/>
    <col min="8463" max="8464" width="11.375" style="3477" customWidth="1"/>
    <col min="8465" max="8465" width="9" style="3477"/>
    <col min="8466" max="8466" width="10.875" style="3477" customWidth="1"/>
    <col min="8467" max="8469" width="9" style="3477"/>
    <col min="8470" max="8470" width="11.875" style="3477" customWidth="1"/>
    <col min="8471" max="8471" width="11.25" style="3477" customWidth="1"/>
    <col min="8472" max="8479" width="9" style="3477"/>
    <col min="8480" max="8480" width="12" style="3477" customWidth="1"/>
    <col min="8481" max="8484" width="9" style="3477"/>
    <col min="8485" max="8485" width="9.5" style="3477" bestFit="1" customWidth="1"/>
    <col min="8486" max="8704" width="9" style="3477"/>
    <col min="8705" max="8705" width="23.5" style="3477" customWidth="1"/>
    <col min="8706" max="8706" width="36.625" style="3477" customWidth="1"/>
    <col min="8707" max="8707" width="5.125" style="3477" customWidth="1"/>
    <col min="8708" max="8708" width="9.5" style="3477" customWidth="1"/>
    <col min="8709" max="8709" width="13.875" style="3477" customWidth="1"/>
    <col min="8710" max="8710" width="11.75" style="3477" customWidth="1"/>
    <col min="8711" max="8711" width="11.25" style="3477" customWidth="1"/>
    <col min="8712" max="8712" width="10.125" style="3477" customWidth="1"/>
    <col min="8713" max="8715" width="10.75" style="3477" customWidth="1"/>
    <col min="8716" max="8716" width="12.25" style="3477" customWidth="1"/>
    <col min="8717" max="8717" width="11.375" style="3477" customWidth="1"/>
    <col min="8718" max="8718" width="10.375" style="3477" customWidth="1"/>
    <col min="8719" max="8720" width="11.375" style="3477" customWidth="1"/>
    <col min="8721" max="8721" width="9" style="3477"/>
    <col min="8722" max="8722" width="10.875" style="3477" customWidth="1"/>
    <col min="8723" max="8725" width="9" style="3477"/>
    <col min="8726" max="8726" width="11.875" style="3477" customWidth="1"/>
    <col min="8727" max="8727" width="11.25" style="3477" customWidth="1"/>
    <col min="8728" max="8735" width="9" style="3477"/>
    <col min="8736" max="8736" width="12" style="3477" customWidth="1"/>
    <col min="8737" max="8740" width="9" style="3477"/>
    <col min="8741" max="8741" width="9.5" style="3477" bestFit="1" customWidth="1"/>
    <col min="8742" max="8960" width="9" style="3477"/>
    <col min="8961" max="8961" width="23.5" style="3477" customWidth="1"/>
    <col min="8962" max="8962" width="36.625" style="3477" customWidth="1"/>
    <col min="8963" max="8963" width="5.125" style="3477" customWidth="1"/>
    <col min="8964" max="8964" width="9.5" style="3477" customWidth="1"/>
    <col min="8965" max="8965" width="13.875" style="3477" customWidth="1"/>
    <col min="8966" max="8966" width="11.75" style="3477" customWidth="1"/>
    <col min="8967" max="8967" width="11.25" style="3477" customWidth="1"/>
    <col min="8968" max="8968" width="10.125" style="3477" customWidth="1"/>
    <col min="8969" max="8971" width="10.75" style="3477" customWidth="1"/>
    <col min="8972" max="8972" width="12.25" style="3477" customWidth="1"/>
    <col min="8973" max="8973" width="11.375" style="3477" customWidth="1"/>
    <col min="8974" max="8974" width="10.375" style="3477" customWidth="1"/>
    <col min="8975" max="8976" width="11.375" style="3477" customWidth="1"/>
    <col min="8977" max="8977" width="9" style="3477"/>
    <col min="8978" max="8978" width="10.875" style="3477" customWidth="1"/>
    <col min="8979" max="8981" width="9" style="3477"/>
    <col min="8982" max="8982" width="11.875" style="3477" customWidth="1"/>
    <col min="8983" max="8983" width="11.25" style="3477" customWidth="1"/>
    <col min="8984" max="8991" width="9" style="3477"/>
    <col min="8992" max="8992" width="12" style="3477" customWidth="1"/>
    <col min="8993" max="8996" width="9" style="3477"/>
    <col min="8997" max="8997" width="9.5" style="3477" bestFit="1" customWidth="1"/>
    <col min="8998" max="9216" width="9" style="3477"/>
    <col min="9217" max="9217" width="23.5" style="3477" customWidth="1"/>
    <col min="9218" max="9218" width="36.625" style="3477" customWidth="1"/>
    <col min="9219" max="9219" width="5.125" style="3477" customWidth="1"/>
    <col min="9220" max="9220" width="9.5" style="3477" customWidth="1"/>
    <col min="9221" max="9221" width="13.875" style="3477" customWidth="1"/>
    <col min="9222" max="9222" width="11.75" style="3477" customWidth="1"/>
    <col min="9223" max="9223" width="11.25" style="3477" customWidth="1"/>
    <col min="9224" max="9224" width="10.125" style="3477" customWidth="1"/>
    <col min="9225" max="9227" width="10.75" style="3477" customWidth="1"/>
    <col min="9228" max="9228" width="12.25" style="3477" customWidth="1"/>
    <col min="9229" max="9229" width="11.375" style="3477" customWidth="1"/>
    <col min="9230" max="9230" width="10.375" style="3477" customWidth="1"/>
    <col min="9231" max="9232" width="11.375" style="3477" customWidth="1"/>
    <col min="9233" max="9233" width="9" style="3477"/>
    <col min="9234" max="9234" width="10.875" style="3477" customWidth="1"/>
    <col min="9235" max="9237" width="9" style="3477"/>
    <col min="9238" max="9238" width="11.875" style="3477" customWidth="1"/>
    <col min="9239" max="9239" width="11.25" style="3477" customWidth="1"/>
    <col min="9240" max="9247" width="9" style="3477"/>
    <col min="9248" max="9248" width="12" style="3477" customWidth="1"/>
    <col min="9249" max="9252" width="9" style="3477"/>
    <col min="9253" max="9253" width="9.5" style="3477" bestFit="1" customWidth="1"/>
    <col min="9254" max="9472" width="9" style="3477"/>
    <col min="9473" max="9473" width="23.5" style="3477" customWidth="1"/>
    <col min="9474" max="9474" width="36.625" style="3477" customWidth="1"/>
    <col min="9475" max="9475" width="5.125" style="3477" customWidth="1"/>
    <col min="9476" max="9476" width="9.5" style="3477" customWidth="1"/>
    <col min="9477" max="9477" width="13.875" style="3477" customWidth="1"/>
    <col min="9478" max="9478" width="11.75" style="3477" customWidth="1"/>
    <col min="9479" max="9479" width="11.25" style="3477" customWidth="1"/>
    <col min="9480" max="9480" width="10.125" style="3477" customWidth="1"/>
    <col min="9481" max="9483" width="10.75" style="3477" customWidth="1"/>
    <col min="9484" max="9484" width="12.25" style="3477" customWidth="1"/>
    <col min="9485" max="9485" width="11.375" style="3477" customWidth="1"/>
    <col min="9486" max="9486" width="10.375" style="3477" customWidth="1"/>
    <col min="9487" max="9488" width="11.375" style="3477" customWidth="1"/>
    <col min="9489" max="9489" width="9" style="3477"/>
    <col min="9490" max="9490" width="10.875" style="3477" customWidth="1"/>
    <col min="9491" max="9493" width="9" style="3477"/>
    <col min="9494" max="9494" width="11.875" style="3477" customWidth="1"/>
    <col min="9495" max="9495" width="11.25" style="3477" customWidth="1"/>
    <col min="9496" max="9503" width="9" style="3477"/>
    <col min="9504" max="9504" width="12" style="3477" customWidth="1"/>
    <col min="9505" max="9508" width="9" style="3477"/>
    <col min="9509" max="9509" width="9.5" style="3477" bestFit="1" customWidth="1"/>
    <col min="9510" max="9728" width="9" style="3477"/>
    <col min="9729" max="9729" width="23.5" style="3477" customWidth="1"/>
    <col min="9730" max="9730" width="36.625" style="3477" customWidth="1"/>
    <col min="9731" max="9731" width="5.125" style="3477" customWidth="1"/>
    <col min="9732" max="9732" width="9.5" style="3477" customWidth="1"/>
    <col min="9733" max="9733" width="13.875" style="3477" customWidth="1"/>
    <col min="9734" max="9734" width="11.75" style="3477" customWidth="1"/>
    <col min="9735" max="9735" width="11.25" style="3477" customWidth="1"/>
    <col min="9736" max="9736" width="10.125" style="3477" customWidth="1"/>
    <col min="9737" max="9739" width="10.75" style="3477" customWidth="1"/>
    <col min="9740" max="9740" width="12.25" style="3477" customWidth="1"/>
    <col min="9741" max="9741" width="11.375" style="3477" customWidth="1"/>
    <col min="9742" max="9742" width="10.375" style="3477" customWidth="1"/>
    <col min="9743" max="9744" width="11.375" style="3477" customWidth="1"/>
    <col min="9745" max="9745" width="9" style="3477"/>
    <col min="9746" max="9746" width="10.875" style="3477" customWidth="1"/>
    <col min="9747" max="9749" width="9" style="3477"/>
    <col min="9750" max="9750" width="11.875" style="3477" customWidth="1"/>
    <col min="9751" max="9751" width="11.25" style="3477" customWidth="1"/>
    <col min="9752" max="9759" width="9" style="3477"/>
    <col min="9760" max="9760" width="12" style="3477" customWidth="1"/>
    <col min="9761" max="9764" width="9" style="3477"/>
    <col min="9765" max="9765" width="9.5" style="3477" bestFit="1" customWidth="1"/>
    <col min="9766" max="9984" width="9" style="3477"/>
    <col min="9985" max="9985" width="23.5" style="3477" customWidth="1"/>
    <col min="9986" max="9986" width="36.625" style="3477" customWidth="1"/>
    <col min="9987" max="9987" width="5.125" style="3477" customWidth="1"/>
    <col min="9988" max="9988" width="9.5" style="3477" customWidth="1"/>
    <col min="9989" max="9989" width="13.875" style="3477" customWidth="1"/>
    <col min="9990" max="9990" width="11.75" style="3477" customWidth="1"/>
    <col min="9991" max="9991" width="11.25" style="3477" customWidth="1"/>
    <col min="9992" max="9992" width="10.125" style="3477" customWidth="1"/>
    <col min="9993" max="9995" width="10.75" style="3477" customWidth="1"/>
    <col min="9996" max="9996" width="12.25" style="3477" customWidth="1"/>
    <col min="9997" max="9997" width="11.375" style="3477" customWidth="1"/>
    <col min="9998" max="9998" width="10.375" style="3477" customWidth="1"/>
    <col min="9999" max="10000" width="11.375" style="3477" customWidth="1"/>
    <col min="10001" max="10001" width="9" style="3477"/>
    <col min="10002" max="10002" width="10.875" style="3477" customWidth="1"/>
    <col min="10003" max="10005" width="9" style="3477"/>
    <col min="10006" max="10006" width="11.875" style="3477" customWidth="1"/>
    <col min="10007" max="10007" width="11.25" style="3477" customWidth="1"/>
    <col min="10008" max="10015" width="9" style="3477"/>
    <col min="10016" max="10016" width="12" style="3477" customWidth="1"/>
    <col min="10017" max="10020" width="9" style="3477"/>
    <col min="10021" max="10021" width="9.5" style="3477" bestFit="1" customWidth="1"/>
    <col min="10022" max="10240" width="9" style="3477"/>
    <col min="10241" max="10241" width="23.5" style="3477" customWidth="1"/>
    <col min="10242" max="10242" width="36.625" style="3477" customWidth="1"/>
    <col min="10243" max="10243" width="5.125" style="3477" customWidth="1"/>
    <col min="10244" max="10244" width="9.5" style="3477" customWidth="1"/>
    <col min="10245" max="10245" width="13.875" style="3477" customWidth="1"/>
    <col min="10246" max="10246" width="11.75" style="3477" customWidth="1"/>
    <col min="10247" max="10247" width="11.25" style="3477" customWidth="1"/>
    <col min="10248" max="10248" width="10.125" style="3477" customWidth="1"/>
    <col min="10249" max="10251" width="10.75" style="3477" customWidth="1"/>
    <col min="10252" max="10252" width="12.25" style="3477" customWidth="1"/>
    <col min="10253" max="10253" width="11.375" style="3477" customWidth="1"/>
    <col min="10254" max="10254" width="10.375" style="3477" customWidth="1"/>
    <col min="10255" max="10256" width="11.375" style="3477" customWidth="1"/>
    <col min="10257" max="10257" width="9" style="3477"/>
    <col min="10258" max="10258" width="10.875" style="3477" customWidth="1"/>
    <col min="10259" max="10261" width="9" style="3477"/>
    <col min="10262" max="10262" width="11.875" style="3477" customWidth="1"/>
    <col min="10263" max="10263" width="11.25" style="3477" customWidth="1"/>
    <col min="10264" max="10271" width="9" style="3477"/>
    <col min="10272" max="10272" width="12" style="3477" customWidth="1"/>
    <col min="10273" max="10276" width="9" style="3477"/>
    <col min="10277" max="10277" width="9.5" style="3477" bestFit="1" customWidth="1"/>
    <col min="10278" max="10496" width="9" style="3477"/>
    <col min="10497" max="10497" width="23.5" style="3477" customWidth="1"/>
    <col min="10498" max="10498" width="36.625" style="3477" customWidth="1"/>
    <col min="10499" max="10499" width="5.125" style="3477" customWidth="1"/>
    <col min="10500" max="10500" width="9.5" style="3477" customWidth="1"/>
    <col min="10501" max="10501" width="13.875" style="3477" customWidth="1"/>
    <col min="10502" max="10502" width="11.75" style="3477" customWidth="1"/>
    <col min="10503" max="10503" width="11.25" style="3477" customWidth="1"/>
    <col min="10504" max="10504" width="10.125" style="3477" customWidth="1"/>
    <col min="10505" max="10507" width="10.75" style="3477" customWidth="1"/>
    <col min="10508" max="10508" width="12.25" style="3477" customWidth="1"/>
    <col min="10509" max="10509" width="11.375" style="3477" customWidth="1"/>
    <col min="10510" max="10510" width="10.375" style="3477" customWidth="1"/>
    <col min="10511" max="10512" width="11.375" style="3477" customWidth="1"/>
    <col min="10513" max="10513" width="9" style="3477"/>
    <col min="10514" max="10514" width="10.875" style="3477" customWidth="1"/>
    <col min="10515" max="10517" width="9" style="3477"/>
    <col min="10518" max="10518" width="11.875" style="3477" customWidth="1"/>
    <col min="10519" max="10519" width="11.25" style="3477" customWidth="1"/>
    <col min="10520" max="10527" width="9" style="3477"/>
    <col min="10528" max="10528" width="12" style="3477" customWidth="1"/>
    <col min="10529" max="10532" width="9" style="3477"/>
    <col min="10533" max="10533" width="9.5" style="3477" bestFit="1" customWidth="1"/>
    <col min="10534" max="10752" width="9" style="3477"/>
    <col min="10753" max="10753" width="23.5" style="3477" customWidth="1"/>
    <col min="10754" max="10754" width="36.625" style="3477" customWidth="1"/>
    <col min="10755" max="10755" width="5.125" style="3477" customWidth="1"/>
    <col min="10756" max="10756" width="9.5" style="3477" customWidth="1"/>
    <col min="10757" max="10757" width="13.875" style="3477" customWidth="1"/>
    <col min="10758" max="10758" width="11.75" style="3477" customWidth="1"/>
    <col min="10759" max="10759" width="11.25" style="3477" customWidth="1"/>
    <col min="10760" max="10760" width="10.125" style="3477" customWidth="1"/>
    <col min="10761" max="10763" width="10.75" style="3477" customWidth="1"/>
    <col min="10764" max="10764" width="12.25" style="3477" customWidth="1"/>
    <col min="10765" max="10765" width="11.375" style="3477" customWidth="1"/>
    <col min="10766" max="10766" width="10.375" style="3477" customWidth="1"/>
    <col min="10767" max="10768" width="11.375" style="3477" customWidth="1"/>
    <col min="10769" max="10769" width="9" style="3477"/>
    <col min="10770" max="10770" width="10.875" style="3477" customWidth="1"/>
    <col min="10771" max="10773" width="9" style="3477"/>
    <col min="10774" max="10774" width="11.875" style="3477" customWidth="1"/>
    <col min="10775" max="10775" width="11.25" style="3477" customWidth="1"/>
    <col min="10776" max="10783" width="9" style="3477"/>
    <col min="10784" max="10784" width="12" style="3477" customWidth="1"/>
    <col min="10785" max="10788" width="9" style="3477"/>
    <col min="10789" max="10789" width="9.5" style="3477" bestFit="1" customWidth="1"/>
    <col min="10790" max="11008" width="9" style="3477"/>
    <col min="11009" max="11009" width="23.5" style="3477" customWidth="1"/>
    <col min="11010" max="11010" width="36.625" style="3477" customWidth="1"/>
    <col min="11011" max="11011" width="5.125" style="3477" customWidth="1"/>
    <col min="11012" max="11012" width="9.5" style="3477" customWidth="1"/>
    <col min="11013" max="11013" width="13.875" style="3477" customWidth="1"/>
    <col min="11014" max="11014" width="11.75" style="3477" customWidth="1"/>
    <col min="11015" max="11015" width="11.25" style="3477" customWidth="1"/>
    <col min="11016" max="11016" width="10.125" style="3477" customWidth="1"/>
    <col min="11017" max="11019" width="10.75" style="3477" customWidth="1"/>
    <col min="11020" max="11020" width="12.25" style="3477" customWidth="1"/>
    <col min="11021" max="11021" width="11.375" style="3477" customWidth="1"/>
    <col min="11022" max="11022" width="10.375" style="3477" customWidth="1"/>
    <col min="11023" max="11024" width="11.375" style="3477" customWidth="1"/>
    <col min="11025" max="11025" width="9" style="3477"/>
    <col min="11026" max="11026" width="10.875" style="3477" customWidth="1"/>
    <col min="11027" max="11029" width="9" style="3477"/>
    <col min="11030" max="11030" width="11.875" style="3477" customWidth="1"/>
    <col min="11031" max="11031" width="11.25" style="3477" customWidth="1"/>
    <col min="11032" max="11039" width="9" style="3477"/>
    <col min="11040" max="11040" width="12" style="3477" customWidth="1"/>
    <col min="11041" max="11044" width="9" style="3477"/>
    <col min="11045" max="11045" width="9.5" style="3477" bestFit="1" customWidth="1"/>
    <col min="11046" max="11264" width="9" style="3477"/>
    <col min="11265" max="11265" width="23.5" style="3477" customWidth="1"/>
    <col min="11266" max="11266" width="36.625" style="3477" customWidth="1"/>
    <col min="11267" max="11267" width="5.125" style="3477" customWidth="1"/>
    <col min="11268" max="11268" width="9.5" style="3477" customWidth="1"/>
    <col min="11269" max="11269" width="13.875" style="3477" customWidth="1"/>
    <col min="11270" max="11270" width="11.75" style="3477" customWidth="1"/>
    <col min="11271" max="11271" width="11.25" style="3477" customWidth="1"/>
    <col min="11272" max="11272" width="10.125" style="3477" customWidth="1"/>
    <col min="11273" max="11275" width="10.75" style="3477" customWidth="1"/>
    <col min="11276" max="11276" width="12.25" style="3477" customWidth="1"/>
    <col min="11277" max="11277" width="11.375" style="3477" customWidth="1"/>
    <col min="11278" max="11278" width="10.375" style="3477" customWidth="1"/>
    <col min="11279" max="11280" width="11.375" style="3477" customWidth="1"/>
    <col min="11281" max="11281" width="9" style="3477"/>
    <col min="11282" max="11282" width="10.875" style="3477" customWidth="1"/>
    <col min="11283" max="11285" width="9" style="3477"/>
    <col min="11286" max="11286" width="11.875" style="3477" customWidth="1"/>
    <col min="11287" max="11287" width="11.25" style="3477" customWidth="1"/>
    <col min="11288" max="11295" width="9" style="3477"/>
    <col min="11296" max="11296" width="12" style="3477" customWidth="1"/>
    <col min="11297" max="11300" width="9" style="3477"/>
    <col min="11301" max="11301" width="9.5" style="3477" bestFit="1" customWidth="1"/>
    <col min="11302" max="11520" width="9" style="3477"/>
    <col min="11521" max="11521" width="23.5" style="3477" customWidth="1"/>
    <col min="11522" max="11522" width="36.625" style="3477" customWidth="1"/>
    <col min="11523" max="11523" width="5.125" style="3477" customWidth="1"/>
    <col min="11524" max="11524" width="9.5" style="3477" customWidth="1"/>
    <col min="11525" max="11525" width="13.875" style="3477" customWidth="1"/>
    <col min="11526" max="11526" width="11.75" style="3477" customWidth="1"/>
    <col min="11527" max="11527" width="11.25" style="3477" customWidth="1"/>
    <col min="11528" max="11528" width="10.125" style="3477" customWidth="1"/>
    <col min="11529" max="11531" width="10.75" style="3477" customWidth="1"/>
    <col min="11532" max="11532" width="12.25" style="3477" customWidth="1"/>
    <col min="11533" max="11533" width="11.375" style="3477" customWidth="1"/>
    <col min="11534" max="11534" width="10.375" style="3477" customWidth="1"/>
    <col min="11535" max="11536" width="11.375" style="3477" customWidth="1"/>
    <col min="11537" max="11537" width="9" style="3477"/>
    <col min="11538" max="11538" width="10.875" style="3477" customWidth="1"/>
    <col min="11539" max="11541" width="9" style="3477"/>
    <col min="11542" max="11542" width="11.875" style="3477" customWidth="1"/>
    <col min="11543" max="11543" width="11.25" style="3477" customWidth="1"/>
    <col min="11544" max="11551" width="9" style="3477"/>
    <col min="11552" max="11552" width="12" style="3477" customWidth="1"/>
    <col min="11553" max="11556" width="9" style="3477"/>
    <col min="11557" max="11557" width="9.5" style="3477" bestFit="1" customWidth="1"/>
    <col min="11558" max="11776" width="9" style="3477"/>
    <col min="11777" max="11777" width="23.5" style="3477" customWidth="1"/>
    <col min="11778" max="11778" width="36.625" style="3477" customWidth="1"/>
    <col min="11779" max="11779" width="5.125" style="3477" customWidth="1"/>
    <col min="11780" max="11780" width="9.5" style="3477" customWidth="1"/>
    <col min="11781" max="11781" width="13.875" style="3477" customWidth="1"/>
    <col min="11782" max="11782" width="11.75" style="3477" customWidth="1"/>
    <col min="11783" max="11783" width="11.25" style="3477" customWidth="1"/>
    <col min="11784" max="11784" width="10.125" style="3477" customWidth="1"/>
    <col min="11785" max="11787" width="10.75" style="3477" customWidth="1"/>
    <col min="11788" max="11788" width="12.25" style="3477" customWidth="1"/>
    <col min="11789" max="11789" width="11.375" style="3477" customWidth="1"/>
    <col min="11790" max="11790" width="10.375" style="3477" customWidth="1"/>
    <col min="11791" max="11792" width="11.375" style="3477" customWidth="1"/>
    <col min="11793" max="11793" width="9" style="3477"/>
    <col min="11794" max="11794" width="10.875" style="3477" customWidth="1"/>
    <col min="11795" max="11797" width="9" style="3477"/>
    <col min="11798" max="11798" width="11.875" style="3477" customWidth="1"/>
    <col min="11799" max="11799" width="11.25" style="3477" customWidth="1"/>
    <col min="11800" max="11807" width="9" style="3477"/>
    <col min="11808" max="11808" width="12" style="3477" customWidth="1"/>
    <col min="11809" max="11812" width="9" style="3477"/>
    <col min="11813" max="11813" width="9.5" style="3477" bestFit="1" customWidth="1"/>
    <col min="11814" max="12032" width="9" style="3477"/>
    <col min="12033" max="12033" width="23.5" style="3477" customWidth="1"/>
    <col min="12034" max="12034" width="36.625" style="3477" customWidth="1"/>
    <col min="12035" max="12035" width="5.125" style="3477" customWidth="1"/>
    <col min="12036" max="12036" width="9.5" style="3477" customWidth="1"/>
    <col min="12037" max="12037" width="13.875" style="3477" customWidth="1"/>
    <col min="12038" max="12038" width="11.75" style="3477" customWidth="1"/>
    <col min="12039" max="12039" width="11.25" style="3477" customWidth="1"/>
    <col min="12040" max="12040" width="10.125" style="3477" customWidth="1"/>
    <col min="12041" max="12043" width="10.75" style="3477" customWidth="1"/>
    <col min="12044" max="12044" width="12.25" style="3477" customWidth="1"/>
    <col min="12045" max="12045" width="11.375" style="3477" customWidth="1"/>
    <col min="12046" max="12046" width="10.375" style="3477" customWidth="1"/>
    <col min="12047" max="12048" width="11.375" style="3477" customWidth="1"/>
    <col min="12049" max="12049" width="9" style="3477"/>
    <col min="12050" max="12050" width="10.875" style="3477" customWidth="1"/>
    <col min="12051" max="12053" width="9" style="3477"/>
    <col min="12054" max="12054" width="11.875" style="3477" customWidth="1"/>
    <col min="12055" max="12055" width="11.25" style="3477" customWidth="1"/>
    <col min="12056" max="12063" width="9" style="3477"/>
    <col min="12064" max="12064" width="12" style="3477" customWidth="1"/>
    <col min="12065" max="12068" width="9" style="3477"/>
    <col min="12069" max="12069" width="9.5" style="3477" bestFit="1" customWidth="1"/>
    <col min="12070" max="12288" width="9" style="3477"/>
    <col min="12289" max="12289" width="23.5" style="3477" customWidth="1"/>
    <col min="12290" max="12290" width="36.625" style="3477" customWidth="1"/>
    <col min="12291" max="12291" width="5.125" style="3477" customWidth="1"/>
    <col min="12292" max="12292" width="9.5" style="3477" customWidth="1"/>
    <col min="12293" max="12293" width="13.875" style="3477" customWidth="1"/>
    <col min="12294" max="12294" width="11.75" style="3477" customWidth="1"/>
    <col min="12295" max="12295" width="11.25" style="3477" customWidth="1"/>
    <col min="12296" max="12296" width="10.125" style="3477" customWidth="1"/>
    <col min="12297" max="12299" width="10.75" style="3477" customWidth="1"/>
    <col min="12300" max="12300" width="12.25" style="3477" customWidth="1"/>
    <col min="12301" max="12301" width="11.375" style="3477" customWidth="1"/>
    <col min="12302" max="12302" width="10.375" style="3477" customWidth="1"/>
    <col min="12303" max="12304" width="11.375" style="3477" customWidth="1"/>
    <col min="12305" max="12305" width="9" style="3477"/>
    <col min="12306" max="12306" width="10.875" style="3477" customWidth="1"/>
    <col min="12307" max="12309" width="9" style="3477"/>
    <col min="12310" max="12310" width="11.875" style="3477" customWidth="1"/>
    <col min="12311" max="12311" width="11.25" style="3477" customWidth="1"/>
    <col min="12312" max="12319" width="9" style="3477"/>
    <col min="12320" max="12320" width="12" style="3477" customWidth="1"/>
    <col min="12321" max="12324" width="9" style="3477"/>
    <col min="12325" max="12325" width="9.5" style="3477" bestFit="1" customWidth="1"/>
    <col min="12326" max="12544" width="9" style="3477"/>
    <col min="12545" max="12545" width="23.5" style="3477" customWidth="1"/>
    <col min="12546" max="12546" width="36.625" style="3477" customWidth="1"/>
    <col min="12547" max="12547" width="5.125" style="3477" customWidth="1"/>
    <col min="12548" max="12548" width="9.5" style="3477" customWidth="1"/>
    <col min="12549" max="12549" width="13.875" style="3477" customWidth="1"/>
    <col min="12550" max="12550" width="11.75" style="3477" customWidth="1"/>
    <col min="12551" max="12551" width="11.25" style="3477" customWidth="1"/>
    <col min="12552" max="12552" width="10.125" style="3477" customWidth="1"/>
    <col min="12553" max="12555" width="10.75" style="3477" customWidth="1"/>
    <col min="12556" max="12556" width="12.25" style="3477" customWidth="1"/>
    <col min="12557" max="12557" width="11.375" style="3477" customWidth="1"/>
    <col min="12558" max="12558" width="10.375" style="3477" customWidth="1"/>
    <col min="12559" max="12560" width="11.375" style="3477" customWidth="1"/>
    <col min="12561" max="12561" width="9" style="3477"/>
    <col min="12562" max="12562" width="10.875" style="3477" customWidth="1"/>
    <col min="12563" max="12565" width="9" style="3477"/>
    <col min="12566" max="12566" width="11.875" style="3477" customWidth="1"/>
    <col min="12567" max="12567" width="11.25" style="3477" customWidth="1"/>
    <col min="12568" max="12575" width="9" style="3477"/>
    <col min="12576" max="12576" width="12" style="3477" customWidth="1"/>
    <col min="12577" max="12580" width="9" style="3477"/>
    <col min="12581" max="12581" width="9.5" style="3477" bestFit="1" customWidth="1"/>
    <col min="12582" max="12800" width="9" style="3477"/>
    <col min="12801" max="12801" width="23.5" style="3477" customWidth="1"/>
    <col min="12802" max="12802" width="36.625" style="3477" customWidth="1"/>
    <col min="12803" max="12803" width="5.125" style="3477" customWidth="1"/>
    <col min="12804" max="12804" width="9.5" style="3477" customWidth="1"/>
    <col min="12805" max="12805" width="13.875" style="3477" customWidth="1"/>
    <col min="12806" max="12806" width="11.75" style="3477" customWidth="1"/>
    <col min="12807" max="12807" width="11.25" style="3477" customWidth="1"/>
    <col min="12808" max="12808" width="10.125" style="3477" customWidth="1"/>
    <col min="12809" max="12811" width="10.75" style="3477" customWidth="1"/>
    <col min="12812" max="12812" width="12.25" style="3477" customWidth="1"/>
    <col min="12813" max="12813" width="11.375" style="3477" customWidth="1"/>
    <col min="12814" max="12814" width="10.375" style="3477" customWidth="1"/>
    <col min="12815" max="12816" width="11.375" style="3477" customWidth="1"/>
    <col min="12817" max="12817" width="9" style="3477"/>
    <col min="12818" max="12818" width="10.875" style="3477" customWidth="1"/>
    <col min="12819" max="12821" width="9" style="3477"/>
    <col min="12822" max="12822" width="11.875" style="3477" customWidth="1"/>
    <col min="12823" max="12823" width="11.25" style="3477" customWidth="1"/>
    <col min="12824" max="12831" width="9" style="3477"/>
    <col min="12832" max="12832" width="12" style="3477" customWidth="1"/>
    <col min="12833" max="12836" width="9" style="3477"/>
    <col min="12837" max="12837" width="9.5" style="3477" bestFit="1" customWidth="1"/>
    <col min="12838" max="13056" width="9" style="3477"/>
    <col min="13057" max="13057" width="23.5" style="3477" customWidth="1"/>
    <col min="13058" max="13058" width="36.625" style="3477" customWidth="1"/>
    <col min="13059" max="13059" width="5.125" style="3477" customWidth="1"/>
    <col min="13060" max="13060" width="9.5" style="3477" customWidth="1"/>
    <col min="13061" max="13061" width="13.875" style="3477" customWidth="1"/>
    <col min="13062" max="13062" width="11.75" style="3477" customWidth="1"/>
    <col min="13063" max="13063" width="11.25" style="3477" customWidth="1"/>
    <col min="13064" max="13064" width="10.125" style="3477" customWidth="1"/>
    <col min="13065" max="13067" width="10.75" style="3477" customWidth="1"/>
    <col min="13068" max="13068" width="12.25" style="3477" customWidth="1"/>
    <col min="13069" max="13069" width="11.375" style="3477" customWidth="1"/>
    <col min="13070" max="13070" width="10.375" style="3477" customWidth="1"/>
    <col min="13071" max="13072" width="11.375" style="3477" customWidth="1"/>
    <col min="13073" max="13073" width="9" style="3477"/>
    <col min="13074" max="13074" width="10.875" style="3477" customWidth="1"/>
    <col min="13075" max="13077" width="9" style="3477"/>
    <col min="13078" max="13078" width="11.875" style="3477" customWidth="1"/>
    <col min="13079" max="13079" width="11.25" style="3477" customWidth="1"/>
    <col min="13080" max="13087" width="9" style="3477"/>
    <col min="13088" max="13088" width="12" style="3477" customWidth="1"/>
    <col min="13089" max="13092" width="9" style="3477"/>
    <col min="13093" max="13093" width="9.5" style="3477" bestFit="1" customWidth="1"/>
    <col min="13094" max="13312" width="9" style="3477"/>
    <col min="13313" max="13313" width="23.5" style="3477" customWidth="1"/>
    <col min="13314" max="13314" width="36.625" style="3477" customWidth="1"/>
    <col min="13315" max="13315" width="5.125" style="3477" customWidth="1"/>
    <col min="13316" max="13316" width="9.5" style="3477" customWidth="1"/>
    <col min="13317" max="13317" width="13.875" style="3477" customWidth="1"/>
    <col min="13318" max="13318" width="11.75" style="3477" customWidth="1"/>
    <col min="13319" max="13319" width="11.25" style="3477" customWidth="1"/>
    <col min="13320" max="13320" width="10.125" style="3477" customWidth="1"/>
    <col min="13321" max="13323" width="10.75" style="3477" customWidth="1"/>
    <col min="13324" max="13324" width="12.25" style="3477" customWidth="1"/>
    <col min="13325" max="13325" width="11.375" style="3477" customWidth="1"/>
    <col min="13326" max="13326" width="10.375" style="3477" customWidth="1"/>
    <col min="13327" max="13328" width="11.375" style="3477" customWidth="1"/>
    <col min="13329" max="13329" width="9" style="3477"/>
    <col min="13330" max="13330" width="10.875" style="3477" customWidth="1"/>
    <col min="13331" max="13333" width="9" style="3477"/>
    <col min="13334" max="13334" width="11.875" style="3477" customWidth="1"/>
    <col min="13335" max="13335" width="11.25" style="3477" customWidth="1"/>
    <col min="13336" max="13343" width="9" style="3477"/>
    <col min="13344" max="13344" width="12" style="3477" customWidth="1"/>
    <col min="13345" max="13348" width="9" style="3477"/>
    <col min="13349" max="13349" width="9.5" style="3477" bestFit="1" customWidth="1"/>
    <col min="13350" max="13568" width="9" style="3477"/>
    <col min="13569" max="13569" width="23.5" style="3477" customWidth="1"/>
    <col min="13570" max="13570" width="36.625" style="3477" customWidth="1"/>
    <col min="13571" max="13571" width="5.125" style="3477" customWidth="1"/>
    <col min="13572" max="13572" width="9.5" style="3477" customWidth="1"/>
    <col min="13573" max="13573" width="13.875" style="3477" customWidth="1"/>
    <col min="13574" max="13574" width="11.75" style="3477" customWidth="1"/>
    <col min="13575" max="13575" width="11.25" style="3477" customWidth="1"/>
    <col min="13576" max="13576" width="10.125" style="3477" customWidth="1"/>
    <col min="13577" max="13579" width="10.75" style="3477" customWidth="1"/>
    <col min="13580" max="13580" width="12.25" style="3477" customWidth="1"/>
    <col min="13581" max="13581" width="11.375" style="3477" customWidth="1"/>
    <col min="13582" max="13582" width="10.375" style="3477" customWidth="1"/>
    <col min="13583" max="13584" width="11.375" style="3477" customWidth="1"/>
    <col min="13585" max="13585" width="9" style="3477"/>
    <col min="13586" max="13586" width="10.875" style="3477" customWidth="1"/>
    <col min="13587" max="13589" width="9" style="3477"/>
    <col min="13590" max="13590" width="11.875" style="3477" customWidth="1"/>
    <col min="13591" max="13591" width="11.25" style="3477" customWidth="1"/>
    <col min="13592" max="13599" width="9" style="3477"/>
    <col min="13600" max="13600" width="12" style="3477" customWidth="1"/>
    <col min="13601" max="13604" width="9" style="3477"/>
    <col min="13605" max="13605" width="9.5" style="3477" bestFit="1" customWidth="1"/>
    <col min="13606" max="13824" width="9" style="3477"/>
    <col min="13825" max="13825" width="23.5" style="3477" customWidth="1"/>
    <col min="13826" max="13826" width="36.625" style="3477" customWidth="1"/>
    <col min="13827" max="13827" width="5.125" style="3477" customWidth="1"/>
    <col min="13828" max="13828" width="9.5" style="3477" customWidth="1"/>
    <col min="13829" max="13829" width="13.875" style="3477" customWidth="1"/>
    <col min="13830" max="13830" width="11.75" style="3477" customWidth="1"/>
    <col min="13831" max="13831" width="11.25" style="3477" customWidth="1"/>
    <col min="13832" max="13832" width="10.125" style="3477" customWidth="1"/>
    <col min="13833" max="13835" width="10.75" style="3477" customWidth="1"/>
    <col min="13836" max="13836" width="12.25" style="3477" customWidth="1"/>
    <col min="13837" max="13837" width="11.375" style="3477" customWidth="1"/>
    <col min="13838" max="13838" width="10.375" style="3477" customWidth="1"/>
    <col min="13839" max="13840" width="11.375" style="3477" customWidth="1"/>
    <col min="13841" max="13841" width="9" style="3477"/>
    <col min="13842" max="13842" width="10.875" style="3477" customWidth="1"/>
    <col min="13843" max="13845" width="9" style="3477"/>
    <col min="13846" max="13846" width="11.875" style="3477" customWidth="1"/>
    <col min="13847" max="13847" width="11.25" style="3477" customWidth="1"/>
    <col min="13848" max="13855" width="9" style="3477"/>
    <col min="13856" max="13856" width="12" style="3477" customWidth="1"/>
    <col min="13857" max="13860" width="9" style="3477"/>
    <col min="13861" max="13861" width="9.5" style="3477" bestFit="1" customWidth="1"/>
    <col min="13862" max="14080" width="9" style="3477"/>
    <col min="14081" max="14081" width="23.5" style="3477" customWidth="1"/>
    <col min="14082" max="14082" width="36.625" style="3477" customWidth="1"/>
    <col min="14083" max="14083" width="5.125" style="3477" customWidth="1"/>
    <col min="14084" max="14084" width="9.5" style="3477" customWidth="1"/>
    <col min="14085" max="14085" width="13.875" style="3477" customWidth="1"/>
    <col min="14086" max="14086" width="11.75" style="3477" customWidth="1"/>
    <col min="14087" max="14087" width="11.25" style="3477" customWidth="1"/>
    <col min="14088" max="14088" width="10.125" style="3477" customWidth="1"/>
    <col min="14089" max="14091" width="10.75" style="3477" customWidth="1"/>
    <col min="14092" max="14092" width="12.25" style="3477" customWidth="1"/>
    <col min="14093" max="14093" width="11.375" style="3477" customWidth="1"/>
    <col min="14094" max="14094" width="10.375" style="3477" customWidth="1"/>
    <col min="14095" max="14096" width="11.375" style="3477" customWidth="1"/>
    <col min="14097" max="14097" width="9" style="3477"/>
    <col min="14098" max="14098" width="10.875" style="3477" customWidth="1"/>
    <col min="14099" max="14101" width="9" style="3477"/>
    <col min="14102" max="14102" width="11.875" style="3477" customWidth="1"/>
    <col min="14103" max="14103" width="11.25" style="3477" customWidth="1"/>
    <col min="14104" max="14111" width="9" style="3477"/>
    <col min="14112" max="14112" width="12" style="3477" customWidth="1"/>
    <col min="14113" max="14116" width="9" style="3477"/>
    <col min="14117" max="14117" width="9.5" style="3477" bestFit="1" customWidth="1"/>
    <col min="14118" max="14336" width="9" style="3477"/>
    <col min="14337" max="14337" width="23.5" style="3477" customWidth="1"/>
    <col min="14338" max="14338" width="36.625" style="3477" customWidth="1"/>
    <col min="14339" max="14339" width="5.125" style="3477" customWidth="1"/>
    <col min="14340" max="14340" width="9.5" style="3477" customWidth="1"/>
    <col min="14341" max="14341" width="13.875" style="3477" customWidth="1"/>
    <col min="14342" max="14342" width="11.75" style="3477" customWidth="1"/>
    <col min="14343" max="14343" width="11.25" style="3477" customWidth="1"/>
    <col min="14344" max="14344" width="10.125" style="3477" customWidth="1"/>
    <col min="14345" max="14347" width="10.75" style="3477" customWidth="1"/>
    <col min="14348" max="14348" width="12.25" style="3477" customWidth="1"/>
    <col min="14349" max="14349" width="11.375" style="3477" customWidth="1"/>
    <col min="14350" max="14350" width="10.375" style="3477" customWidth="1"/>
    <col min="14351" max="14352" width="11.375" style="3477" customWidth="1"/>
    <col min="14353" max="14353" width="9" style="3477"/>
    <col min="14354" max="14354" width="10.875" style="3477" customWidth="1"/>
    <col min="14355" max="14357" width="9" style="3477"/>
    <col min="14358" max="14358" width="11.875" style="3477" customWidth="1"/>
    <col min="14359" max="14359" width="11.25" style="3477" customWidth="1"/>
    <col min="14360" max="14367" width="9" style="3477"/>
    <col min="14368" max="14368" width="12" style="3477" customWidth="1"/>
    <col min="14369" max="14372" width="9" style="3477"/>
    <col min="14373" max="14373" width="9.5" style="3477" bestFit="1" customWidth="1"/>
    <col min="14374" max="14592" width="9" style="3477"/>
    <col min="14593" max="14593" width="23.5" style="3477" customWidth="1"/>
    <col min="14594" max="14594" width="36.625" style="3477" customWidth="1"/>
    <col min="14595" max="14595" width="5.125" style="3477" customWidth="1"/>
    <col min="14596" max="14596" width="9.5" style="3477" customWidth="1"/>
    <col min="14597" max="14597" width="13.875" style="3477" customWidth="1"/>
    <col min="14598" max="14598" width="11.75" style="3477" customWidth="1"/>
    <col min="14599" max="14599" width="11.25" style="3477" customWidth="1"/>
    <col min="14600" max="14600" width="10.125" style="3477" customWidth="1"/>
    <col min="14601" max="14603" width="10.75" style="3477" customWidth="1"/>
    <col min="14604" max="14604" width="12.25" style="3477" customWidth="1"/>
    <col min="14605" max="14605" width="11.375" style="3477" customWidth="1"/>
    <col min="14606" max="14606" width="10.375" style="3477" customWidth="1"/>
    <col min="14607" max="14608" width="11.375" style="3477" customWidth="1"/>
    <col min="14609" max="14609" width="9" style="3477"/>
    <col min="14610" max="14610" width="10.875" style="3477" customWidth="1"/>
    <col min="14611" max="14613" width="9" style="3477"/>
    <col min="14614" max="14614" width="11.875" style="3477" customWidth="1"/>
    <col min="14615" max="14615" width="11.25" style="3477" customWidth="1"/>
    <col min="14616" max="14623" width="9" style="3477"/>
    <col min="14624" max="14624" width="12" style="3477" customWidth="1"/>
    <col min="14625" max="14628" width="9" style="3477"/>
    <col min="14629" max="14629" width="9.5" style="3477" bestFit="1" customWidth="1"/>
    <col min="14630" max="14848" width="9" style="3477"/>
    <col min="14849" max="14849" width="23.5" style="3477" customWidth="1"/>
    <col min="14850" max="14850" width="36.625" style="3477" customWidth="1"/>
    <col min="14851" max="14851" width="5.125" style="3477" customWidth="1"/>
    <col min="14852" max="14852" width="9.5" style="3477" customWidth="1"/>
    <col min="14853" max="14853" width="13.875" style="3477" customWidth="1"/>
    <col min="14854" max="14854" width="11.75" style="3477" customWidth="1"/>
    <col min="14855" max="14855" width="11.25" style="3477" customWidth="1"/>
    <col min="14856" max="14856" width="10.125" style="3477" customWidth="1"/>
    <col min="14857" max="14859" width="10.75" style="3477" customWidth="1"/>
    <col min="14860" max="14860" width="12.25" style="3477" customWidth="1"/>
    <col min="14861" max="14861" width="11.375" style="3477" customWidth="1"/>
    <col min="14862" max="14862" width="10.375" style="3477" customWidth="1"/>
    <col min="14863" max="14864" width="11.375" style="3477" customWidth="1"/>
    <col min="14865" max="14865" width="9" style="3477"/>
    <col min="14866" max="14866" width="10.875" style="3477" customWidth="1"/>
    <col min="14867" max="14869" width="9" style="3477"/>
    <col min="14870" max="14870" width="11.875" style="3477" customWidth="1"/>
    <col min="14871" max="14871" width="11.25" style="3477" customWidth="1"/>
    <col min="14872" max="14879" width="9" style="3477"/>
    <col min="14880" max="14880" width="12" style="3477" customWidth="1"/>
    <col min="14881" max="14884" width="9" style="3477"/>
    <col min="14885" max="14885" width="9.5" style="3477" bestFit="1" customWidth="1"/>
    <col min="14886" max="15104" width="9" style="3477"/>
    <col min="15105" max="15105" width="23.5" style="3477" customWidth="1"/>
    <col min="15106" max="15106" width="36.625" style="3477" customWidth="1"/>
    <col min="15107" max="15107" width="5.125" style="3477" customWidth="1"/>
    <col min="15108" max="15108" width="9.5" style="3477" customWidth="1"/>
    <col min="15109" max="15109" width="13.875" style="3477" customWidth="1"/>
    <col min="15110" max="15110" width="11.75" style="3477" customWidth="1"/>
    <col min="15111" max="15111" width="11.25" style="3477" customWidth="1"/>
    <col min="15112" max="15112" width="10.125" style="3477" customWidth="1"/>
    <col min="15113" max="15115" width="10.75" style="3477" customWidth="1"/>
    <col min="15116" max="15116" width="12.25" style="3477" customWidth="1"/>
    <col min="15117" max="15117" width="11.375" style="3477" customWidth="1"/>
    <col min="15118" max="15118" width="10.375" style="3477" customWidth="1"/>
    <col min="15119" max="15120" width="11.375" style="3477" customWidth="1"/>
    <col min="15121" max="15121" width="9" style="3477"/>
    <col min="15122" max="15122" width="10.875" style="3477" customWidth="1"/>
    <col min="15123" max="15125" width="9" style="3477"/>
    <col min="15126" max="15126" width="11.875" style="3477" customWidth="1"/>
    <col min="15127" max="15127" width="11.25" style="3477" customWidth="1"/>
    <col min="15128" max="15135" width="9" style="3477"/>
    <col min="15136" max="15136" width="12" style="3477" customWidth="1"/>
    <col min="15137" max="15140" width="9" style="3477"/>
    <col min="15141" max="15141" width="9.5" style="3477" bestFit="1" customWidth="1"/>
    <col min="15142" max="15360" width="9" style="3477"/>
    <col min="15361" max="15361" width="23.5" style="3477" customWidth="1"/>
    <col min="15362" max="15362" width="36.625" style="3477" customWidth="1"/>
    <col min="15363" max="15363" width="5.125" style="3477" customWidth="1"/>
    <col min="15364" max="15364" width="9.5" style="3477" customWidth="1"/>
    <col min="15365" max="15365" width="13.875" style="3477" customWidth="1"/>
    <col min="15366" max="15366" width="11.75" style="3477" customWidth="1"/>
    <col min="15367" max="15367" width="11.25" style="3477" customWidth="1"/>
    <col min="15368" max="15368" width="10.125" style="3477" customWidth="1"/>
    <col min="15369" max="15371" width="10.75" style="3477" customWidth="1"/>
    <col min="15372" max="15372" width="12.25" style="3477" customWidth="1"/>
    <col min="15373" max="15373" width="11.375" style="3477" customWidth="1"/>
    <col min="15374" max="15374" width="10.375" style="3477" customWidth="1"/>
    <col min="15375" max="15376" width="11.375" style="3477" customWidth="1"/>
    <col min="15377" max="15377" width="9" style="3477"/>
    <col min="15378" max="15378" width="10.875" style="3477" customWidth="1"/>
    <col min="15379" max="15381" width="9" style="3477"/>
    <col min="15382" max="15382" width="11.875" style="3477" customWidth="1"/>
    <col min="15383" max="15383" width="11.25" style="3477" customWidth="1"/>
    <col min="15384" max="15391" width="9" style="3477"/>
    <col min="15392" max="15392" width="12" style="3477" customWidth="1"/>
    <col min="15393" max="15396" width="9" style="3477"/>
    <col min="15397" max="15397" width="9.5" style="3477" bestFit="1" customWidth="1"/>
    <col min="15398" max="15616" width="9" style="3477"/>
    <col min="15617" max="15617" width="23.5" style="3477" customWidth="1"/>
    <col min="15618" max="15618" width="36.625" style="3477" customWidth="1"/>
    <col min="15619" max="15619" width="5.125" style="3477" customWidth="1"/>
    <col min="15620" max="15620" width="9.5" style="3477" customWidth="1"/>
    <col min="15621" max="15621" width="13.875" style="3477" customWidth="1"/>
    <col min="15622" max="15622" width="11.75" style="3477" customWidth="1"/>
    <col min="15623" max="15623" width="11.25" style="3477" customWidth="1"/>
    <col min="15624" max="15624" width="10.125" style="3477" customWidth="1"/>
    <col min="15625" max="15627" width="10.75" style="3477" customWidth="1"/>
    <col min="15628" max="15628" width="12.25" style="3477" customWidth="1"/>
    <col min="15629" max="15629" width="11.375" style="3477" customWidth="1"/>
    <col min="15630" max="15630" width="10.375" style="3477" customWidth="1"/>
    <col min="15631" max="15632" width="11.375" style="3477" customWidth="1"/>
    <col min="15633" max="15633" width="9" style="3477"/>
    <col min="15634" max="15634" width="10.875" style="3477" customWidth="1"/>
    <col min="15635" max="15637" width="9" style="3477"/>
    <col min="15638" max="15638" width="11.875" style="3477" customWidth="1"/>
    <col min="15639" max="15639" width="11.25" style="3477" customWidth="1"/>
    <col min="15640" max="15647" width="9" style="3477"/>
    <col min="15648" max="15648" width="12" style="3477" customWidth="1"/>
    <col min="15649" max="15652" width="9" style="3477"/>
    <col min="15653" max="15653" width="9.5" style="3477" bestFit="1" customWidth="1"/>
    <col min="15654" max="15872" width="9" style="3477"/>
    <col min="15873" max="15873" width="23.5" style="3477" customWidth="1"/>
    <col min="15874" max="15874" width="36.625" style="3477" customWidth="1"/>
    <col min="15875" max="15875" width="5.125" style="3477" customWidth="1"/>
    <col min="15876" max="15876" width="9.5" style="3477" customWidth="1"/>
    <col min="15877" max="15877" width="13.875" style="3477" customWidth="1"/>
    <col min="15878" max="15878" width="11.75" style="3477" customWidth="1"/>
    <col min="15879" max="15879" width="11.25" style="3477" customWidth="1"/>
    <col min="15880" max="15880" width="10.125" style="3477" customWidth="1"/>
    <col min="15881" max="15883" width="10.75" style="3477" customWidth="1"/>
    <col min="15884" max="15884" width="12.25" style="3477" customWidth="1"/>
    <col min="15885" max="15885" width="11.375" style="3477" customWidth="1"/>
    <col min="15886" max="15886" width="10.375" style="3477" customWidth="1"/>
    <col min="15887" max="15888" width="11.375" style="3477" customWidth="1"/>
    <col min="15889" max="15889" width="9" style="3477"/>
    <col min="15890" max="15890" width="10.875" style="3477" customWidth="1"/>
    <col min="15891" max="15893" width="9" style="3477"/>
    <col min="15894" max="15894" width="11.875" style="3477" customWidth="1"/>
    <col min="15895" max="15895" width="11.25" style="3477" customWidth="1"/>
    <col min="15896" max="15903" width="9" style="3477"/>
    <col min="15904" max="15904" width="12" style="3477" customWidth="1"/>
    <col min="15905" max="15908" width="9" style="3477"/>
    <col min="15909" max="15909" width="9.5" style="3477" bestFit="1" customWidth="1"/>
    <col min="15910" max="16128" width="9" style="3477"/>
    <col min="16129" max="16129" width="23.5" style="3477" customWidth="1"/>
    <col min="16130" max="16130" width="36.625" style="3477" customWidth="1"/>
    <col min="16131" max="16131" width="5.125" style="3477" customWidth="1"/>
    <col min="16132" max="16132" width="9.5" style="3477" customWidth="1"/>
    <col min="16133" max="16133" width="13.875" style="3477" customWidth="1"/>
    <col min="16134" max="16134" width="11.75" style="3477" customWidth="1"/>
    <col min="16135" max="16135" width="11.25" style="3477" customWidth="1"/>
    <col min="16136" max="16136" width="10.125" style="3477" customWidth="1"/>
    <col min="16137" max="16139" width="10.75" style="3477" customWidth="1"/>
    <col min="16140" max="16140" width="12.25" style="3477" customWidth="1"/>
    <col min="16141" max="16141" width="11.375" style="3477" customWidth="1"/>
    <col min="16142" max="16142" width="10.375" style="3477" customWidth="1"/>
    <col min="16143" max="16144" width="11.375" style="3477" customWidth="1"/>
    <col min="16145" max="16145" width="9" style="3477"/>
    <col min="16146" max="16146" width="10.875" style="3477" customWidth="1"/>
    <col min="16147" max="16149" width="9" style="3477"/>
    <col min="16150" max="16150" width="11.875" style="3477" customWidth="1"/>
    <col min="16151" max="16151" width="11.25" style="3477" customWidth="1"/>
    <col min="16152" max="16159" width="9" style="3477"/>
    <col min="16160" max="16160" width="12" style="3477" customWidth="1"/>
    <col min="16161" max="16164" width="9" style="3477"/>
    <col min="16165" max="16165" width="9.5" style="3477" bestFit="1" customWidth="1"/>
    <col min="16166" max="16384" width="9" style="3477"/>
  </cols>
  <sheetData>
    <row r="1" spans="1:36" ht="16.5">
      <c r="A1" s="3748"/>
      <c r="B1" s="3748"/>
      <c r="E1" s="3479" t="s">
        <v>3409</v>
      </c>
      <c r="F1" s="3479" t="s">
        <v>3410</v>
      </c>
      <c r="G1" s="3479" t="s">
        <v>3411</v>
      </c>
      <c r="H1" s="3479" t="s">
        <v>3412</v>
      </c>
      <c r="U1" s="3477"/>
      <c r="V1" s="3477"/>
      <c r="AD1" s="3481"/>
      <c r="AE1" s="3481"/>
      <c r="AF1" s="3481"/>
      <c r="AG1" s="3481"/>
      <c r="AH1" s="3481"/>
      <c r="AI1" s="3482"/>
    </row>
    <row r="2" spans="1:36" ht="15" customHeight="1">
      <c r="A2" s="3483" t="s">
        <v>3413</v>
      </c>
      <c r="B2" s="3484" t="s">
        <v>3414</v>
      </c>
      <c r="E2" s="3479"/>
      <c r="F2" s="3479"/>
      <c r="G2" s="3485"/>
      <c r="H2" s="3486"/>
      <c r="U2" s="3477"/>
      <c r="V2" s="3477"/>
      <c r="AD2" s="3481"/>
      <c r="AE2" s="3481"/>
      <c r="AF2" s="3481" t="s">
        <v>3415</v>
      </c>
      <c r="AG2" s="3481">
        <v>244000</v>
      </c>
      <c r="AH2" s="3481"/>
      <c r="AI2" s="3482"/>
    </row>
    <row r="3" spans="1:36" ht="16.5" customHeight="1">
      <c r="A3" s="3487" t="s">
        <v>3416</v>
      </c>
      <c r="B3" s="3488">
        <v>43822</v>
      </c>
      <c r="E3" s="3479"/>
      <c r="F3" s="3479"/>
      <c r="G3" s="3485"/>
      <c r="H3" s="3486"/>
      <c r="U3" s="3477"/>
      <c r="V3" s="3477"/>
      <c r="AD3" s="3481"/>
      <c r="AE3" s="3489"/>
      <c r="AF3" s="3490" t="s">
        <v>3417</v>
      </c>
      <c r="AG3" s="3491">
        <f>AG2*10000/'[4]数据-基础表'!A3</f>
        <v>55568.207697563201</v>
      </c>
      <c r="AH3" s="3492"/>
      <c r="AI3" s="3492"/>
      <c r="AJ3" s="3493"/>
    </row>
    <row r="4" spans="1:36" ht="51.75" customHeight="1">
      <c r="A4" s="3494" t="s">
        <v>3418</v>
      </c>
      <c r="B4" s="3495" t="s">
        <v>3419</v>
      </c>
      <c r="E4" s="3479"/>
      <c r="F4" s="3479"/>
      <c r="G4" s="3485"/>
      <c r="H4" s="3486"/>
      <c r="I4" s="3493"/>
      <c r="J4" s="3493"/>
      <c r="U4" s="3477"/>
      <c r="V4" s="3477"/>
      <c r="AD4" s="3481"/>
      <c r="AE4" s="3489"/>
      <c r="AF4" s="3490" t="s">
        <v>3420</v>
      </c>
      <c r="AG4" s="3491">
        <v>32845</v>
      </c>
      <c r="AH4" s="3492"/>
      <c r="AI4" s="3492"/>
      <c r="AJ4" s="3493"/>
    </row>
    <row r="5" spans="1:36" ht="14.25" customHeight="1">
      <c r="A5" s="3494" t="s">
        <v>3421</v>
      </c>
      <c r="B5" s="3496">
        <v>77167.61</v>
      </c>
      <c r="E5" s="3479"/>
      <c r="F5" s="3479"/>
      <c r="G5" s="3485"/>
      <c r="H5" s="3486"/>
      <c r="I5" s="3493"/>
      <c r="J5" s="3493"/>
      <c r="U5" s="3477"/>
      <c r="V5" s="3477"/>
      <c r="AD5" s="3481"/>
      <c r="AE5" s="3489"/>
      <c r="AF5" s="3492"/>
      <c r="AG5" s="3492"/>
      <c r="AH5" s="3492"/>
      <c r="AI5" s="3492"/>
      <c r="AJ5" s="3492"/>
    </row>
    <row r="6" spans="1:36" ht="14.25" customHeight="1">
      <c r="A6" s="3494" t="s">
        <v>672</v>
      </c>
      <c r="B6" s="3496" t="s">
        <v>3422</v>
      </c>
      <c r="E6" s="3497" t="s">
        <v>3423</v>
      </c>
      <c r="F6" s="3479"/>
      <c r="G6" s="3498">
        <f>SUM(G2:G5)</f>
        <v>0</v>
      </c>
      <c r="H6" s="3498"/>
      <c r="I6" s="3493"/>
      <c r="J6" s="3493"/>
      <c r="U6" s="3477"/>
      <c r="V6" s="3477"/>
      <c r="AD6" s="3481"/>
      <c r="AE6" s="3489"/>
      <c r="AF6" s="3499" t="s">
        <v>3424</v>
      </c>
      <c r="AG6" s="3492"/>
      <c r="AH6" s="3492"/>
      <c r="AI6" s="3492"/>
      <c r="AJ6" s="3492"/>
    </row>
    <row r="7" spans="1:36" ht="16.5" customHeight="1">
      <c r="A7" s="3494"/>
      <c r="B7" s="3496"/>
      <c r="E7" s="3492"/>
      <c r="F7" s="3492"/>
      <c r="G7" s="3492"/>
      <c r="H7" s="3492"/>
      <c r="I7" s="3492"/>
      <c r="J7" s="3492"/>
      <c r="U7" s="3477"/>
      <c r="V7" s="3477"/>
      <c r="AD7" s="3481"/>
      <c r="AE7" s="3481"/>
      <c r="AF7" s="3479" t="s">
        <v>3425</v>
      </c>
      <c r="AG7" s="3479" t="s">
        <v>3426</v>
      </c>
      <c r="AH7" s="3479" t="s">
        <v>3427</v>
      </c>
      <c r="AI7" s="3479" t="s">
        <v>3428</v>
      </c>
      <c r="AJ7" s="3492"/>
    </row>
    <row r="8" spans="1:36" ht="16.5" customHeight="1">
      <c r="A8" s="3494" t="s">
        <v>3429</v>
      </c>
      <c r="B8" s="3488">
        <v>43780</v>
      </c>
      <c r="E8" s="3499" t="s">
        <v>3430</v>
      </c>
      <c r="F8" s="3492"/>
      <c r="G8" s="3492"/>
      <c r="H8" s="3492"/>
      <c r="I8" s="3492"/>
      <c r="J8" s="3492"/>
      <c r="U8" s="3477"/>
      <c r="V8" s="3477"/>
      <c r="AD8" s="3481"/>
      <c r="AE8" s="3481"/>
      <c r="AF8" s="3479" t="s">
        <v>3431</v>
      </c>
      <c r="AG8" s="3479">
        <f>'[4]数据-汇总表'!G21</f>
        <v>5699.95</v>
      </c>
      <c r="AH8" s="3479">
        <f>AG4*AJ8*0.25</f>
        <v>2052.8125</v>
      </c>
      <c r="AI8" s="3479">
        <f>ROUND(AG8*AH8*1.0305/10000,0)</f>
        <v>1206</v>
      </c>
      <c r="AJ8" s="3492">
        <v>0.25</v>
      </c>
    </row>
    <row r="9" spans="1:36" ht="16.5">
      <c r="A9" s="3500" t="s">
        <v>3432</v>
      </c>
      <c r="B9" s="3501">
        <v>1476040000</v>
      </c>
      <c r="E9" s="3479" t="s">
        <v>3433</v>
      </c>
      <c r="F9" s="3479" t="s">
        <v>3434</v>
      </c>
      <c r="G9" s="3479" t="s">
        <v>3435</v>
      </c>
      <c r="H9" s="3479" t="s">
        <v>3436</v>
      </c>
      <c r="I9" s="3492"/>
      <c r="J9" s="3492"/>
      <c r="U9" s="3477"/>
      <c r="V9" s="3477"/>
      <c r="AD9" s="3481"/>
      <c r="AE9" s="3481"/>
      <c r="AF9" s="3479" t="s">
        <v>3437</v>
      </c>
      <c r="AG9" s="3479">
        <f>'[4]数据-汇总表'!G20</f>
        <v>28338.42</v>
      </c>
      <c r="AH9" s="3479">
        <f>AG4*AJ9*0.25</f>
        <v>1231.6875</v>
      </c>
      <c r="AI9" s="3479">
        <f>ROUND(AG9*AH9*1.0305/10000,0)</f>
        <v>3597</v>
      </c>
      <c r="AJ9" s="3492">
        <v>0.15</v>
      </c>
    </row>
    <row r="10" spans="1:36" ht="16.5">
      <c r="A10" s="3494" t="s">
        <v>3438</v>
      </c>
      <c r="B10" s="3502">
        <f>B9/B5</f>
        <v>19127.71433506882</v>
      </c>
      <c r="E10" s="3479" t="s">
        <v>3439</v>
      </c>
      <c r="F10" s="3479"/>
      <c r="G10" s="3479">
        <f>B10*I10*0.25</f>
        <v>1195.4821459418013</v>
      </c>
      <c r="H10" s="3479">
        <f>ROUND(F10*G10*1.0305/10000,0)</f>
        <v>0</v>
      </c>
      <c r="I10" s="3503">
        <v>0.25</v>
      </c>
      <c r="J10" s="3503"/>
      <c r="U10" s="3477"/>
      <c r="V10" s="3477"/>
      <c r="AD10" s="3481"/>
      <c r="AE10" s="3481"/>
      <c r="AF10" s="3479" t="s">
        <v>3440</v>
      </c>
      <c r="AG10" s="3479">
        <f>'[4]比较法-住宅、综合'!E59</f>
        <v>1085.52</v>
      </c>
      <c r="AH10" s="3479">
        <f>AG4*AJ10*0.25</f>
        <v>4926.75</v>
      </c>
      <c r="AI10" s="3479">
        <f>ROUND(AG10*AH10*1.0305/10000,0)</f>
        <v>551</v>
      </c>
      <c r="AJ10" s="3492">
        <v>0.6</v>
      </c>
    </row>
    <row r="11" spans="1:36" ht="16.5">
      <c r="A11" s="3494" t="s">
        <v>3441</v>
      </c>
      <c r="B11" s="3502">
        <f>B9/B12</f>
        <v>7651.0857340275279</v>
      </c>
      <c r="E11" s="3479" t="s">
        <v>3442</v>
      </c>
      <c r="F11" s="3479"/>
      <c r="G11" s="3479">
        <f>B10*I11*0.25</f>
        <v>717.28928756508071</v>
      </c>
      <c r="H11" s="3479">
        <f>ROUND(F11*G11*1.0305/10000,0)</f>
        <v>0</v>
      </c>
      <c r="I11" s="3503">
        <v>0.15</v>
      </c>
      <c r="J11" s="3503"/>
      <c r="U11" s="3477"/>
      <c r="V11" s="3477"/>
      <c r="AD11" s="3481"/>
      <c r="AE11" s="3481"/>
      <c r="AF11" s="3479" t="s">
        <v>3443</v>
      </c>
      <c r="AG11" s="3479">
        <f>SUM(AG8:AG10)</f>
        <v>35123.889999999992</v>
      </c>
      <c r="AH11" s="3479"/>
      <c r="AI11" s="3479">
        <f>SUM(AI8:AI10)</f>
        <v>5354</v>
      </c>
      <c r="AJ11" s="3492"/>
    </row>
    <row r="12" spans="1:36" ht="14.25" customHeight="1">
      <c r="A12" s="3494" t="s">
        <v>3444</v>
      </c>
      <c r="B12" s="3504">
        <v>192919.02499999999</v>
      </c>
      <c r="E12" s="3479" t="s">
        <v>3445</v>
      </c>
      <c r="F12" s="3479"/>
      <c r="G12" s="3479">
        <f>B10*I12*0.25</f>
        <v>2869.1571502603229</v>
      </c>
      <c r="H12" s="3479">
        <f>ROUND(F12*G12*1.0305/10000,0)</f>
        <v>0</v>
      </c>
      <c r="I12" s="3503">
        <v>0.6</v>
      </c>
      <c r="J12" s="3503"/>
      <c r="U12" s="3477"/>
      <c r="V12" s="3477"/>
      <c r="AD12" s="3481"/>
      <c r="AE12" s="3481"/>
      <c r="AF12" s="3481"/>
      <c r="AG12" s="3481"/>
      <c r="AH12" s="3481"/>
      <c r="AI12" s="3482"/>
    </row>
    <row r="13" spans="1:36" ht="14.25" customHeight="1">
      <c r="A13" s="3494" t="s">
        <v>3446</v>
      </c>
      <c r="B13" s="3496" t="s">
        <v>3447</v>
      </c>
      <c r="E13" s="3479" t="s">
        <v>3448</v>
      </c>
      <c r="F13" s="3479">
        <f>SUM(F10:F12)</f>
        <v>0</v>
      </c>
      <c r="G13" s="3479"/>
      <c r="H13" s="3505">
        <f>ROUND(3257.0985*1.0305,0)</f>
        <v>3356</v>
      </c>
      <c r="I13" s="3492"/>
      <c r="J13" s="3492"/>
      <c r="U13" s="3477"/>
      <c r="V13" s="3477"/>
      <c r="AD13" s="3481"/>
      <c r="AE13" s="3481"/>
      <c r="AF13" s="3481"/>
      <c r="AG13" s="3481"/>
      <c r="AH13" s="3481"/>
      <c r="AI13" s="3482"/>
    </row>
    <row r="14" spans="1:36" ht="14.25" customHeight="1">
      <c r="A14" s="3506" t="s">
        <v>3449</v>
      </c>
      <c r="B14" s="3488">
        <v>44187</v>
      </c>
      <c r="E14" s="3481"/>
      <c r="F14" s="3481"/>
      <c r="G14" s="3481"/>
      <c r="H14" s="3482"/>
      <c r="U14" s="3477"/>
      <c r="V14" s="3477"/>
      <c r="AD14" s="3481"/>
      <c r="AE14" s="3481"/>
      <c r="AF14" s="3481"/>
      <c r="AG14" s="3481"/>
      <c r="AH14" s="3481"/>
      <c r="AI14" s="3482"/>
    </row>
    <row r="15" spans="1:36" ht="16.5">
      <c r="A15" s="3506" t="s">
        <v>3450</v>
      </c>
      <c r="B15" s="3488">
        <v>44917</v>
      </c>
      <c r="E15" s="3507"/>
      <c r="F15" s="3507"/>
      <c r="G15" s="3479" t="s">
        <v>3451</v>
      </c>
      <c r="H15" s="3479" t="s">
        <v>3452</v>
      </c>
      <c r="AD15" s="3481"/>
      <c r="AE15" s="3481"/>
      <c r="AF15" s="3481"/>
      <c r="AG15" s="3481"/>
      <c r="AH15" s="3481"/>
      <c r="AI15" s="3482"/>
    </row>
    <row r="16" spans="1:36" ht="16.5">
      <c r="A16" s="3508" t="s">
        <v>3453</v>
      </c>
      <c r="B16" s="3509"/>
      <c r="E16" s="3479" t="s">
        <v>3454</v>
      </c>
      <c r="F16" s="3479"/>
      <c r="G16" s="3479"/>
      <c r="H16" s="3479"/>
      <c r="AD16" s="3481"/>
      <c r="AE16" s="3481"/>
      <c r="AF16" s="3481"/>
      <c r="AG16" s="3481"/>
      <c r="AH16" s="3481"/>
      <c r="AI16" s="3482"/>
    </row>
    <row r="17" spans="1:39" ht="17.25" thickBot="1">
      <c r="A17" s="3510" t="s">
        <v>3455</v>
      </c>
      <c r="B17" s="3511"/>
      <c r="E17" s="3479" t="s">
        <v>3456</v>
      </c>
      <c r="F17" s="3479"/>
      <c r="G17" s="3479"/>
      <c r="H17" s="3479"/>
      <c r="I17" s="3477" t="e">
        <f>ROUND(H17/G17*S66,2)</f>
        <v>#DIV/0!</v>
      </c>
      <c r="AD17" s="3481"/>
      <c r="AE17" s="3481"/>
      <c r="AF17" s="3481"/>
      <c r="AG17" s="3481"/>
      <c r="AH17" s="3481"/>
      <c r="AI17" s="3482"/>
    </row>
    <row r="18" spans="1:39" ht="16.5">
      <c r="E18" s="3479"/>
      <c r="F18" s="3479"/>
      <c r="G18" s="3479"/>
      <c r="H18" s="3479"/>
      <c r="AD18" s="3513"/>
      <c r="AE18" s="3513"/>
      <c r="AF18" s="3513"/>
      <c r="AG18" s="3514"/>
      <c r="AH18" s="3482"/>
      <c r="AI18" s="3482"/>
    </row>
    <row r="19" spans="1:39" ht="15" customHeight="1">
      <c r="E19" s="3481"/>
      <c r="F19" s="3481"/>
      <c r="G19" s="3481"/>
      <c r="H19" s="3482"/>
      <c r="AF19" s="3480"/>
      <c r="AG19" s="3481"/>
      <c r="AH19" s="3481"/>
      <c r="AI19" s="3481" t="s">
        <v>3415</v>
      </c>
      <c r="AJ19" s="3481">
        <v>244000</v>
      </c>
      <c r="AK19" s="3481"/>
      <c r="AL19" s="3482"/>
    </row>
    <row r="20" spans="1:39" ht="16.5" customHeight="1">
      <c r="E20" s="3477" t="s">
        <v>3784</v>
      </c>
      <c r="AD20" s="3515"/>
      <c r="AE20" s="3515"/>
      <c r="AF20" s="3515"/>
      <c r="AG20" s="3481"/>
      <c r="AH20" s="3489"/>
      <c r="AI20" s="3490" t="s">
        <v>3417</v>
      </c>
      <c r="AJ20" s="3491" t="e">
        <f>AJ19*10000/'[4]数据-基础表'!A20</f>
        <v>#REF!</v>
      </c>
      <c r="AK20" s="3492"/>
      <c r="AL20" s="3492"/>
      <c r="AM20" s="3493"/>
    </row>
    <row r="21" spans="1:39" ht="16.5">
      <c r="E21" s="3479" t="s">
        <v>3457</v>
      </c>
      <c r="F21" s="3479" t="s">
        <v>3458</v>
      </c>
      <c r="G21" s="3479" t="s">
        <v>3459</v>
      </c>
      <c r="H21" s="3479" t="s">
        <v>3460</v>
      </c>
      <c r="I21" s="3479"/>
      <c r="J21" s="3479"/>
      <c r="M21" s="3516"/>
      <c r="N21" s="3517" t="s">
        <v>3461</v>
      </c>
      <c r="O21" s="3517" t="s">
        <v>3795</v>
      </c>
      <c r="P21" s="3517"/>
      <c r="Q21" s="3477">
        <v>2300</v>
      </c>
      <c r="U21" s="3477"/>
      <c r="AE21" s="3518"/>
      <c r="AF21" s="3518"/>
      <c r="AG21" s="3518"/>
      <c r="AH21" s="3481"/>
      <c r="AI21" s="3481"/>
      <c r="AJ21" s="3481"/>
      <c r="AK21" s="3481"/>
      <c r="AL21" s="3481"/>
      <c r="AM21" s="3482"/>
    </row>
    <row r="22" spans="1:39" ht="16.5">
      <c r="E22" s="3479" t="s">
        <v>3462</v>
      </c>
      <c r="F22" s="3479" t="s">
        <v>3463</v>
      </c>
      <c r="G22" s="3479">
        <v>3</v>
      </c>
      <c r="H22" s="3479">
        <v>3246.98</v>
      </c>
      <c r="I22" s="3479"/>
      <c r="J22" s="3479"/>
      <c r="K22" s="3478"/>
      <c r="L22" s="3478"/>
      <c r="M22" s="3517" t="s">
        <v>3464</v>
      </c>
      <c r="N22" s="3517">
        <f>G68</f>
        <v>180212.11</v>
      </c>
      <c r="O22" s="3517">
        <f>N22-P22</f>
        <v>46412.109999999986</v>
      </c>
      <c r="P22" s="3517">
        <v>133800</v>
      </c>
      <c r="Q22" s="3519">
        <f>$Q$21*N22/10000</f>
        <v>41448.785299999996</v>
      </c>
      <c r="R22" s="3478"/>
      <c r="S22" s="3478"/>
      <c r="T22" s="3478"/>
      <c r="U22" s="3478"/>
      <c r="AE22" s="3513"/>
      <c r="AF22" s="3513"/>
      <c r="AG22" s="3513"/>
      <c r="AH22" s="3514"/>
      <c r="AI22" s="3482"/>
      <c r="AJ22" s="3482"/>
    </row>
    <row r="23" spans="1:39" ht="16.5">
      <c r="E23" s="3479" t="s">
        <v>3465</v>
      </c>
      <c r="F23" s="3479" t="s">
        <v>3467</v>
      </c>
      <c r="G23" s="3479" t="s">
        <v>3468</v>
      </c>
      <c r="H23" s="3479">
        <v>9712.64</v>
      </c>
      <c r="I23" s="3479"/>
      <c r="J23" s="3479"/>
      <c r="K23" s="3478"/>
      <c r="L23" s="3478"/>
      <c r="M23" s="3517" t="s">
        <v>3469</v>
      </c>
      <c r="N23" s="3517"/>
      <c r="O23" s="3517"/>
      <c r="P23" s="3517"/>
      <c r="Q23" s="3519">
        <f t="shared" ref="Q23:Q27" si="0">$Q$21*N23/10000</f>
        <v>0</v>
      </c>
      <c r="R23" s="3478"/>
      <c r="S23" s="3478"/>
      <c r="T23" s="3478"/>
      <c r="U23" s="3478"/>
      <c r="AE23" s="3513"/>
      <c r="AF23" s="3513"/>
      <c r="AG23" s="3513"/>
      <c r="AH23" s="3514"/>
      <c r="AI23" s="3482"/>
      <c r="AJ23" s="3482"/>
    </row>
    <row r="24" spans="1:39" ht="16.5">
      <c r="E24" s="3479" t="s">
        <v>3470</v>
      </c>
      <c r="F24" s="3479" t="s">
        <v>3467</v>
      </c>
      <c r="G24" s="3479" t="s">
        <v>3471</v>
      </c>
      <c r="H24" s="3479">
        <v>10429.75</v>
      </c>
      <c r="I24" s="3479"/>
      <c r="J24" s="3479"/>
      <c r="K24" s="3478"/>
      <c r="L24" s="3478"/>
      <c r="M24" s="3517" t="s">
        <v>3472</v>
      </c>
      <c r="N24" s="3517"/>
      <c r="O24" s="3517"/>
      <c r="P24" s="3517"/>
      <c r="Q24" s="3519">
        <f t="shared" si="0"/>
        <v>0</v>
      </c>
      <c r="R24" s="3478"/>
      <c r="S24" s="3478"/>
      <c r="T24" s="3478"/>
      <c r="U24" s="3478"/>
      <c r="AE24" s="3513"/>
      <c r="AF24" s="3513"/>
      <c r="AG24" s="3513"/>
      <c r="AH24" s="3514"/>
      <c r="AI24" s="3482"/>
      <c r="AJ24" s="3482"/>
    </row>
    <row r="25" spans="1:39" ht="16.5">
      <c r="E25" s="3479" t="s">
        <v>3473</v>
      </c>
      <c r="F25" s="3479" t="s">
        <v>3474</v>
      </c>
      <c r="G25" s="3479" t="s">
        <v>3475</v>
      </c>
      <c r="H25" s="3479">
        <v>13950.93</v>
      </c>
      <c r="I25" s="3479"/>
      <c r="J25" s="3479"/>
      <c r="K25" s="3478"/>
      <c r="L25" s="3478"/>
      <c r="M25" s="3517" t="s">
        <v>3476</v>
      </c>
      <c r="N25" s="3517">
        <f>H68</f>
        <v>1558.08</v>
      </c>
      <c r="O25" s="3517"/>
      <c r="P25" s="3517">
        <f t="shared" ref="P25:P30" si="1">N25</f>
        <v>1558.08</v>
      </c>
      <c r="Q25" s="3519">
        <f t="shared" si="0"/>
        <v>358.35840000000002</v>
      </c>
      <c r="R25" s="3478"/>
      <c r="S25" s="3478"/>
      <c r="T25" s="3478"/>
      <c r="U25" s="3478"/>
      <c r="AE25" s="3513"/>
      <c r="AF25" s="3513"/>
      <c r="AG25" s="3513"/>
      <c r="AH25" s="3514"/>
      <c r="AI25" s="3482"/>
      <c r="AJ25" s="3482"/>
    </row>
    <row r="26" spans="1:39" ht="16.5">
      <c r="E26" s="3479" t="s">
        <v>3477</v>
      </c>
      <c r="F26" s="3479" t="s">
        <v>3478</v>
      </c>
      <c r="G26" s="3479" t="s">
        <v>3479</v>
      </c>
      <c r="H26" s="3479">
        <v>26017.96</v>
      </c>
      <c r="I26" s="3479"/>
      <c r="J26" s="3479"/>
      <c r="K26" s="3478"/>
      <c r="L26" s="3478"/>
      <c r="M26" s="3517" t="s">
        <v>3480</v>
      </c>
      <c r="N26" s="3517">
        <f>J68</f>
        <v>13773.4</v>
      </c>
      <c r="O26" s="3517"/>
      <c r="P26" s="3517">
        <f t="shared" si="1"/>
        <v>13773.4</v>
      </c>
      <c r="Q26" s="3519">
        <f t="shared" si="0"/>
        <v>3167.8820000000001</v>
      </c>
      <c r="R26" s="3478">
        <f>N26*3500/10000</f>
        <v>4820.6899999999996</v>
      </c>
      <c r="S26" s="3478"/>
      <c r="T26" s="3478"/>
      <c r="U26" s="3478"/>
      <c r="AE26" s="3520"/>
      <c r="AF26" s="3520"/>
      <c r="AG26" s="3513"/>
      <c r="AH26" s="3514"/>
      <c r="AI26" s="3482"/>
      <c r="AJ26" s="3482"/>
    </row>
    <row r="27" spans="1:39" ht="16.5">
      <c r="E27" s="3479" t="s">
        <v>3481</v>
      </c>
      <c r="F27" s="3479" t="s">
        <v>3482</v>
      </c>
      <c r="G27" s="3479">
        <v>2</v>
      </c>
      <c r="H27" s="3479">
        <v>1815.56</v>
      </c>
      <c r="I27" s="3479"/>
      <c r="J27" s="3479"/>
      <c r="K27" s="3478"/>
      <c r="L27" s="3478"/>
      <c r="M27" s="3517" t="s">
        <v>3483</v>
      </c>
      <c r="N27" s="3517">
        <f>K68</f>
        <v>7332.7300000000014</v>
      </c>
      <c r="O27" s="3517"/>
      <c r="P27" s="3517">
        <f t="shared" si="1"/>
        <v>7332.7300000000014</v>
      </c>
      <c r="Q27" s="3519">
        <f t="shared" si="0"/>
        <v>1686.5279000000003</v>
      </c>
      <c r="R27" s="3478"/>
      <c r="S27" s="3478"/>
      <c r="T27" s="3478"/>
      <c r="U27" s="3478"/>
      <c r="AE27" s="3520"/>
      <c r="AF27" s="3520"/>
      <c r="AG27" s="3521"/>
      <c r="AH27" s="3522"/>
      <c r="AI27" s="3482"/>
      <c r="AJ27" s="3482"/>
    </row>
    <row r="28" spans="1:39" ht="16.5">
      <c r="E28" s="3479" t="s">
        <v>3484</v>
      </c>
      <c r="F28" s="3479" t="s">
        <v>3482</v>
      </c>
      <c r="G28" s="3479" t="s">
        <v>3485</v>
      </c>
      <c r="H28" s="3479">
        <v>6085.74</v>
      </c>
      <c r="I28" s="3479"/>
      <c r="J28" s="3479"/>
      <c r="K28" s="3478"/>
      <c r="L28" s="3478"/>
      <c r="M28" s="3517" t="s">
        <v>3796</v>
      </c>
      <c r="N28" s="3517">
        <f>L68</f>
        <v>1038.02</v>
      </c>
      <c r="O28" s="3517"/>
      <c r="P28" s="3517">
        <f t="shared" si="1"/>
        <v>1038.02</v>
      </c>
      <c r="Q28" s="3519">
        <f>$Q$21*N30/10000</f>
        <v>6539.2840999999989</v>
      </c>
      <c r="R28" s="3478"/>
      <c r="S28" s="3478"/>
      <c r="T28" s="3478"/>
      <c r="U28" s="3478"/>
      <c r="AE28" s="3520"/>
      <c r="AF28" s="3520"/>
      <c r="AG28" s="3521"/>
      <c r="AH28" s="3522"/>
      <c r="AI28" s="3482"/>
      <c r="AJ28" s="3482"/>
    </row>
    <row r="29" spans="1:39" ht="16.5">
      <c r="E29" s="3479" t="s">
        <v>3487</v>
      </c>
      <c r="F29" s="3479" t="s">
        <v>3488</v>
      </c>
      <c r="G29" s="3479">
        <v>4</v>
      </c>
      <c r="H29" s="3479">
        <v>2443.81</v>
      </c>
      <c r="I29" s="3479"/>
      <c r="J29" s="3479"/>
      <c r="K29" s="3478"/>
      <c r="L29" s="3478"/>
      <c r="M29" s="3517" t="s">
        <v>3797</v>
      </c>
      <c r="N29" s="3517">
        <f>M68</f>
        <v>16375.25</v>
      </c>
      <c r="O29" s="3517"/>
      <c r="P29" s="3517">
        <f t="shared" si="1"/>
        <v>16375.25</v>
      </c>
      <c r="Q29" s="3478"/>
      <c r="R29" s="3478"/>
      <c r="S29" s="3478"/>
      <c r="T29" s="3478"/>
      <c r="U29" s="3478"/>
      <c r="AE29" s="3514"/>
      <c r="AF29" s="3514"/>
      <c r="AG29" s="3520"/>
      <c r="AH29" s="3514"/>
      <c r="AI29" s="3482"/>
      <c r="AJ29" s="3482"/>
    </row>
    <row r="30" spans="1:39" ht="16.5">
      <c r="E30" s="3479" t="s">
        <v>3489</v>
      </c>
      <c r="F30" s="3479" t="s">
        <v>3490</v>
      </c>
      <c r="G30" s="3479" t="s">
        <v>3491</v>
      </c>
      <c r="H30" s="3479">
        <v>14675.65</v>
      </c>
      <c r="I30" s="3479"/>
      <c r="J30" s="3479"/>
      <c r="K30" s="3478"/>
      <c r="L30" s="3478"/>
      <c r="M30" s="3517" t="s">
        <v>3486</v>
      </c>
      <c r="N30" s="3517">
        <f>I68</f>
        <v>28431.67</v>
      </c>
      <c r="O30" s="3517"/>
      <c r="P30" s="3517">
        <f t="shared" si="1"/>
        <v>28431.67</v>
      </c>
      <c r="Q30" s="3478">
        <v>1091</v>
      </c>
      <c r="R30" s="3478">
        <f>N30/Q30</f>
        <v>26.060192483959668</v>
      </c>
      <c r="S30" s="3478"/>
      <c r="T30" s="3478"/>
      <c r="U30" s="3478"/>
      <c r="AE30" s="3514"/>
      <c r="AF30" s="3514"/>
      <c r="AG30" s="3520"/>
      <c r="AH30" s="3514"/>
      <c r="AI30" s="3482"/>
      <c r="AJ30" s="3482"/>
    </row>
    <row r="31" spans="1:39" ht="16.5">
      <c r="E31" s="3479" t="s">
        <v>3492</v>
      </c>
      <c r="F31" s="3479" t="s">
        <v>3490</v>
      </c>
      <c r="G31" s="3479" t="s">
        <v>3493</v>
      </c>
      <c r="H31" s="3479">
        <v>10664.43</v>
      </c>
      <c r="I31" s="3479"/>
      <c r="J31" s="3479"/>
      <c r="K31" s="3478"/>
      <c r="L31" s="3478"/>
      <c r="M31" s="3517"/>
      <c r="N31" s="3517">
        <f>SUM(N22:N30)</f>
        <v>248721.25999999995</v>
      </c>
      <c r="O31" s="3517">
        <f>SUM(O22:O30)</f>
        <v>46412.109999999986</v>
      </c>
      <c r="P31" s="3517">
        <f>SUM(P22:P30)</f>
        <v>202309.14999999997</v>
      </c>
      <c r="Q31" s="3519"/>
      <c r="R31" s="3478"/>
      <c r="S31" s="3478"/>
      <c r="T31" s="3478"/>
      <c r="U31" s="3478"/>
      <c r="AE31" s="3514"/>
      <c r="AF31" s="3514"/>
      <c r="AG31" s="3520"/>
      <c r="AH31" s="3514"/>
      <c r="AI31" s="3482"/>
      <c r="AJ31" s="3482"/>
    </row>
    <row r="32" spans="1:39" ht="16.5">
      <c r="E32" s="3479" t="s">
        <v>3494</v>
      </c>
      <c r="F32" s="3479" t="s">
        <v>3490</v>
      </c>
      <c r="G32" s="3479" t="s">
        <v>3493</v>
      </c>
      <c r="H32" s="3479">
        <v>10440.98</v>
      </c>
      <c r="I32" s="3479"/>
      <c r="J32" s="3479"/>
      <c r="K32" s="3478"/>
      <c r="L32" s="3478"/>
      <c r="M32" s="3478"/>
      <c r="N32" s="3478"/>
      <c r="O32" s="3478"/>
      <c r="P32" s="3478"/>
      <c r="Q32" s="3478"/>
      <c r="R32" s="3478"/>
      <c r="S32" s="3478"/>
      <c r="T32" s="3478"/>
      <c r="U32" s="3478"/>
      <c r="AE32" s="3520"/>
      <c r="AF32" s="3520"/>
      <c r="AG32" s="3514"/>
      <c r="AH32" s="3523"/>
      <c r="AI32" s="3482"/>
      <c r="AJ32" s="3482"/>
    </row>
    <row r="33" spans="5:39" ht="16.5">
      <c r="E33" s="3479" t="s">
        <v>3495</v>
      </c>
      <c r="F33" s="3479" t="s">
        <v>3490</v>
      </c>
      <c r="G33" s="3479" t="s">
        <v>3493</v>
      </c>
      <c r="H33" s="3479">
        <v>9782.74</v>
      </c>
      <c r="I33" s="3479"/>
      <c r="J33" s="3479"/>
      <c r="K33" s="3478"/>
      <c r="L33" s="3478"/>
      <c r="M33" s="3478"/>
      <c r="N33" s="3478"/>
      <c r="O33" s="3478"/>
      <c r="P33" s="3478"/>
      <c r="Q33" s="3478"/>
      <c r="R33" s="3478"/>
      <c r="S33" s="3478"/>
      <c r="T33" s="3478"/>
      <c r="U33" s="3478"/>
      <c r="AE33" s="3524"/>
      <c r="AF33" s="3524"/>
      <c r="AG33" s="3520"/>
      <c r="AH33" s="3520"/>
      <c r="AI33" s="3482"/>
      <c r="AJ33" s="3482"/>
    </row>
    <row r="34" spans="5:39" ht="16.5">
      <c r="E34" s="3479" t="s">
        <v>3496</v>
      </c>
      <c r="F34" s="3479" t="s">
        <v>3490</v>
      </c>
      <c r="G34" s="3479" t="s">
        <v>3493</v>
      </c>
      <c r="H34" s="3479">
        <v>14648.7</v>
      </c>
      <c r="I34" s="3479"/>
      <c r="J34" s="3479"/>
      <c r="K34" s="3478"/>
      <c r="L34" s="3478"/>
      <c r="M34" s="3478"/>
      <c r="N34" s="3478"/>
      <c r="O34" s="3478"/>
      <c r="P34" s="3478"/>
      <c r="Q34" s="3478"/>
      <c r="R34" s="3478"/>
      <c r="S34" s="3478"/>
      <c r="T34" s="3478"/>
      <c r="U34" s="3478"/>
      <c r="AE34" s="3524"/>
      <c r="AF34" s="3524"/>
      <c r="AG34" s="3524"/>
      <c r="AH34" s="3522"/>
      <c r="AI34" s="3482"/>
      <c r="AJ34" s="3482"/>
    </row>
    <row r="35" spans="5:39" ht="16.5">
      <c r="E35" s="3479" t="s">
        <v>3497</v>
      </c>
      <c r="F35" s="3479" t="s">
        <v>3490</v>
      </c>
      <c r="G35" s="3479" t="s">
        <v>3493</v>
      </c>
      <c r="H35" s="3479">
        <v>10109.540000000001</v>
      </c>
      <c r="I35" s="3479"/>
      <c r="J35" s="3479"/>
      <c r="K35" s="3478"/>
      <c r="L35" s="3478"/>
      <c r="M35" s="3478"/>
      <c r="N35" s="3478"/>
      <c r="O35" s="3478"/>
      <c r="P35" s="3478"/>
      <c r="Q35" s="3478"/>
      <c r="R35" s="3478"/>
      <c r="S35" s="3478"/>
      <c r="T35" s="3478"/>
      <c r="U35" s="3478"/>
      <c r="AE35" s="3524"/>
      <c r="AF35" s="3524"/>
      <c r="AG35" s="3525"/>
      <c r="AH35" s="3514"/>
      <c r="AI35" s="3482"/>
      <c r="AJ35" s="3482"/>
    </row>
    <row r="36" spans="5:39" ht="16.5">
      <c r="E36" s="3479" t="s">
        <v>3498</v>
      </c>
      <c r="F36" s="3479" t="s">
        <v>3490</v>
      </c>
      <c r="G36" s="3479" t="s">
        <v>3493</v>
      </c>
      <c r="H36" s="3479">
        <v>9710.42</v>
      </c>
      <c r="I36" s="3479"/>
      <c r="J36" s="3479"/>
      <c r="K36" s="3478"/>
      <c r="L36" s="3478"/>
      <c r="M36" s="3478"/>
      <c r="N36" s="3478"/>
      <c r="O36" s="3478"/>
      <c r="P36" s="3478"/>
      <c r="Q36" s="3478"/>
      <c r="R36" s="3478"/>
      <c r="S36" s="3478"/>
      <c r="T36" s="3478"/>
      <c r="U36" s="3478"/>
      <c r="AE36" s="3524"/>
      <c r="AF36" s="3524"/>
      <c r="AG36" s="3525"/>
      <c r="AH36" s="3514"/>
      <c r="AI36" s="3482"/>
      <c r="AJ36" s="3482"/>
    </row>
    <row r="37" spans="5:39" ht="16.5">
      <c r="E37" s="3479" t="s">
        <v>3499</v>
      </c>
      <c r="F37" s="3479" t="s">
        <v>3490</v>
      </c>
      <c r="G37" s="3479" t="s">
        <v>3500</v>
      </c>
      <c r="H37" s="3479">
        <v>10297.49</v>
      </c>
      <c r="I37" s="3479"/>
      <c r="J37" s="3479"/>
      <c r="K37" s="3478"/>
      <c r="L37" s="3478"/>
      <c r="M37" s="3478"/>
      <c r="N37" s="3478"/>
      <c r="O37" s="3478"/>
      <c r="P37" s="3478"/>
      <c r="Q37" s="3478"/>
      <c r="R37" s="3478"/>
      <c r="S37" s="3478"/>
      <c r="T37" s="3478"/>
      <c r="U37" s="3478"/>
      <c r="AE37" s="3524"/>
      <c r="AF37" s="3524"/>
      <c r="AG37" s="3525"/>
      <c r="AH37" s="3514"/>
      <c r="AI37" s="3482"/>
      <c r="AJ37" s="3482"/>
    </row>
    <row r="38" spans="5:39" ht="16.5">
      <c r="E38" s="3479" t="s">
        <v>3501</v>
      </c>
      <c r="F38" s="3479" t="s">
        <v>3490</v>
      </c>
      <c r="G38" s="3479" t="s">
        <v>3502</v>
      </c>
      <c r="H38" s="3479">
        <v>14113.46</v>
      </c>
      <c r="I38" s="3479"/>
      <c r="J38" s="3479"/>
      <c r="K38" s="3478"/>
      <c r="L38" s="3478"/>
      <c r="M38" s="3478"/>
      <c r="N38" s="3478"/>
      <c r="O38" s="3478"/>
      <c r="P38" s="3478"/>
      <c r="Q38" s="3478"/>
      <c r="R38" s="3478"/>
      <c r="S38" s="3478"/>
      <c r="T38" s="3478"/>
      <c r="U38" s="3478"/>
      <c r="AE38" s="3524"/>
      <c r="AF38" s="3524"/>
      <c r="AG38" s="3525"/>
      <c r="AH38" s="3514"/>
      <c r="AI38" s="3482"/>
      <c r="AJ38" s="3482"/>
    </row>
    <row r="39" spans="5:39" ht="16.5">
      <c r="E39" s="3479" t="s">
        <v>3503</v>
      </c>
      <c r="F39" s="3479" t="s">
        <v>3488</v>
      </c>
      <c r="G39" s="3479">
        <v>1</v>
      </c>
      <c r="H39" s="3479">
        <v>165</v>
      </c>
      <c r="I39" s="3479"/>
      <c r="J39" s="3479"/>
      <c r="K39" s="3478"/>
      <c r="L39" s="3478"/>
      <c r="M39" s="3478"/>
      <c r="N39" s="3478"/>
      <c r="O39" s="3478"/>
      <c r="P39" s="3478"/>
      <c r="Q39" s="3478"/>
      <c r="R39" s="3478"/>
      <c r="S39" s="3478"/>
      <c r="T39" s="3478"/>
      <c r="U39" s="3478"/>
      <c r="AE39" s="3524"/>
      <c r="AF39" s="3524"/>
      <c r="AG39" s="3525"/>
      <c r="AH39" s="3514"/>
      <c r="AI39" s="3482"/>
      <c r="AJ39" s="3482"/>
    </row>
    <row r="40" spans="5:39" ht="16.5">
      <c r="E40" s="3479" t="s">
        <v>3504</v>
      </c>
      <c r="F40" s="3479" t="s">
        <v>3490</v>
      </c>
      <c r="G40" s="3479">
        <v>6</v>
      </c>
      <c r="H40" s="3479">
        <v>25999.599999999999</v>
      </c>
      <c r="I40" s="3479"/>
      <c r="J40" s="3479"/>
      <c r="K40" s="3478"/>
      <c r="L40" s="3478"/>
      <c r="M40" s="3478"/>
      <c r="N40" s="3478"/>
      <c r="O40" s="3478"/>
      <c r="P40" s="3478"/>
      <c r="Q40" s="3478"/>
      <c r="R40" s="3478"/>
      <c r="S40" s="3478"/>
      <c r="T40" s="3478"/>
      <c r="U40" s="3478"/>
      <c r="AE40" s="3524"/>
      <c r="AF40" s="3524"/>
      <c r="AG40" s="3513"/>
      <c r="AH40" s="3514"/>
      <c r="AI40" s="3482"/>
      <c r="AJ40" s="3482"/>
    </row>
    <row r="41" spans="5:39" ht="16.5">
      <c r="E41" s="3479" t="s">
        <v>3505</v>
      </c>
      <c r="F41" s="3479" t="s">
        <v>3507</v>
      </c>
      <c r="G41" s="3479">
        <v>2</v>
      </c>
      <c r="H41" s="3479">
        <v>1538.82</v>
      </c>
      <c r="I41" s="3479"/>
      <c r="J41" s="3479"/>
      <c r="K41" s="3478"/>
      <c r="L41" s="3478"/>
      <c r="M41" s="3478"/>
      <c r="N41" s="3478"/>
      <c r="O41" s="3478"/>
      <c r="P41" s="3478"/>
      <c r="Q41" s="3478"/>
      <c r="R41" s="3478"/>
      <c r="S41" s="3478"/>
      <c r="T41" s="3478"/>
      <c r="U41" s="3478"/>
      <c r="AE41" s="3524"/>
      <c r="AF41" s="3524"/>
      <c r="AG41" s="3513"/>
      <c r="AH41" s="3514"/>
      <c r="AI41" s="3482"/>
      <c r="AJ41" s="3482"/>
    </row>
    <row r="42" spans="5:39" ht="16.5">
      <c r="E42" s="3479"/>
      <c r="F42" s="3479" t="s">
        <v>3509</v>
      </c>
      <c r="G42" s="3479">
        <v>-1</v>
      </c>
      <c r="H42" s="3479">
        <v>43830.15</v>
      </c>
      <c r="I42" s="3479"/>
      <c r="J42" s="3479"/>
      <c r="K42" s="3478"/>
      <c r="L42" s="3478"/>
      <c r="M42" s="3478"/>
      <c r="N42" s="3478"/>
      <c r="O42" s="3478"/>
      <c r="P42" s="3478"/>
      <c r="Q42" s="3478"/>
      <c r="R42" s="3478"/>
      <c r="S42" s="3478"/>
      <c r="T42" s="3478"/>
      <c r="U42" s="3478"/>
      <c r="AE42" s="3524"/>
      <c r="AF42" s="3524"/>
      <c r="AG42" s="3524"/>
      <c r="AH42" s="3525"/>
      <c r="AI42" s="3482"/>
      <c r="AJ42" s="3482"/>
    </row>
    <row r="43" spans="5:39" ht="16.5">
      <c r="E43" s="3479" t="s">
        <v>3510</v>
      </c>
      <c r="F43" s="3479"/>
      <c r="G43" s="3479"/>
      <c r="H43" s="3479">
        <f>SUM(H22:H42)</f>
        <v>249680.35</v>
      </c>
      <c r="I43" s="3479"/>
      <c r="J43" s="3479"/>
      <c r="K43" s="3478"/>
      <c r="L43" s="3478"/>
      <c r="M43" s="3478"/>
      <c r="N43" s="3478"/>
      <c r="O43" s="3478"/>
      <c r="P43" s="3478"/>
      <c r="Q43" s="3478"/>
      <c r="R43" s="3478"/>
      <c r="S43" s="3478"/>
      <c r="T43" s="3478"/>
      <c r="U43" s="3478"/>
      <c r="AE43" s="3524"/>
      <c r="AF43" s="3524"/>
      <c r="AG43" s="3524"/>
      <c r="AH43" s="3522"/>
      <c r="AI43" s="3482"/>
      <c r="AJ43" s="3482"/>
    </row>
    <row r="44" spans="5:39">
      <c r="E44" s="3478"/>
      <c r="F44" s="3478"/>
      <c r="G44" s="3478"/>
      <c r="H44" s="3478"/>
      <c r="I44" s="3478"/>
      <c r="J44" s="3478"/>
      <c r="K44" s="3478"/>
      <c r="L44" s="3478"/>
      <c r="M44" s="3478"/>
      <c r="N44" s="3478"/>
      <c r="O44" s="3478"/>
      <c r="P44" s="3478"/>
      <c r="Q44" s="3478"/>
      <c r="R44" s="3478"/>
      <c r="S44" s="3478"/>
      <c r="T44" s="3478"/>
      <c r="U44" s="3478"/>
      <c r="AE44" s="3524"/>
      <c r="AF44" s="3524"/>
      <c r="AG44" s="3525"/>
      <c r="AH44" s="3514"/>
      <c r="AI44" s="3482"/>
      <c r="AJ44" s="3482"/>
    </row>
    <row r="45" spans="5:39">
      <c r="E45" s="3478"/>
      <c r="F45" s="3478"/>
      <c r="G45" s="3478"/>
      <c r="H45" s="3478"/>
      <c r="I45" s="3478"/>
      <c r="J45" s="3478"/>
      <c r="K45" s="3478"/>
      <c r="L45" s="3478"/>
      <c r="M45" s="3478"/>
      <c r="N45" s="3478"/>
      <c r="O45" s="3478"/>
      <c r="P45" s="3478"/>
      <c r="Q45" s="3478"/>
      <c r="R45" s="3478"/>
      <c r="S45" s="3478"/>
      <c r="T45" s="3478"/>
      <c r="U45" s="3478"/>
      <c r="AE45" s="3524"/>
      <c r="AF45" s="3524"/>
      <c r="AG45" s="3513"/>
      <c r="AH45" s="3514"/>
      <c r="AI45" s="3482"/>
      <c r="AJ45" s="3482"/>
    </row>
    <row r="46" spans="5:39" ht="16.5">
      <c r="E46" s="3479" t="s">
        <v>3457</v>
      </c>
      <c r="F46" s="3479" t="s">
        <v>3459</v>
      </c>
      <c r="G46" s="3479" t="s">
        <v>3466</v>
      </c>
      <c r="H46" s="3479" t="s">
        <v>3506</v>
      </c>
      <c r="I46" s="3479" t="s">
        <v>3508</v>
      </c>
      <c r="J46" s="3479" t="s">
        <v>3788</v>
      </c>
      <c r="K46" s="3479" t="s">
        <v>3787</v>
      </c>
      <c r="L46" s="3479" t="s">
        <v>3786</v>
      </c>
      <c r="M46" s="3479" t="s">
        <v>3791</v>
      </c>
      <c r="N46" s="3479" t="s">
        <v>3809</v>
      </c>
      <c r="O46" s="3479" t="s">
        <v>3811</v>
      </c>
      <c r="P46" s="3478"/>
      <c r="Q46" s="3478"/>
      <c r="R46" s="3478"/>
      <c r="S46" s="3478"/>
      <c r="T46" s="3478"/>
      <c r="U46" s="3478"/>
      <c r="V46" s="3478"/>
      <c r="W46" s="3478"/>
      <c r="X46" s="3478"/>
      <c r="AF46" s="3480"/>
      <c r="AG46" s="3480"/>
      <c r="AH46" s="3524"/>
      <c r="AI46" s="3524"/>
      <c r="AJ46" s="3513"/>
      <c r="AK46" s="3514"/>
      <c r="AL46" s="3482"/>
      <c r="AM46" s="3482"/>
    </row>
    <row r="47" spans="5:39" ht="16.5">
      <c r="E47" s="3479">
        <v>1</v>
      </c>
      <c r="F47" s="3662" t="s">
        <v>3810</v>
      </c>
      <c r="G47" s="3662"/>
      <c r="H47" s="3662"/>
      <c r="I47" s="3662"/>
      <c r="J47" s="3662">
        <v>3232.26</v>
      </c>
      <c r="K47" s="3662"/>
      <c r="L47" s="3662"/>
      <c r="M47" s="3662"/>
      <c r="N47" s="3662">
        <f>SUM(G47:L47)</f>
        <v>3232.26</v>
      </c>
      <c r="O47" s="3664">
        <v>0.55000000000000004</v>
      </c>
      <c r="P47" s="3478"/>
      <c r="Q47" s="3478"/>
      <c r="R47" s="3478"/>
      <c r="S47" s="3478"/>
      <c r="T47" s="3478"/>
      <c r="U47" s="3478"/>
      <c r="V47" s="3478"/>
      <c r="W47" s="3478"/>
      <c r="X47" s="3478"/>
      <c r="AF47" s="3480"/>
      <c r="AG47" s="3480"/>
      <c r="AH47" s="3524"/>
      <c r="AI47" s="3524"/>
      <c r="AJ47" s="3522"/>
      <c r="AK47" s="3514"/>
      <c r="AL47" s="3482"/>
      <c r="AM47" s="3482"/>
    </row>
    <row r="48" spans="5:39" ht="16.5">
      <c r="E48" s="3479">
        <v>2</v>
      </c>
      <c r="F48" s="3662" t="s">
        <v>3792</v>
      </c>
      <c r="G48" s="3662">
        <v>9240.8799999999992</v>
      </c>
      <c r="H48" s="3662"/>
      <c r="I48" s="3662"/>
      <c r="J48" s="3662"/>
      <c r="K48" s="3662">
        <v>13.4</v>
      </c>
      <c r="L48" s="3662"/>
      <c r="M48" s="3662">
        <v>500.21</v>
      </c>
      <c r="N48" s="3662">
        <f t="shared" ref="N48:N67" si="2">SUM(G48:M48)</f>
        <v>9754.489999999998</v>
      </c>
      <c r="O48" s="3664">
        <v>0.6</v>
      </c>
      <c r="P48" s="3478"/>
      <c r="Q48" s="3478"/>
      <c r="R48" s="3478"/>
      <c r="S48" s="3478"/>
      <c r="T48" s="3478"/>
      <c r="U48" s="3478"/>
      <c r="V48" s="3478"/>
      <c r="W48" s="3478"/>
      <c r="X48" s="3478"/>
      <c r="AF48" s="3480"/>
      <c r="AG48" s="3480"/>
      <c r="AH48" s="3524"/>
      <c r="AI48" s="3524"/>
      <c r="AJ48" s="3522"/>
      <c r="AK48" s="3514"/>
      <c r="AL48" s="3482"/>
      <c r="AM48" s="3482"/>
    </row>
    <row r="49" spans="5:39" ht="16.5">
      <c r="E49" s="3479">
        <v>3</v>
      </c>
      <c r="F49" s="3662" t="s">
        <v>3790</v>
      </c>
      <c r="G49" s="3662">
        <v>9573.11</v>
      </c>
      <c r="H49" s="3662"/>
      <c r="I49" s="3662"/>
      <c r="J49" s="3662"/>
      <c r="K49" s="3662">
        <v>29.99</v>
      </c>
      <c r="L49" s="3662"/>
      <c r="M49" s="3662">
        <v>867.08</v>
      </c>
      <c r="N49" s="3662">
        <f t="shared" si="2"/>
        <v>10470.18</v>
      </c>
      <c r="O49" s="3664">
        <v>0.6</v>
      </c>
      <c r="P49" s="3478"/>
      <c r="Q49" s="3478"/>
      <c r="R49" s="3478"/>
      <c r="S49" s="3478"/>
      <c r="T49" s="3478"/>
      <c r="U49" s="3478"/>
      <c r="V49" s="3478"/>
      <c r="W49" s="3478"/>
      <c r="X49" s="3478"/>
      <c r="AF49" s="3480"/>
      <c r="AG49" s="3480"/>
      <c r="AH49" s="3524"/>
      <c r="AI49" s="3524"/>
      <c r="AJ49" s="3513"/>
      <c r="AK49" s="3514"/>
      <c r="AL49" s="3482"/>
      <c r="AM49" s="3482"/>
    </row>
    <row r="50" spans="5:39" ht="16.5">
      <c r="E50" s="3479">
        <v>4</v>
      </c>
      <c r="F50" s="3662" t="s">
        <v>3785</v>
      </c>
      <c r="G50" s="3662">
        <v>13328</v>
      </c>
      <c r="H50" s="3662"/>
      <c r="I50" s="3662"/>
      <c r="J50" s="3662"/>
      <c r="K50" s="3662">
        <f>575.78+103.29+13.04</f>
        <v>692.1099999999999</v>
      </c>
      <c r="L50" s="3662"/>
      <c r="M50" s="3662"/>
      <c r="N50" s="3662">
        <f t="shared" si="2"/>
        <v>14020.11</v>
      </c>
      <c r="O50" s="3664">
        <v>0.6</v>
      </c>
      <c r="P50" s="3478"/>
      <c r="Q50" s="3478"/>
      <c r="R50" s="3478"/>
      <c r="S50" s="3478"/>
      <c r="T50" s="3478"/>
      <c r="U50" s="3478"/>
      <c r="V50" s="3478"/>
      <c r="W50" s="3478"/>
      <c r="X50" s="3478"/>
      <c r="AF50" s="3480"/>
      <c r="AG50" s="3480"/>
      <c r="AH50" s="3525"/>
      <c r="AI50" s="3525"/>
      <c r="AJ50" s="3524"/>
      <c r="AK50" s="3524"/>
      <c r="AL50" s="3482"/>
      <c r="AM50" s="3482"/>
    </row>
    <row r="51" spans="5:39" ht="16.5">
      <c r="E51" s="3479">
        <v>5</v>
      </c>
      <c r="F51" s="3662" t="s">
        <v>3785</v>
      </c>
      <c r="G51" s="3662">
        <v>25114.880000000001</v>
      </c>
      <c r="H51" s="3662"/>
      <c r="I51" s="3662"/>
      <c r="J51" s="3662"/>
      <c r="K51" s="3662">
        <f>957.7+55.47+13.52</f>
        <v>1026.69</v>
      </c>
      <c r="L51" s="3662"/>
      <c r="M51" s="3662"/>
      <c r="N51" s="3662">
        <f t="shared" si="2"/>
        <v>26141.57</v>
      </c>
      <c r="O51" s="3664">
        <v>0.6</v>
      </c>
      <c r="P51" s="3478"/>
      <c r="Q51" s="3478"/>
      <c r="R51" s="3478"/>
      <c r="S51" s="3478"/>
      <c r="T51" s="3478"/>
      <c r="U51" s="3478"/>
      <c r="V51" s="3478"/>
      <c r="W51" s="3478"/>
      <c r="X51" s="3478"/>
      <c r="AF51" s="3480"/>
      <c r="AG51" s="3480"/>
      <c r="AH51" s="3525"/>
      <c r="AI51" s="3525"/>
      <c r="AJ51" s="3524"/>
      <c r="AK51" s="3514"/>
      <c r="AL51" s="3482"/>
      <c r="AM51" s="3482"/>
    </row>
    <row r="52" spans="5:39" ht="16.5">
      <c r="E52" s="3663">
        <v>6</v>
      </c>
      <c r="F52" s="3663"/>
      <c r="G52" s="3663"/>
      <c r="H52" s="3663"/>
      <c r="I52" s="3663"/>
      <c r="J52" s="3663">
        <f>H27</f>
        <v>1815.56</v>
      </c>
      <c r="K52" s="3663"/>
      <c r="L52" s="3663"/>
      <c r="M52" s="3663"/>
      <c r="N52" s="3662">
        <f t="shared" si="2"/>
        <v>1815.56</v>
      </c>
      <c r="O52" s="3664">
        <v>0.7</v>
      </c>
      <c r="P52" s="3478"/>
      <c r="Q52" s="3478"/>
      <c r="R52" s="3478"/>
      <c r="S52" s="3478"/>
      <c r="T52" s="3478"/>
      <c r="U52" s="3478"/>
      <c r="V52" s="3478"/>
      <c r="W52" s="3478"/>
      <c r="X52" s="3478"/>
      <c r="AF52" s="3480"/>
      <c r="AG52" s="3480"/>
      <c r="AH52" s="3524"/>
      <c r="AI52" s="3524"/>
      <c r="AJ52" s="3513"/>
      <c r="AK52" s="3514"/>
      <c r="AL52" s="3482"/>
      <c r="AM52" s="3482"/>
    </row>
    <row r="53" spans="5:39" ht="16.5">
      <c r="E53" s="3663">
        <v>7</v>
      </c>
      <c r="F53" s="3663"/>
      <c r="G53" s="3663"/>
      <c r="H53" s="3663"/>
      <c r="I53" s="3663"/>
      <c r="J53" s="3663">
        <f>H28</f>
        <v>6085.74</v>
      </c>
      <c r="K53" s="3663"/>
      <c r="L53" s="3663"/>
      <c r="M53" s="3663"/>
      <c r="N53" s="3662">
        <f t="shared" si="2"/>
        <v>6085.74</v>
      </c>
      <c r="O53" s="3664">
        <v>0.75</v>
      </c>
      <c r="P53" s="3478"/>
      <c r="Q53" s="3478"/>
      <c r="R53" s="3478"/>
      <c r="S53" s="3478"/>
      <c r="T53" s="3478"/>
      <c r="U53" s="3478"/>
      <c r="V53" s="3478"/>
      <c r="W53" s="3478"/>
      <c r="X53" s="3478"/>
      <c r="AF53" s="3480"/>
      <c r="AG53" s="3480"/>
      <c r="AH53" s="3513"/>
      <c r="AI53" s="3513"/>
      <c r="AJ53" s="3524"/>
      <c r="AK53" s="3514"/>
      <c r="AL53" s="3482"/>
      <c r="AM53" s="3482"/>
    </row>
    <row r="54" spans="5:39" ht="16.5">
      <c r="E54" s="3663">
        <v>8</v>
      </c>
      <c r="F54" s="3663"/>
      <c r="G54" s="3663"/>
      <c r="H54" s="3663"/>
      <c r="I54" s="3663"/>
      <c r="J54" s="3663">
        <f>H29</f>
        <v>2443.81</v>
      </c>
      <c r="K54" s="3663"/>
      <c r="L54" s="3663"/>
      <c r="M54" s="3663"/>
      <c r="N54" s="3662">
        <f t="shared" si="2"/>
        <v>2443.81</v>
      </c>
      <c r="O54" s="3664">
        <v>0.8</v>
      </c>
      <c r="P54" s="3478"/>
      <c r="Q54" s="3478"/>
      <c r="R54" s="3478"/>
      <c r="S54" s="3478"/>
      <c r="T54" s="3478"/>
      <c r="U54" s="3478"/>
      <c r="V54" s="3478"/>
      <c r="W54" s="3478"/>
      <c r="X54" s="3478"/>
      <c r="AF54" s="3480"/>
      <c r="AG54" s="3480"/>
      <c r="AH54" s="3525"/>
      <c r="AI54" s="3525"/>
      <c r="AJ54" s="3522"/>
      <c r="AK54" s="3514"/>
      <c r="AL54" s="3482"/>
      <c r="AM54" s="3482"/>
    </row>
    <row r="55" spans="5:39" ht="16.5">
      <c r="E55" s="3479">
        <v>9</v>
      </c>
      <c r="F55" s="3662" t="s">
        <v>3785</v>
      </c>
      <c r="G55" s="3662">
        <v>13004.5</v>
      </c>
      <c r="H55" s="3662"/>
      <c r="I55" s="3662"/>
      <c r="J55" s="3662">
        <f>31.03</f>
        <v>31.03</v>
      </c>
      <c r="K55" s="3662">
        <f>590.47+144.37+63.15+21.62</f>
        <v>819.61</v>
      </c>
      <c r="L55" s="3662">
        <v>836.88</v>
      </c>
      <c r="M55" s="3662"/>
      <c r="N55" s="3662">
        <f t="shared" si="2"/>
        <v>14692.02</v>
      </c>
      <c r="O55" s="3664">
        <v>0.6</v>
      </c>
      <c r="P55" s="3478"/>
      <c r="Q55" s="3478"/>
      <c r="R55" s="3478"/>
      <c r="S55" s="3478"/>
      <c r="T55" s="3478"/>
      <c r="U55" s="3478"/>
      <c r="V55" s="3478"/>
      <c r="W55" s="3478"/>
      <c r="X55" s="3478"/>
      <c r="AF55" s="3480"/>
      <c r="AG55" s="3480"/>
      <c r="AH55" s="3524"/>
      <c r="AI55" s="3524"/>
      <c r="AJ55" s="3522"/>
      <c r="AK55" s="3514"/>
      <c r="AL55" s="3482"/>
      <c r="AM55" s="3482"/>
    </row>
    <row r="56" spans="5:39" ht="16.5">
      <c r="E56" s="3479">
        <v>10</v>
      </c>
      <c r="F56" s="3662" t="s">
        <v>3792</v>
      </c>
      <c r="G56" s="3662">
        <v>9911.52</v>
      </c>
      <c r="H56" s="3662"/>
      <c r="I56" s="3662"/>
      <c r="J56" s="3662"/>
      <c r="K56" s="3662">
        <f>116.06+143.3+394.71+115.68</f>
        <v>769.75</v>
      </c>
      <c r="L56" s="3662"/>
      <c r="M56" s="3662"/>
      <c r="N56" s="3662">
        <f t="shared" si="2"/>
        <v>10681.27</v>
      </c>
      <c r="O56" s="3664">
        <v>0.6</v>
      </c>
      <c r="P56" s="3478"/>
      <c r="Q56" s="3478"/>
      <c r="R56" s="3478"/>
      <c r="S56" s="3478"/>
      <c r="T56" s="3478"/>
      <c r="U56" s="3478"/>
      <c r="V56" s="3478"/>
      <c r="W56" s="3478"/>
      <c r="AF56" s="3480"/>
      <c r="AG56" s="3524"/>
      <c r="AH56" s="3524"/>
      <c r="AI56" s="3524"/>
      <c r="AJ56" s="3524"/>
      <c r="AK56" s="3482"/>
      <c r="AL56" s="3482"/>
    </row>
    <row r="57" spans="5:39" ht="16.5">
      <c r="E57" s="3479">
        <v>11</v>
      </c>
      <c r="F57" s="3662" t="s">
        <v>3792</v>
      </c>
      <c r="G57" s="3662">
        <v>9951.84</v>
      </c>
      <c r="H57" s="3662"/>
      <c r="I57" s="3662"/>
      <c r="J57" s="3662"/>
      <c r="K57" s="3662">
        <f>416.35+58.82+21.45</f>
        <v>496.62</v>
      </c>
      <c r="L57" s="3662"/>
      <c r="M57" s="3662"/>
      <c r="N57" s="3662">
        <f t="shared" si="2"/>
        <v>10448.460000000001</v>
      </c>
      <c r="O57" s="3664">
        <v>0.6</v>
      </c>
      <c r="P57" s="3478"/>
      <c r="Q57" s="3478"/>
      <c r="R57" s="3478"/>
      <c r="S57" s="3478"/>
      <c r="T57" s="3478"/>
      <c r="U57" s="3478"/>
      <c r="V57" s="3478"/>
      <c r="W57" s="3478"/>
      <c r="AF57" s="3480"/>
      <c r="AG57" s="3524"/>
      <c r="AH57" s="3524"/>
      <c r="AI57" s="3524"/>
      <c r="AJ57" s="3522"/>
      <c r="AK57" s="3482"/>
      <c r="AL57" s="3482"/>
    </row>
    <row r="58" spans="5:39" ht="16.5">
      <c r="E58" s="3479">
        <v>12</v>
      </c>
      <c r="F58" s="3662" t="s">
        <v>3792</v>
      </c>
      <c r="G58" s="3662">
        <v>9276.76</v>
      </c>
      <c r="H58" s="3662"/>
      <c r="I58" s="3662"/>
      <c r="J58" s="3662"/>
      <c r="K58" s="3662">
        <f>82.32+13.44+34.19+42.79+57.41+94.43</f>
        <v>324.58</v>
      </c>
      <c r="L58" s="3662"/>
      <c r="M58" s="3662">
        <v>226.16</v>
      </c>
      <c r="N58" s="3662">
        <f t="shared" si="2"/>
        <v>9827.5</v>
      </c>
      <c r="O58" s="3664">
        <v>0.6</v>
      </c>
      <c r="P58" s="3478"/>
      <c r="Q58" s="3478"/>
      <c r="R58" s="3478"/>
      <c r="S58" s="3478"/>
      <c r="T58" s="3478"/>
      <c r="U58" s="3478"/>
      <c r="V58" s="3478"/>
      <c r="W58" s="3478"/>
      <c r="X58" s="3478"/>
      <c r="AF58" s="3480"/>
      <c r="AG58" s="3480"/>
      <c r="AH58" s="3513"/>
      <c r="AI58" s="3513"/>
      <c r="AJ58" s="3524"/>
      <c r="AK58" s="3514"/>
      <c r="AL58" s="3482"/>
      <c r="AM58" s="3482"/>
    </row>
    <row r="59" spans="5:39" ht="16.5">
      <c r="E59" s="3479">
        <v>13</v>
      </c>
      <c r="F59" s="3662" t="s">
        <v>3792</v>
      </c>
      <c r="G59" s="3662">
        <v>13862.4</v>
      </c>
      <c r="H59" s="3662"/>
      <c r="I59" s="3662"/>
      <c r="J59" s="3662"/>
      <c r="K59" s="3662">
        <v>20.100000000000001</v>
      </c>
      <c r="L59" s="3662"/>
      <c r="M59" s="3662">
        <v>832.49</v>
      </c>
      <c r="N59" s="3662">
        <f t="shared" si="2"/>
        <v>14714.99</v>
      </c>
      <c r="O59" s="3664">
        <v>0.6</v>
      </c>
      <c r="P59" s="3478"/>
      <c r="Q59" s="3478"/>
      <c r="R59" s="3478"/>
      <c r="S59" s="3478"/>
      <c r="T59" s="3478"/>
      <c r="U59" s="3478"/>
      <c r="V59" s="3478"/>
      <c r="W59" s="3478"/>
      <c r="X59" s="3478"/>
      <c r="AF59" s="3480"/>
      <c r="AG59" s="3480"/>
      <c r="AH59" s="3524"/>
      <c r="AI59" s="3524"/>
      <c r="AJ59" s="3513"/>
      <c r="AK59" s="3514"/>
      <c r="AL59" s="3482"/>
      <c r="AM59" s="3482"/>
    </row>
    <row r="60" spans="5:39" ht="16.5">
      <c r="E60" s="3479">
        <v>14</v>
      </c>
      <c r="F60" s="3662" t="s">
        <v>3468</v>
      </c>
      <c r="G60" s="3662">
        <v>9265.98</v>
      </c>
      <c r="H60" s="3662"/>
      <c r="I60" s="3662"/>
      <c r="J60" s="3662"/>
      <c r="K60" s="3662">
        <f>13.44+102.56+780.41+6.14</f>
        <v>902.55</v>
      </c>
      <c r="L60" s="3662"/>
      <c r="M60" s="3662"/>
      <c r="N60" s="3662">
        <f t="shared" si="2"/>
        <v>10168.529999999999</v>
      </c>
      <c r="O60" s="3664">
        <v>0.6</v>
      </c>
      <c r="P60" s="3478"/>
      <c r="Q60" s="3478"/>
      <c r="R60" s="3478"/>
      <c r="S60" s="3478"/>
      <c r="T60" s="3478"/>
      <c r="U60" s="3478"/>
      <c r="V60" s="3478"/>
      <c r="W60" s="3478"/>
      <c r="X60" s="3478"/>
      <c r="AF60" s="3480"/>
      <c r="AG60" s="3480"/>
      <c r="AH60" s="3524"/>
      <c r="AI60" s="3524"/>
      <c r="AJ60" s="3513"/>
      <c r="AK60" s="3514"/>
      <c r="AL60" s="3482"/>
      <c r="AM60" s="3482"/>
    </row>
    <row r="61" spans="5:39" ht="16.5">
      <c r="E61" s="3479">
        <v>15</v>
      </c>
      <c r="F61" s="3662" t="s">
        <v>3792</v>
      </c>
      <c r="G61" s="3662">
        <v>9239.7999999999993</v>
      </c>
      <c r="H61" s="3662"/>
      <c r="I61" s="3662"/>
      <c r="J61" s="3662"/>
      <c r="K61" s="3662">
        <f>13.4+4.82</f>
        <v>18.22</v>
      </c>
      <c r="L61" s="3662"/>
      <c r="M61" s="3662">
        <v>496.72</v>
      </c>
      <c r="N61" s="3662">
        <f t="shared" si="2"/>
        <v>9754.739999999998</v>
      </c>
      <c r="O61" s="3664">
        <v>0.6</v>
      </c>
      <c r="P61" s="3478"/>
      <c r="Q61" s="3478"/>
      <c r="R61" s="3478"/>
      <c r="S61" s="3478"/>
      <c r="T61" s="3478"/>
      <c r="U61" s="3478"/>
      <c r="V61" s="3478"/>
      <c r="W61" s="3478"/>
      <c r="AF61" s="3480"/>
      <c r="AG61" s="3524"/>
      <c r="AH61" s="3524"/>
      <c r="AI61" s="3524"/>
      <c r="AJ61" s="3524"/>
      <c r="AK61" s="3482"/>
      <c r="AL61" s="3482"/>
    </row>
    <row r="62" spans="5:39" ht="16.5">
      <c r="E62" s="3479">
        <v>16</v>
      </c>
      <c r="F62" s="3662" t="s">
        <v>3790</v>
      </c>
      <c r="G62" s="3662">
        <v>9595.6</v>
      </c>
      <c r="H62" s="3662"/>
      <c r="I62" s="3662"/>
      <c r="J62" s="3662"/>
      <c r="K62" s="3662">
        <f>570+73.86+96.28</f>
        <v>740.14</v>
      </c>
      <c r="L62" s="3662"/>
      <c r="M62" s="3662"/>
      <c r="N62" s="3662">
        <f t="shared" si="2"/>
        <v>10335.74</v>
      </c>
      <c r="O62" s="3664">
        <v>0.6</v>
      </c>
      <c r="P62" s="3478"/>
      <c r="Q62" s="3478"/>
      <c r="R62" s="3478"/>
      <c r="S62" s="3478"/>
      <c r="T62" s="3478"/>
      <c r="U62" s="3478"/>
      <c r="V62" s="3478"/>
      <c r="W62" s="3478"/>
      <c r="AF62" s="3480"/>
      <c r="AG62" s="3524"/>
      <c r="AH62" s="3524"/>
      <c r="AI62" s="3522"/>
      <c r="AJ62" s="3514"/>
      <c r="AK62" s="3482"/>
      <c r="AL62" s="3482"/>
    </row>
    <row r="63" spans="5:39" ht="16.5">
      <c r="E63" s="3479">
        <v>17</v>
      </c>
      <c r="F63" s="3662" t="s">
        <v>3789</v>
      </c>
      <c r="G63" s="3662">
        <v>13731.96</v>
      </c>
      <c r="H63" s="3662"/>
      <c r="I63" s="3662"/>
      <c r="J63" s="3662"/>
      <c r="K63" s="3662">
        <f>150.32+62.59+89.91+62.54+18.3+11.95+79.88</f>
        <v>475.49</v>
      </c>
      <c r="L63" s="3662"/>
      <c r="M63" s="3662"/>
      <c r="N63" s="3662">
        <f t="shared" si="2"/>
        <v>14207.449999999999</v>
      </c>
      <c r="O63" s="3664">
        <v>0.6</v>
      </c>
      <c r="P63" s="3478"/>
      <c r="Q63" s="3478"/>
      <c r="R63" s="3478"/>
      <c r="S63" s="3478"/>
      <c r="T63" s="3478"/>
      <c r="U63" s="3478"/>
      <c r="V63" s="3478"/>
      <c r="W63" s="3478"/>
      <c r="AF63" s="3480"/>
      <c r="AG63" s="3524"/>
      <c r="AH63" s="3524"/>
      <c r="AI63" s="3513"/>
      <c r="AJ63" s="3514"/>
      <c r="AK63" s="3482"/>
      <c r="AL63" s="3482"/>
    </row>
    <row r="64" spans="5:39" ht="16.5">
      <c r="E64" s="3663">
        <v>18</v>
      </c>
      <c r="F64" s="3663"/>
      <c r="G64" s="3663"/>
      <c r="H64" s="3663"/>
      <c r="I64" s="3663"/>
      <c r="J64" s="3663">
        <f>H39</f>
        <v>165</v>
      </c>
      <c r="K64" s="3663"/>
      <c r="L64" s="3663"/>
      <c r="M64" s="3663"/>
      <c r="N64" s="3662">
        <f t="shared" si="2"/>
        <v>165</v>
      </c>
      <c r="O64" s="3662">
        <v>0</v>
      </c>
      <c r="P64" s="3478"/>
      <c r="Q64" s="3478"/>
      <c r="R64" s="3478"/>
      <c r="S64" s="3478"/>
      <c r="T64" s="3478"/>
      <c r="U64" s="3478"/>
      <c r="V64" s="3478"/>
      <c r="W64" s="3478"/>
      <c r="AF64" s="3480"/>
      <c r="AG64" s="3524"/>
      <c r="AH64" s="3524"/>
      <c r="AI64" s="3513"/>
      <c r="AJ64" s="3514"/>
      <c r="AK64" s="3482"/>
      <c r="AL64" s="3482"/>
    </row>
    <row r="65" spans="5:38" ht="16.5">
      <c r="E65" s="3479">
        <v>19</v>
      </c>
      <c r="F65" s="3662" t="s">
        <v>3785</v>
      </c>
      <c r="G65" s="3662">
        <v>25114.880000000001</v>
      </c>
      <c r="H65" s="3662"/>
      <c r="I65" s="3662"/>
      <c r="J65" s="3662"/>
      <c r="K65" s="3662">
        <f>916.22+80.27+6.99</f>
        <v>1003.48</v>
      </c>
      <c r="L65" s="3662"/>
      <c r="M65" s="3662"/>
      <c r="N65" s="3662">
        <f t="shared" si="2"/>
        <v>26118.36</v>
      </c>
      <c r="O65" s="3664">
        <v>0.6</v>
      </c>
      <c r="P65" s="3478"/>
      <c r="Q65" s="3478"/>
      <c r="R65" s="3478"/>
      <c r="S65" s="3478"/>
      <c r="T65" s="3478"/>
      <c r="U65" s="3478"/>
      <c r="V65" s="3478"/>
      <c r="W65" s="3478"/>
      <c r="AF65" s="3480"/>
      <c r="AG65" s="3524"/>
      <c r="AH65" s="3524"/>
      <c r="AI65" s="3513"/>
      <c r="AJ65" s="3514"/>
      <c r="AK65" s="3482"/>
      <c r="AL65" s="3482"/>
    </row>
    <row r="66" spans="5:38" ht="16.5">
      <c r="E66" s="3479" t="s">
        <v>3506</v>
      </c>
      <c r="F66" s="3662">
        <v>2</v>
      </c>
      <c r="G66" s="3662"/>
      <c r="H66" s="3662">
        <v>1558.08</v>
      </c>
      <c r="I66" s="3662"/>
      <c r="J66" s="3662"/>
      <c r="K66" s="3662"/>
      <c r="L66" s="3662"/>
      <c r="M66" s="3662"/>
      <c r="N66" s="3662">
        <f t="shared" si="2"/>
        <v>1558.08</v>
      </c>
      <c r="O66" s="3662">
        <v>0</v>
      </c>
      <c r="P66" s="3478"/>
      <c r="Q66" s="3478"/>
      <c r="R66" s="3478"/>
      <c r="S66" s="3478"/>
      <c r="T66" s="3478"/>
      <c r="U66" s="3478"/>
      <c r="V66" s="3478"/>
      <c r="W66" s="3478"/>
      <c r="AF66" s="3480"/>
      <c r="AG66" s="3524"/>
      <c r="AH66" s="3524"/>
      <c r="AI66" s="3522"/>
      <c r="AJ66" s="3514"/>
      <c r="AK66" s="3482"/>
      <c r="AL66" s="3482"/>
    </row>
    <row r="67" spans="5:38" ht="16.5">
      <c r="E67" s="3479" t="s">
        <v>3793</v>
      </c>
      <c r="F67" s="3662">
        <v>-1</v>
      </c>
      <c r="G67" s="3662"/>
      <c r="H67" s="3662"/>
      <c r="I67" s="3662">
        <v>28431.67</v>
      </c>
      <c r="J67" s="3662"/>
      <c r="K67" s="3662"/>
      <c r="L67" s="3662">
        <v>201.14</v>
      </c>
      <c r="M67" s="3662">
        <v>13452.59</v>
      </c>
      <c r="N67" s="3662">
        <f t="shared" si="2"/>
        <v>42085.399999999994</v>
      </c>
      <c r="O67" s="3664">
        <v>0.6</v>
      </c>
      <c r="P67" s="3478"/>
      <c r="Q67" s="3478"/>
      <c r="R67" s="3478"/>
      <c r="S67" s="3478"/>
      <c r="T67" s="3478"/>
      <c r="U67" s="3478"/>
      <c r="V67" s="3478"/>
      <c r="W67" s="3478"/>
      <c r="AF67" s="3480"/>
      <c r="AG67" s="3514"/>
      <c r="AH67" s="3514"/>
      <c r="AI67" s="3524"/>
      <c r="AJ67" s="3524"/>
      <c r="AK67" s="3482"/>
      <c r="AL67" s="3482"/>
    </row>
    <row r="68" spans="5:38" ht="16.5">
      <c r="E68" s="3479" t="s">
        <v>3794</v>
      </c>
      <c r="F68" s="3662"/>
      <c r="G68" s="3662">
        <f t="shared" ref="G68:L68" si="3">SUM(G47:G67)</f>
        <v>180212.11</v>
      </c>
      <c r="H68" s="3662">
        <f t="shared" si="3"/>
        <v>1558.08</v>
      </c>
      <c r="I68" s="3662">
        <f t="shared" si="3"/>
        <v>28431.67</v>
      </c>
      <c r="J68" s="3662">
        <f t="shared" si="3"/>
        <v>13773.4</v>
      </c>
      <c r="K68" s="3662">
        <f t="shared" si="3"/>
        <v>7332.7300000000014</v>
      </c>
      <c r="L68" s="3662">
        <f t="shared" si="3"/>
        <v>1038.02</v>
      </c>
      <c r="M68" s="3662">
        <f>SUM(M47:M67)</f>
        <v>16375.25</v>
      </c>
      <c r="N68" s="3662">
        <f>SUM(N47:N67)</f>
        <v>248721.26</v>
      </c>
      <c r="O68" s="3665">
        <f>SUMPRODUCT(O47:O67,N47:N67)/N68</f>
        <v>0.60155884543203109</v>
      </c>
      <c r="P68" s="3478"/>
      <c r="Q68" s="3478"/>
      <c r="R68" s="3478"/>
      <c r="S68" s="3478"/>
      <c r="T68" s="3478"/>
      <c r="U68" s="3478"/>
      <c r="V68" s="3478"/>
      <c r="W68" s="3478"/>
      <c r="AF68" s="3480"/>
      <c r="AG68" s="3514"/>
      <c r="AH68" s="3514"/>
      <c r="AI68" s="3514"/>
      <c r="AJ68" s="3514"/>
      <c r="AK68" s="3482"/>
      <c r="AL68" s="3482"/>
    </row>
    <row r="69" spans="5:38" ht="16.5">
      <c r="E69" s="3479"/>
      <c r="F69" s="3662"/>
      <c r="G69" s="3662"/>
      <c r="H69" s="3662"/>
      <c r="I69" s="3662"/>
      <c r="J69" s="3662"/>
      <c r="K69" s="3662"/>
      <c r="L69" s="3662"/>
      <c r="M69" s="3662"/>
      <c r="N69" s="3662"/>
      <c r="O69" s="3662"/>
      <c r="P69" s="3478"/>
      <c r="Q69" s="3478"/>
      <c r="R69" s="3478"/>
      <c r="S69" s="3478"/>
      <c r="T69" s="3478"/>
      <c r="U69" s="3478"/>
      <c r="V69" s="3478"/>
      <c r="W69" s="3478"/>
      <c r="AF69" s="3480"/>
      <c r="AG69" s="3514"/>
      <c r="AH69" s="3514"/>
      <c r="AI69" s="3524"/>
      <c r="AJ69" s="3514"/>
      <c r="AK69" s="3482"/>
      <c r="AL69" s="3482"/>
    </row>
    <row r="70" spans="5:38" ht="16.5">
      <c r="E70" s="3479"/>
      <c r="F70" s="3662"/>
      <c r="G70" s="3662"/>
      <c r="H70" s="3662"/>
      <c r="I70" s="3662"/>
      <c r="J70" s="3662"/>
      <c r="K70" s="3662"/>
      <c r="L70" s="3662"/>
      <c r="M70" s="3662"/>
      <c r="N70" s="3662"/>
      <c r="O70" s="3662"/>
      <c r="P70" s="3478"/>
      <c r="Q70" s="3478"/>
      <c r="R70" s="3478"/>
      <c r="S70" s="3478"/>
      <c r="T70" s="3478"/>
      <c r="U70" s="3478"/>
      <c r="V70" s="3478"/>
      <c r="W70" s="3478"/>
      <c r="AF70" s="3480"/>
      <c r="AG70" s="3514"/>
      <c r="AH70" s="3514"/>
      <c r="AI70" s="3524"/>
      <c r="AJ70" s="3522"/>
      <c r="AK70" s="3482"/>
      <c r="AL70" s="3482"/>
    </row>
    <row r="71" spans="5:38" ht="16.5">
      <c r="E71" s="3479"/>
      <c r="F71" s="3662"/>
      <c r="G71" s="3662"/>
      <c r="H71" s="3662"/>
      <c r="I71" s="3662"/>
      <c r="J71" s="3662"/>
      <c r="K71" s="3662"/>
      <c r="L71" s="3662"/>
      <c r="M71" s="3662"/>
      <c r="N71" s="3662"/>
      <c r="O71" s="3662"/>
      <c r="P71" s="3478"/>
      <c r="Q71" s="3478"/>
      <c r="R71" s="3478"/>
      <c r="S71" s="3478"/>
      <c r="T71" s="3478"/>
      <c r="U71" s="3478"/>
      <c r="AE71" s="3514"/>
      <c r="AF71" s="3514"/>
      <c r="AG71" s="3526"/>
      <c r="AH71" s="3514"/>
      <c r="AI71" s="3482"/>
      <c r="AJ71" s="3482"/>
    </row>
    <row r="72" spans="5:38" ht="16.5">
      <c r="E72" s="3479"/>
      <c r="F72" s="3662"/>
      <c r="G72" s="3662"/>
      <c r="H72" s="3662"/>
      <c r="I72" s="3662"/>
      <c r="J72" s="3662"/>
      <c r="K72" s="3662"/>
      <c r="L72" s="3662"/>
      <c r="M72" s="3662"/>
      <c r="N72" s="3662"/>
      <c r="O72" s="3478"/>
      <c r="P72" s="3478"/>
      <c r="Q72" s="3478"/>
      <c r="R72" s="3478"/>
      <c r="S72" s="3478"/>
      <c r="T72" s="3478"/>
      <c r="U72" s="3478"/>
      <c r="AE72" s="3514"/>
      <c r="AF72" s="3514"/>
      <c r="AG72" s="3522"/>
      <c r="AH72" s="3514"/>
      <c r="AI72" s="3482"/>
      <c r="AJ72" s="3482"/>
    </row>
    <row r="73" spans="5:38" ht="16.5">
      <c r="E73" s="3479"/>
      <c r="F73" s="3662"/>
      <c r="G73" s="3662"/>
      <c r="H73" s="3662"/>
      <c r="I73" s="3662"/>
      <c r="J73" s="3662"/>
      <c r="K73" s="3662"/>
      <c r="L73" s="3662"/>
      <c r="M73" s="3662"/>
      <c r="N73" s="3662"/>
      <c r="O73" s="3478"/>
      <c r="P73" s="3478"/>
      <c r="Q73" s="3478"/>
      <c r="R73" s="3478"/>
      <c r="S73" s="3478"/>
      <c r="T73" s="3478"/>
      <c r="U73" s="3478"/>
      <c r="AE73" s="3514"/>
      <c r="AF73" s="3514"/>
      <c r="AG73" s="3526"/>
      <c r="AH73" s="3526"/>
      <c r="AI73" s="3482"/>
      <c r="AJ73" s="3482"/>
    </row>
    <row r="74" spans="5:38" ht="16.5">
      <c r="E74" s="3479"/>
      <c r="F74" s="3662"/>
      <c r="G74" s="3662"/>
      <c r="H74" s="3662"/>
      <c r="I74" s="3662"/>
      <c r="J74" s="3662"/>
      <c r="K74" s="3662"/>
      <c r="L74" s="3662"/>
      <c r="M74" s="3662"/>
      <c r="N74" s="3662"/>
      <c r="O74" s="3478"/>
      <c r="P74" s="3478"/>
      <c r="Q74" s="3478"/>
      <c r="R74" s="3478"/>
      <c r="S74" s="3478"/>
      <c r="T74" s="3478"/>
      <c r="U74" s="3478"/>
      <c r="AE74" s="3514"/>
      <c r="AF74" s="3514"/>
      <c r="AG74" s="3526"/>
      <c r="AH74" s="3514"/>
      <c r="AI74" s="3482"/>
      <c r="AJ74" s="3482"/>
    </row>
    <row r="75" spans="5:38" ht="16.5">
      <c r="E75" s="3479"/>
      <c r="F75" s="3662"/>
      <c r="G75" s="3662"/>
      <c r="H75" s="3662"/>
      <c r="I75" s="3662"/>
      <c r="J75" s="3662"/>
      <c r="K75" s="3662"/>
      <c r="L75" s="3662"/>
      <c r="M75" s="3662"/>
      <c r="N75" s="3662"/>
      <c r="O75" s="3478"/>
      <c r="P75" s="3478"/>
      <c r="Q75" s="3478"/>
      <c r="R75" s="3478"/>
      <c r="S75" s="3478"/>
      <c r="T75" s="3478"/>
      <c r="U75" s="3478"/>
      <c r="AE75" s="3514"/>
      <c r="AF75" s="3514"/>
      <c r="AG75" s="3514"/>
      <c r="AH75" s="3514"/>
      <c r="AI75" s="3482"/>
      <c r="AJ75" s="3482"/>
    </row>
    <row r="76" spans="5:38">
      <c r="K76" s="3478"/>
      <c r="L76" s="3478"/>
      <c r="O76" s="3478"/>
      <c r="P76" s="3478"/>
      <c r="Q76" s="3478"/>
      <c r="R76" s="3478"/>
      <c r="S76" s="3478"/>
      <c r="T76" s="3478"/>
      <c r="U76" s="3478"/>
      <c r="AE76" s="3514"/>
      <c r="AF76" s="3514"/>
      <c r="AG76" s="3524"/>
      <c r="AH76" s="3514"/>
      <c r="AI76" s="3482"/>
      <c r="AJ76" s="3482"/>
    </row>
    <row r="77" spans="5:38">
      <c r="K77" s="3478"/>
      <c r="L77" s="3478"/>
      <c r="O77" s="3478"/>
      <c r="P77" s="3478"/>
      <c r="Q77" s="3478"/>
      <c r="R77" s="3478"/>
      <c r="S77" s="3478"/>
      <c r="T77" s="3478"/>
      <c r="U77" s="3478"/>
      <c r="AE77" s="3514"/>
      <c r="AF77" s="3514"/>
      <c r="AG77" s="3524"/>
      <c r="AH77" s="3514"/>
      <c r="AI77" s="3482"/>
      <c r="AJ77" s="3482"/>
    </row>
    <row r="78" spans="5:38">
      <c r="K78" s="3478"/>
      <c r="L78" s="3478"/>
      <c r="M78" s="3478"/>
      <c r="N78" s="3478"/>
      <c r="O78" s="3478"/>
      <c r="P78" s="3478"/>
      <c r="Q78" s="3478"/>
      <c r="R78" s="3478"/>
      <c r="S78" s="3478"/>
      <c r="T78" s="3478"/>
      <c r="U78" s="3478"/>
      <c r="AE78" s="3514"/>
      <c r="AF78" s="3514"/>
      <c r="AG78" s="3526"/>
      <c r="AH78" s="3514"/>
      <c r="AI78" s="3482"/>
      <c r="AJ78" s="3482"/>
    </row>
    <row r="79" spans="5:38">
      <c r="K79" s="3478"/>
      <c r="L79" s="3478"/>
      <c r="M79" s="3478"/>
      <c r="N79" s="3478"/>
      <c r="O79" s="3478"/>
      <c r="P79" s="3478"/>
      <c r="Q79" s="3478"/>
      <c r="R79" s="3478"/>
      <c r="S79" s="3478"/>
      <c r="T79" s="3478"/>
      <c r="U79" s="3478"/>
      <c r="AE79" s="3482"/>
      <c r="AF79" s="3482"/>
      <c r="AG79" s="3526"/>
      <c r="AH79" s="3514"/>
      <c r="AI79" s="3482"/>
      <c r="AJ79" s="3482"/>
    </row>
    <row r="80" spans="5:38">
      <c r="K80" s="3478"/>
      <c r="L80" s="3478"/>
      <c r="M80" s="3478"/>
      <c r="N80" s="3478"/>
      <c r="O80" s="3478"/>
      <c r="P80" s="3478"/>
      <c r="Q80" s="3478"/>
      <c r="R80" s="3478"/>
      <c r="S80" s="3478"/>
      <c r="T80" s="3478"/>
      <c r="U80" s="3478"/>
      <c r="AE80" s="3482"/>
      <c r="AF80" s="3482"/>
      <c r="AG80" s="3482"/>
      <c r="AH80" s="3482"/>
      <c r="AI80" s="3482"/>
      <c r="AJ80" s="3482"/>
    </row>
    <row r="81" spans="11:36">
      <c r="K81" s="3478"/>
      <c r="L81" s="3478"/>
      <c r="M81" s="3478"/>
      <c r="N81" s="3478"/>
      <c r="O81" s="3478"/>
      <c r="P81" s="3478"/>
      <c r="Q81" s="3478"/>
      <c r="R81" s="3478"/>
      <c r="S81" s="3478"/>
      <c r="T81" s="3478"/>
      <c r="U81" s="3478"/>
      <c r="AE81" s="3482"/>
      <c r="AF81" s="3482"/>
      <c r="AG81" s="3482"/>
      <c r="AH81" s="3482"/>
      <c r="AI81" s="3482"/>
      <c r="AJ81" s="3482"/>
    </row>
    <row r="82" spans="11:36">
      <c r="K82" s="3478"/>
      <c r="L82" s="3478"/>
      <c r="M82" s="3478"/>
      <c r="N82" s="3478"/>
      <c r="O82" s="3478"/>
      <c r="P82" s="3478"/>
      <c r="Q82" s="3478"/>
      <c r="R82" s="3478"/>
      <c r="S82" s="3478"/>
      <c r="T82" s="3478"/>
      <c r="U82" s="3478"/>
      <c r="AE82" s="3482"/>
      <c r="AF82" s="3482"/>
      <c r="AG82" s="3482"/>
      <c r="AH82" s="3482"/>
      <c r="AI82" s="3482"/>
      <c r="AJ82" s="3482"/>
    </row>
    <row r="83" spans="11:36">
      <c r="K83" s="3478"/>
      <c r="L83" s="3478"/>
      <c r="M83" s="3478"/>
      <c r="N83" s="3478"/>
      <c r="O83" s="3478"/>
      <c r="P83" s="3478"/>
      <c r="Q83" s="3478"/>
      <c r="R83" s="3478"/>
      <c r="S83" s="3478"/>
      <c r="T83" s="3478"/>
      <c r="U83" s="3478"/>
      <c r="AF83" s="3480"/>
      <c r="AG83" s="3482"/>
      <c r="AH83" s="3482"/>
      <c r="AI83" s="3482"/>
      <c r="AJ83" s="3482"/>
    </row>
    <row r="84" spans="11:36">
      <c r="K84" s="3478"/>
      <c r="L84" s="3478"/>
      <c r="M84" s="3478"/>
      <c r="N84" s="3478"/>
      <c r="O84" s="3478"/>
      <c r="P84" s="3478"/>
      <c r="Q84" s="3478"/>
      <c r="R84" s="3478"/>
      <c r="S84" s="3478"/>
      <c r="T84" s="3478"/>
      <c r="U84" s="3478"/>
      <c r="AF84" s="3480"/>
    </row>
    <row r="85" spans="11:36">
      <c r="K85" s="3478"/>
      <c r="L85" s="3478"/>
      <c r="M85" s="3478"/>
      <c r="N85" s="3478"/>
      <c r="O85" s="3478"/>
      <c r="P85" s="3478"/>
      <c r="Q85" s="3478"/>
      <c r="R85" s="3478"/>
      <c r="S85" s="3478"/>
      <c r="T85" s="3478"/>
      <c r="U85" s="3478"/>
      <c r="AF85" s="3480"/>
    </row>
    <row r="86" spans="11:36">
      <c r="K86" s="3478"/>
      <c r="L86" s="3478"/>
      <c r="M86" s="3478"/>
      <c r="N86" s="3478"/>
      <c r="O86" s="3478"/>
      <c r="P86" s="3478"/>
      <c r="Q86" s="3478"/>
      <c r="R86" s="3478"/>
      <c r="S86" s="3478"/>
      <c r="T86" s="3478"/>
      <c r="U86" s="3478"/>
      <c r="AF86" s="3480"/>
    </row>
    <row r="87" spans="11:36">
      <c r="K87" s="3478"/>
      <c r="L87" s="3478"/>
      <c r="M87" s="3478"/>
      <c r="N87" s="3478"/>
      <c r="O87" s="3478"/>
      <c r="P87" s="3478"/>
      <c r="Q87" s="3478"/>
      <c r="R87" s="3478"/>
      <c r="S87" s="3478"/>
      <c r="T87" s="3478"/>
      <c r="U87" s="3478"/>
      <c r="AF87" s="3480"/>
    </row>
    <row r="88" spans="11:36">
      <c r="K88" s="3478"/>
      <c r="L88" s="3478"/>
      <c r="M88" s="3478"/>
      <c r="N88" s="3478"/>
      <c r="O88" s="3478"/>
      <c r="P88" s="3478"/>
      <c r="Q88" s="3478"/>
      <c r="R88" s="3478"/>
      <c r="S88" s="3478"/>
      <c r="T88" s="3478"/>
      <c r="U88" s="3478"/>
      <c r="AF88" s="3480"/>
    </row>
    <row r="89" spans="11:36">
      <c r="K89" s="3478"/>
      <c r="L89" s="3478"/>
      <c r="M89" s="3478"/>
      <c r="N89" s="3478"/>
      <c r="O89" s="3478"/>
      <c r="P89" s="3478"/>
      <c r="Q89" s="3478"/>
      <c r="R89" s="3478"/>
      <c r="S89" s="3478"/>
      <c r="T89" s="3478"/>
      <c r="U89" s="3478"/>
      <c r="AF89" s="3480"/>
    </row>
    <row r="90" spans="11:36">
      <c r="K90" s="3478"/>
      <c r="L90" s="3478"/>
      <c r="M90" s="3478"/>
      <c r="N90" s="3478"/>
      <c r="O90" s="3478"/>
      <c r="P90" s="3478"/>
      <c r="Q90" s="3478"/>
      <c r="R90" s="3478"/>
      <c r="S90" s="3478"/>
      <c r="T90" s="3478"/>
      <c r="U90" s="3478"/>
      <c r="AF90" s="3480"/>
    </row>
    <row r="91" spans="11:36">
      <c r="K91" s="3478"/>
      <c r="L91" s="3478"/>
      <c r="M91" s="3478"/>
      <c r="N91" s="3478"/>
      <c r="O91" s="3478"/>
      <c r="P91" s="3478"/>
      <c r="Q91" s="3478"/>
      <c r="R91" s="3478"/>
      <c r="S91" s="3478"/>
      <c r="T91" s="3478"/>
      <c r="U91" s="3478"/>
      <c r="AF91" s="3480"/>
    </row>
    <row r="92" spans="11:36">
      <c r="K92" s="3478"/>
      <c r="L92" s="3478"/>
      <c r="M92" s="3478"/>
      <c r="N92" s="3478"/>
      <c r="O92" s="3478"/>
      <c r="P92" s="3478"/>
      <c r="Q92" s="3478"/>
      <c r="R92" s="3478"/>
      <c r="S92" s="3478"/>
      <c r="T92" s="3478"/>
      <c r="U92" s="3478"/>
      <c r="AF92" s="3480"/>
    </row>
    <row r="93" spans="11:36">
      <c r="K93" s="3478"/>
      <c r="L93" s="3478"/>
      <c r="M93" s="3478"/>
      <c r="N93" s="3478"/>
      <c r="O93" s="3478"/>
      <c r="P93" s="3478"/>
      <c r="Q93" s="3478"/>
      <c r="R93" s="3478"/>
      <c r="S93" s="3478"/>
      <c r="T93" s="3478"/>
      <c r="U93" s="3478"/>
      <c r="AF93" s="3480"/>
    </row>
    <row r="94" spans="11:36">
      <c r="K94" s="3478"/>
      <c r="L94" s="3478"/>
      <c r="M94" s="3478"/>
      <c r="N94" s="3478"/>
      <c r="O94" s="3478"/>
      <c r="P94" s="3478"/>
      <c r="Q94" s="3478"/>
      <c r="R94" s="3478"/>
      <c r="S94" s="3478"/>
      <c r="T94" s="3478"/>
      <c r="U94" s="3478"/>
      <c r="AF94" s="3480"/>
    </row>
    <row r="95" spans="11:36">
      <c r="K95" s="3478"/>
      <c r="L95" s="3478"/>
      <c r="M95" s="3478"/>
      <c r="N95" s="3478"/>
      <c r="O95" s="3478"/>
      <c r="P95" s="3478"/>
      <c r="Q95" s="3478"/>
      <c r="R95" s="3478"/>
      <c r="S95" s="3478"/>
      <c r="T95" s="3478"/>
    </row>
    <row r="96" spans="11:36">
      <c r="K96" s="3478"/>
      <c r="L96" s="3478"/>
      <c r="M96" s="3478"/>
      <c r="N96" s="3478"/>
      <c r="O96" s="3478"/>
      <c r="P96" s="3478"/>
      <c r="Q96" s="3478"/>
      <c r="R96" s="3478"/>
      <c r="S96" s="3478"/>
      <c r="T96" s="3478"/>
    </row>
    <row r="97" spans="11:20">
      <c r="K97" s="3478"/>
      <c r="L97" s="3478"/>
      <c r="M97" s="3478"/>
      <c r="N97" s="3478"/>
      <c r="O97" s="3478"/>
      <c r="P97" s="3478"/>
      <c r="Q97" s="3478"/>
      <c r="R97" s="3478"/>
      <c r="S97" s="3478"/>
      <c r="T97" s="3478"/>
    </row>
    <row r="98" spans="11:20">
      <c r="K98" s="3478"/>
      <c r="L98" s="3478"/>
      <c r="M98" s="3478"/>
      <c r="N98" s="3478"/>
      <c r="O98" s="3478"/>
      <c r="P98" s="3478"/>
      <c r="Q98" s="3478"/>
      <c r="R98" s="3478"/>
      <c r="S98" s="3478"/>
      <c r="T98" s="3478"/>
    </row>
    <row r="99" spans="11:20">
      <c r="K99" s="3478"/>
      <c r="L99" s="3478"/>
      <c r="M99" s="3478"/>
      <c r="N99" s="3478"/>
      <c r="O99" s="3478"/>
      <c r="P99" s="3478"/>
      <c r="Q99" s="3478"/>
      <c r="R99" s="3478"/>
      <c r="S99" s="3478"/>
      <c r="T99" s="3478"/>
    </row>
    <row r="100" spans="11:20">
      <c r="K100" s="3478"/>
      <c r="L100" s="3478"/>
      <c r="M100" s="3478"/>
      <c r="N100" s="3478"/>
      <c r="O100" s="3478"/>
      <c r="P100" s="3478"/>
      <c r="Q100" s="3478"/>
      <c r="R100" s="3478"/>
      <c r="S100" s="3478"/>
      <c r="T100" s="3478"/>
    </row>
    <row r="101" spans="11:20">
      <c r="K101" s="3478"/>
      <c r="L101" s="3478"/>
      <c r="M101" s="3478"/>
      <c r="N101" s="3478"/>
      <c r="O101" s="3478"/>
      <c r="P101" s="3478"/>
      <c r="Q101" s="3478"/>
      <c r="R101" s="3478"/>
      <c r="S101" s="3478"/>
      <c r="T101" s="3478"/>
    </row>
    <row r="102" spans="11:20">
      <c r="K102" s="3478"/>
      <c r="L102" s="3478"/>
      <c r="M102" s="3478"/>
      <c r="N102" s="3478"/>
      <c r="O102" s="3478"/>
      <c r="P102" s="3478"/>
      <c r="Q102" s="3478"/>
      <c r="R102" s="3478"/>
      <c r="S102" s="3478"/>
      <c r="T102" s="3478"/>
    </row>
    <row r="103" spans="11:20">
      <c r="K103" s="3478"/>
      <c r="L103" s="3478"/>
      <c r="M103" s="3478"/>
      <c r="N103" s="3478"/>
      <c r="O103" s="3478"/>
      <c r="P103" s="3478"/>
    </row>
    <row r="104" spans="11:20">
      <c r="K104" s="3478"/>
      <c r="L104" s="3478"/>
      <c r="M104" s="3478"/>
      <c r="N104" s="3478"/>
      <c r="O104" s="3478"/>
      <c r="P104" s="3478"/>
    </row>
    <row r="105" spans="11:20">
      <c r="K105" s="3478"/>
      <c r="L105" s="3478"/>
      <c r="M105" s="3478"/>
      <c r="N105" s="3478"/>
    </row>
    <row r="106" spans="11:20">
      <c r="K106" s="3478"/>
      <c r="L106" s="3478"/>
      <c r="M106" s="3478"/>
      <c r="N106" s="3478"/>
    </row>
    <row r="107" spans="11:20">
      <c r="K107" s="3478"/>
      <c r="L107" s="3478"/>
      <c r="M107" s="3478"/>
      <c r="N107" s="3478"/>
    </row>
    <row r="108" spans="11:20">
      <c r="M108" s="3478"/>
      <c r="N108" s="3478"/>
    </row>
    <row r="109" spans="11:20">
      <c r="M109" s="3478"/>
      <c r="N109" s="3478"/>
    </row>
  </sheetData>
  <mergeCells count="1">
    <mergeCell ref="A1:B1"/>
  </mergeCells>
  <phoneticPr fontId="3"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W86"/>
  <sheetViews>
    <sheetView workbookViewId="0">
      <selection activeCell="E72" sqref="E72"/>
    </sheetView>
  </sheetViews>
  <sheetFormatPr defaultColWidth="9" defaultRowHeight="14.25"/>
  <cols>
    <col min="1" max="1" width="5.875" style="3527" customWidth="1"/>
    <col min="2" max="2" width="28.75" style="3527" customWidth="1"/>
    <col min="3" max="3" width="4.625" style="3527" customWidth="1"/>
    <col min="4" max="4" width="12.125" style="3527" customWidth="1"/>
    <col min="5" max="5" width="37" style="3527" customWidth="1"/>
    <col min="6" max="6" width="20.5" style="3527" customWidth="1"/>
    <col min="7" max="7" width="6.875" style="3527" customWidth="1"/>
    <col min="8" max="8" width="8.5" style="3527" customWidth="1"/>
    <col min="9" max="9" width="7.25" style="3527" customWidth="1"/>
    <col min="10" max="10" width="8.875" style="3527" customWidth="1"/>
    <col min="11" max="11" width="5.375" style="3527" customWidth="1"/>
    <col min="12" max="12" width="10.125" style="3527" customWidth="1"/>
    <col min="13" max="13" width="7.5" style="3527" customWidth="1"/>
    <col min="14" max="14" width="5.5" style="3527" customWidth="1"/>
    <col min="15" max="15" width="8.625" style="3527" customWidth="1"/>
    <col min="16" max="16" width="7.875" style="3527" customWidth="1"/>
    <col min="17" max="18" width="12.125" style="3527" customWidth="1"/>
    <col min="19" max="34" width="9" style="3527" customWidth="1"/>
    <col min="35" max="226" width="8.75" style="3527" customWidth="1"/>
    <col min="227" max="257" width="9" style="3527" customWidth="1"/>
    <col min="258" max="16384" width="9" style="3528"/>
  </cols>
  <sheetData>
    <row r="1" spans="1:12" s="3528" customFormat="1" ht="18.75">
      <c r="A1" s="3757" t="s">
        <v>3511</v>
      </c>
      <c r="B1" s="3757"/>
      <c r="C1" s="3757"/>
      <c r="D1" s="3758" t="s">
        <v>3512</v>
      </c>
      <c r="E1" s="3758"/>
      <c r="F1" s="3527"/>
      <c r="G1" s="3527"/>
      <c r="H1" s="3527"/>
      <c r="I1" s="3527"/>
      <c r="J1" s="3527"/>
      <c r="K1" s="3527"/>
      <c r="L1" s="3527"/>
    </row>
    <row r="2" spans="1:12" s="3528" customFormat="1">
      <c r="A2" s="3529" t="s">
        <v>3513</v>
      </c>
      <c r="B2" s="3530" t="s">
        <v>3514</v>
      </c>
      <c r="C2" s="3530" t="s">
        <v>3515</v>
      </c>
      <c r="D2" s="3530" t="s">
        <v>3516</v>
      </c>
      <c r="E2" s="3530" t="s">
        <v>3517</v>
      </c>
      <c r="F2" s="3531"/>
      <c r="G2" s="3531"/>
      <c r="H2" s="3531"/>
      <c r="I2" s="3531"/>
      <c r="J2" s="3527"/>
      <c r="K2" s="3527"/>
      <c r="L2" s="3527"/>
    </row>
    <row r="3" spans="1:12" s="3528" customFormat="1">
      <c r="A3" s="3530">
        <v>1</v>
      </c>
      <c r="B3" s="3532" t="s">
        <v>3518</v>
      </c>
      <c r="C3" s="3530" t="s">
        <v>3519</v>
      </c>
      <c r="D3" s="3533">
        <f>SUM(D4:D5)</f>
        <v>77168</v>
      </c>
      <c r="E3" s="3530"/>
      <c r="F3" s="3531"/>
      <c r="G3" s="3531"/>
      <c r="H3" s="3531"/>
      <c r="I3" s="3531"/>
      <c r="J3" s="3527"/>
      <c r="K3" s="3527"/>
      <c r="L3" s="3527"/>
    </row>
    <row r="4" spans="1:12" s="3528" customFormat="1">
      <c r="A4" s="3534"/>
      <c r="B4" s="3535" t="s">
        <v>3520</v>
      </c>
      <c r="C4" s="3536" t="s">
        <v>3519</v>
      </c>
      <c r="D4" s="3537">
        <v>76398</v>
      </c>
      <c r="E4" s="3538"/>
      <c r="F4" s="3531"/>
      <c r="G4" s="3531"/>
      <c r="H4" s="3531"/>
      <c r="I4" s="3531"/>
      <c r="J4" s="3527"/>
      <c r="K4" s="3527"/>
      <c r="L4" s="3527"/>
    </row>
    <row r="5" spans="1:12" s="3528" customFormat="1">
      <c r="A5" s="3534"/>
      <c r="B5" s="3535" t="s">
        <v>3521</v>
      </c>
      <c r="C5" s="3536" t="s">
        <v>3519</v>
      </c>
      <c r="D5" s="3537">
        <v>770</v>
      </c>
      <c r="E5" s="3539" t="s">
        <v>3522</v>
      </c>
      <c r="F5" s="3531"/>
      <c r="G5" s="3531"/>
      <c r="H5" s="3531"/>
      <c r="I5" s="3531"/>
      <c r="J5" s="3527"/>
      <c r="K5" s="3527"/>
      <c r="L5" s="3527"/>
    </row>
    <row r="6" spans="1:12" s="3528" customFormat="1">
      <c r="A6" s="3540">
        <v>2</v>
      </c>
      <c r="B6" s="3541" t="s">
        <v>3523</v>
      </c>
      <c r="C6" s="3534"/>
      <c r="D6" s="3537">
        <f>D9/D3</f>
        <v>2.5374896330085011</v>
      </c>
      <c r="E6" s="3538"/>
      <c r="F6" s="3531"/>
      <c r="G6" s="3542"/>
      <c r="H6" s="3542"/>
      <c r="I6" s="3543"/>
      <c r="J6" s="3544"/>
      <c r="K6" s="3545"/>
      <c r="L6" s="3527"/>
    </row>
    <row r="7" spans="1:12" s="3528" customFormat="1">
      <c r="A7" s="3534"/>
      <c r="B7" s="3546"/>
      <c r="C7" s="3534"/>
      <c r="D7" s="3537"/>
      <c r="E7" s="3538"/>
      <c r="F7" s="3531"/>
      <c r="G7" s="3542"/>
      <c r="H7" s="3542"/>
      <c r="I7" s="3543"/>
      <c r="J7" s="3544"/>
      <c r="K7" s="3545"/>
      <c r="L7" s="3527"/>
    </row>
    <row r="8" spans="1:12" s="3528" customFormat="1">
      <c r="A8" s="3530">
        <v>3</v>
      </c>
      <c r="B8" s="3541" t="s">
        <v>3524</v>
      </c>
      <c r="C8" s="3530" t="s">
        <v>3519</v>
      </c>
      <c r="D8" s="3547">
        <f>SUM(D9:D10)</f>
        <v>195813</v>
      </c>
      <c r="E8" s="3548"/>
      <c r="F8" s="3549"/>
      <c r="G8" s="3542"/>
      <c r="H8" s="3542"/>
      <c r="I8" s="3543"/>
      <c r="J8" s="3544"/>
      <c r="K8" s="3545"/>
      <c r="L8" s="3527"/>
    </row>
    <row r="9" spans="1:12" s="3528" customFormat="1">
      <c r="A9" s="3531">
        <v>3.1</v>
      </c>
      <c r="B9" s="3538" t="s">
        <v>3525</v>
      </c>
      <c r="C9" s="3536" t="s">
        <v>3519</v>
      </c>
      <c r="D9" s="3550">
        <f>D11+D12</f>
        <v>195813</v>
      </c>
      <c r="E9" s="3538"/>
      <c r="F9" s="3549"/>
      <c r="G9" s="3551"/>
      <c r="H9" s="3552"/>
      <c r="I9" s="3553"/>
      <c r="J9" s="3545"/>
      <c r="K9" s="3545"/>
      <c r="L9" s="3527"/>
    </row>
    <row r="10" spans="1:12" s="3528" customFormat="1" ht="16.5">
      <c r="A10" s="3536"/>
      <c r="B10" s="3554" t="s">
        <v>3526</v>
      </c>
      <c r="C10" s="3555" t="s">
        <v>3519</v>
      </c>
      <c r="D10" s="3550">
        <v>0</v>
      </c>
      <c r="E10" s="3556"/>
      <c r="F10" s="3557"/>
      <c r="G10" s="3551"/>
      <c r="H10" s="3543"/>
      <c r="I10" s="3558"/>
      <c r="J10" s="3559"/>
      <c r="K10" s="3560"/>
      <c r="L10" s="3561"/>
    </row>
    <row r="11" spans="1:12" s="3528" customFormat="1">
      <c r="A11" s="3562">
        <v>3.2</v>
      </c>
      <c r="B11" s="3554" t="s">
        <v>3527</v>
      </c>
      <c r="C11" s="3555" t="s">
        <v>3519</v>
      </c>
      <c r="D11" s="3563">
        <f>SUM(D13:D19)</f>
        <v>191555</v>
      </c>
      <c r="E11" s="3564">
        <f>D11/$D$9</f>
        <v>0.97825476347331386</v>
      </c>
      <c r="F11" s="3759"/>
      <c r="G11" s="3565"/>
      <c r="H11" s="3565"/>
      <c r="I11" s="3565"/>
      <c r="J11" s="3565"/>
      <c r="K11" s="3565"/>
      <c r="L11" s="3561"/>
    </row>
    <row r="12" spans="1:12" s="3528" customFormat="1">
      <c r="A12" s="3562"/>
      <c r="B12" s="3554" t="s">
        <v>3528</v>
      </c>
      <c r="C12" s="3555" t="s">
        <v>3519</v>
      </c>
      <c r="D12" s="3563">
        <f>SUM(D20:D22)</f>
        <v>4258</v>
      </c>
      <c r="E12" s="3566">
        <f>D12/$D$9</f>
        <v>2.1745236526686175E-2</v>
      </c>
      <c r="F12" s="3759"/>
      <c r="G12" s="3565"/>
      <c r="H12" s="3565"/>
      <c r="I12" s="3565"/>
      <c r="J12" s="3760"/>
      <c r="K12" s="3761"/>
      <c r="L12" s="3561"/>
    </row>
    <row r="13" spans="1:12" s="3528" customFormat="1">
      <c r="A13" s="3749" t="s">
        <v>3529</v>
      </c>
      <c r="B13" s="3567" t="s">
        <v>3530</v>
      </c>
      <c r="C13" s="3568" t="s">
        <v>3519</v>
      </c>
      <c r="D13" s="3569">
        <v>111265</v>
      </c>
      <c r="E13" s="3762" t="s">
        <v>3531</v>
      </c>
      <c r="F13" s="3570">
        <f>D13/D8</f>
        <v>0.56822070036208017</v>
      </c>
      <c r="G13" s="3565"/>
      <c r="H13" s="3565"/>
      <c r="I13" s="3565"/>
      <c r="J13" s="3760"/>
      <c r="K13" s="3761"/>
      <c r="L13" s="3527"/>
    </row>
    <row r="14" spans="1:12" s="3528" customFormat="1">
      <c r="A14" s="3750"/>
      <c r="B14" s="3567" t="s">
        <v>3532</v>
      </c>
      <c r="C14" s="3568" t="s">
        <v>3519</v>
      </c>
      <c r="D14" s="3571">
        <v>69660</v>
      </c>
      <c r="E14" s="3763"/>
      <c r="F14" s="3570">
        <f>D14/D8</f>
        <v>0.35574757549294478</v>
      </c>
      <c r="G14" s="3565"/>
      <c r="H14" s="3565"/>
      <c r="I14" s="3565"/>
      <c r="J14" s="3760"/>
      <c r="K14" s="3761"/>
      <c r="L14" s="3527"/>
    </row>
    <row r="15" spans="1:12" s="3528" customFormat="1">
      <c r="A15" s="3750"/>
      <c r="B15" s="3567" t="s">
        <v>3533</v>
      </c>
      <c r="C15" s="3568" t="s">
        <v>3519</v>
      </c>
      <c r="D15" s="3572">
        <v>10630</v>
      </c>
      <c r="E15" s="3546" t="s">
        <v>3534</v>
      </c>
      <c r="F15" s="3573"/>
      <c r="G15" s="3565"/>
      <c r="H15" s="3565"/>
      <c r="I15" s="3565"/>
      <c r="J15" s="3760"/>
      <c r="K15" s="3761"/>
      <c r="L15" s="3527"/>
    </row>
    <row r="16" spans="1:12" s="3528" customFormat="1">
      <c r="A16" s="3750"/>
      <c r="B16" s="3567" t="s">
        <v>3535</v>
      </c>
      <c r="C16" s="3568" t="s">
        <v>3519</v>
      </c>
      <c r="D16" s="3571">
        <v>0</v>
      </c>
      <c r="E16" s="3574"/>
      <c r="F16" s="3573"/>
      <c r="G16" s="3565"/>
      <c r="H16" s="3565"/>
      <c r="I16" s="3565"/>
      <c r="J16" s="3565"/>
      <c r="K16" s="3575"/>
      <c r="L16" s="3527"/>
    </row>
    <row r="17" spans="1:20" s="3528" customFormat="1">
      <c r="A17" s="3750"/>
      <c r="B17" s="3567" t="s">
        <v>3535</v>
      </c>
      <c r="C17" s="3568" t="s">
        <v>3519</v>
      </c>
      <c r="D17" s="3571">
        <v>0</v>
      </c>
      <c r="E17" s="3546"/>
      <c r="F17" s="3573"/>
      <c r="G17" s="3565"/>
      <c r="H17" s="3565"/>
      <c r="I17" s="3565"/>
      <c r="J17" s="3565"/>
      <c r="K17" s="3565"/>
      <c r="L17" s="3527"/>
      <c r="M17" s="3527"/>
      <c r="N17" s="3527"/>
      <c r="O17" s="3527"/>
      <c r="P17" s="3527"/>
      <c r="Q17" s="3527"/>
      <c r="R17" s="3527"/>
      <c r="S17" s="3527"/>
      <c r="T17" s="3527"/>
    </row>
    <row r="18" spans="1:20" s="3528" customFormat="1">
      <c r="A18" s="3750"/>
      <c r="B18" s="3567" t="s">
        <v>3535</v>
      </c>
      <c r="C18" s="3568" t="s">
        <v>3519</v>
      </c>
      <c r="D18" s="3571">
        <v>0</v>
      </c>
      <c r="E18" s="3546"/>
      <c r="F18" s="3573"/>
      <c r="G18" s="3551"/>
      <c r="H18" s="3543"/>
      <c r="I18" s="3543"/>
      <c r="J18" s="3527"/>
      <c r="K18" s="3576"/>
      <c r="L18" s="3527"/>
      <c r="M18" s="3527"/>
      <c r="N18" s="3527"/>
      <c r="O18" s="3527"/>
      <c r="P18" s="3527"/>
      <c r="Q18" s="3527"/>
      <c r="R18" s="3527"/>
      <c r="S18" s="3527"/>
      <c r="T18" s="3527"/>
    </row>
    <row r="19" spans="1:20" s="3528" customFormat="1">
      <c r="A19" s="3751"/>
      <c r="B19" s="3567" t="s">
        <v>3535</v>
      </c>
      <c r="C19" s="3568" t="s">
        <v>3519</v>
      </c>
      <c r="D19" s="3571">
        <v>0</v>
      </c>
      <c r="E19" s="3546"/>
      <c r="F19" s="3573"/>
      <c r="G19" s="3753"/>
      <c r="H19" s="3753"/>
      <c r="I19" s="3753"/>
      <c r="J19" s="3753"/>
      <c r="K19" s="3753"/>
      <c r="L19" s="3753"/>
      <c r="M19" s="3753"/>
      <c r="N19" s="3753"/>
      <c r="O19" s="3753"/>
      <c r="P19" s="3753"/>
      <c r="Q19" s="3527"/>
      <c r="R19" s="3527"/>
      <c r="S19" s="3527"/>
      <c r="T19" s="3527"/>
    </row>
    <row r="20" spans="1:20" s="3528" customFormat="1">
      <c r="A20" s="3749" t="s">
        <v>3536</v>
      </c>
      <c r="B20" s="3577" t="s">
        <v>3522</v>
      </c>
      <c r="C20" s="3568" t="s">
        <v>3519</v>
      </c>
      <c r="D20" s="3571">
        <v>3240</v>
      </c>
      <c r="E20" s="3546" t="s">
        <v>3537</v>
      </c>
      <c r="F20" s="3573"/>
      <c r="G20" s="3753"/>
      <c r="H20" s="3753"/>
      <c r="I20" s="3753"/>
      <c r="J20" s="3753"/>
      <c r="K20" s="3753"/>
      <c r="L20" s="3753"/>
      <c r="M20" s="3753"/>
      <c r="N20" s="3753"/>
      <c r="O20" s="3753"/>
      <c r="P20" s="3753"/>
      <c r="Q20" s="3527"/>
      <c r="R20" s="3527"/>
      <c r="S20" s="3527"/>
      <c r="T20" s="3527"/>
    </row>
    <row r="21" spans="1:20" s="3528" customFormat="1">
      <c r="A21" s="3750"/>
      <c r="B21" s="3577" t="s">
        <v>3538</v>
      </c>
      <c r="C21" s="3568" t="s">
        <v>3519</v>
      </c>
      <c r="D21" s="3571">
        <v>0</v>
      </c>
      <c r="E21" s="3546" t="s">
        <v>3537</v>
      </c>
      <c r="F21" s="3573"/>
      <c r="G21" s="3754"/>
      <c r="H21" s="3578"/>
      <c r="I21" s="3578"/>
      <c r="J21" s="3579"/>
      <c r="K21" s="3579"/>
      <c r="L21" s="3580"/>
      <c r="M21" s="3580"/>
      <c r="N21" s="3581"/>
      <c r="O21" s="3580"/>
      <c r="P21" s="3580"/>
      <c r="Q21" s="3527"/>
      <c r="R21" s="3527"/>
      <c r="S21" s="3527"/>
      <c r="T21" s="3527"/>
    </row>
    <row r="22" spans="1:20" s="3528" customFormat="1">
      <c r="A22" s="3751"/>
      <c r="B22" s="3577" t="s">
        <v>3539</v>
      </c>
      <c r="C22" s="3568" t="s">
        <v>3519</v>
      </c>
      <c r="D22" s="3582">
        <f>SUM(D23:D30)</f>
        <v>1018</v>
      </c>
      <c r="E22" s="3546"/>
      <c r="F22" s="3573"/>
      <c r="G22" s="3754"/>
      <c r="H22" s="3578"/>
      <c r="I22" s="3583"/>
      <c r="J22" s="3578"/>
      <c r="K22" s="3584"/>
      <c r="L22" s="3585"/>
      <c r="M22" s="3584"/>
      <c r="N22" s="3755"/>
      <c r="O22" s="3586"/>
      <c r="P22" s="3584"/>
      <c r="Q22" s="3527"/>
      <c r="R22" s="3527"/>
      <c r="S22" s="3527"/>
      <c r="T22" s="3527"/>
    </row>
    <row r="23" spans="1:20" s="3528" customFormat="1" ht="24">
      <c r="A23" s="3749">
        <v>3.3</v>
      </c>
      <c r="B23" s="3577" t="s">
        <v>3540</v>
      </c>
      <c r="C23" s="3568" t="s">
        <v>3519</v>
      </c>
      <c r="D23" s="3571">
        <v>0</v>
      </c>
      <c r="E23" s="3546" t="s">
        <v>3541</v>
      </c>
      <c r="F23" s="3573"/>
      <c r="G23" s="3754"/>
      <c r="H23" s="3578"/>
      <c r="I23" s="3583"/>
      <c r="J23" s="3578"/>
      <c r="K23" s="3584"/>
      <c r="L23" s="3585"/>
      <c r="M23" s="3584"/>
      <c r="N23" s="3755"/>
      <c r="O23" s="3586"/>
      <c r="P23" s="3584"/>
      <c r="Q23" s="3527"/>
      <c r="R23" s="3527"/>
      <c r="S23" s="3527"/>
      <c r="T23" s="3527"/>
    </row>
    <row r="24" spans="1:20" s="3528" customFormat="1">
      <c r="A24" s="3750"/>
      <c r="B24" s="3577" t="s">
        <v>3542</v>
      </c>
      <c r="C24" s="3568" t="s">
        <v>3519</v>
      </c>
      <c r="D24" s="3572">
        <v>1018</v>
      </c>
      <c r="E24" s="3539" t="s">
        <v>3543</v>
      </c>
      <c r="F24" s="3587"/>
      <c r="G24" s="3754"/>
      <c r="H24" s="3578"/>
      <c r="I24" s="3583"/>
      <c r="J24" s="3578"/>
      <c r="K24" s="3584"/>
      <c r="L24" s="3585"/>
      <c r="M24" s="3584"/>
      <c r="N24" s="3755"/>
      <c r="O24" s="3586"/>
      <c r="P24" s="3584"/>
      <c r="Q24" s="3527"/>
      <c r="R24" s="3527"/>
      <c r="S24" s="3527"/>
      <c r="T24" s="3527"/>
    </row>
    <row r="25" spans="1:20" s="3528" customFormat="1">
      <c r="A25" s="3750"/>
      <c r="B25" s="3577" t="s">
        <v>3544</v>
      </c>
      <c r="C25" s="3568" t="s">
        <v>3519</v>
      </c>
      <c r="D25" s="3571">
        <v>0</v>
      </c>
      <c r="E25" s="3539"/>
      <c r="F25" s="3587"/>
      <c r="G25" s="3754"/>
      <c r="H25" s="3580"/>
      <c r="I25" s="3583"/>
      <c r="J25" s="3578"/>
      <c r="K25" s="3584"/>
      <c r="L25" s="3585"/>
      <c r="M25" s="3584"/>
      <c r="N25" s="3754"/>
      <c r="O25" s="3586"/>
      <c r="P25" s="3584"/>
      <c r="Q25" s="3527"/>
      <c r="R25" s="3527"/>
      <c r="S25" s="3527"/>
      <c r="T25" s="3527"/>
    </row>
    <row r="26" spans="1:20" s="3528" customFormat="1">
      <c r="A26" s="3750"/>
      <c r="B26" s="3577" t="s">
        <v>3545</v>
      </c>
      <c r="C26" s="3568" t="s">
        <v>3519</v>
      </c>
      <c r="D26" s="3572">
        <v>0</v>
      </c>
      <c r="E26" s="3539"/>
      <c r="F26" s="3587"/>
      <c r="G26" s="3581"/>
      <c r="H26" s="3580"/>
      <c r="I26" s="3583"/>
      <c r="J26" s="3578"/>
      <c r="K26" s="3584"/>
      <c r="L26" s="3588"/>
      <c r="M26" s="3584"/>
      <c r="N26" s="3754"/>
      <c r="O26" s="3586"/>
      <c r="P26" s="3584"/>
      <c r="Q26" s="3527"/>
      <c r="R26" s="3527"/>
      <c r="S26" s="3527"/>
      <c r="T26" s="3527"/>
    </row>
    <row r="27" spans="1:20" s="3528" customFormat="1">
      <c r="A27" s="3750"/>
      <c r="B27" s="3577" t="s">
        <v>3544</v>
      </c>
      <c r="C27" s="3568" t="s">
        <v>3519</v>
      </c>
      <c r="D27" s="3571">
        <v>0</v>
      </c>
      <c r="E27" s="3539"/>
      <c r="F27" s="3587"/>
      <c r="G27" s="3581"/>
      <c r="H27" s="3580"/>
      <c r="I27" s="3583"/>
      <c r="J27" s="3578"/>
      <c r="K27" s="3584"/>
      <c r="L27" s="3588"/>
      <c r="M27" s="3584"/>
      <c r="N27" s="3754"/>
      <c r="O27" s="3586"/>
      <c r="P27" s="3584"/>
      <c r="Q27" s="3527"/>
      <c r="R27" s="3527"/>
      <c r="S27" s="3527"/>
      <c r="T27" s="3527"/>
    </row>
    <row r="28" spans="1:20" s="3528" customFormat="1">
      <c r="A28" s="3750"/>
      <c r="B28" s="3577" t="s">
        <v>3546</v>
      </c>
      <c r="C28" s="3568" t="s">
        <v>3519</v>
      </c>
      <c r="D28" s="3571">
        <v>0</v>
      </c>
      <c r="E28" s="3539"/>
      <c r="F28" s="3587"/>
      <c r="G28" s="3580"/>
      <c r="H28" s="3580"/>
      <c r="I28" s="3583"/>
      <c r="J28" s="3578"/>
      <c r="K28" s="3580"/>
      <c r="L28" s="3589"/>
      <c r="M28" s="3584"/>
      <c r="N28" s="3581"/>
      <c r="O28" s="3590"/>
      <c r="P28" s="3584"/>
      <c r="Q28" s="3527"/>
      <c r="R28" s="3527"/>
      <c r="S28" s="3527"/>
      <c r="T28" s="3527"/>
    </row>
    <row r="29" spans="1:20" s="3528" customFormat="1">
      <c r="A29" s="3750"/>
      <c r="B29" s="3577" t="s">
        <v>3547</v>
      </c>
      <c r="C29" s="3568" t="s">
        <v>3519</v>
      </c>
      <c r="D29" s="3571">
        <v>0</v>
      </c>
      <c r="E29" s="3539"/>
      <c r="F29" s="3587"/>
      <c r="G29" s="3580"/>
      <c r="H29" s="3580"/>
      <c r="I29" s="3583"/>
      <c r="J29" s="3578"/>
      <c r="K29" s="3580"/>
      <c r="L29" s="3589"/>
      <c r="M29" s="3584"/>
      <c r="N29" s="3581"/>
      <c r="O29" s="3590"/>
      <c r="P29" s="3584"/>
      <c r="Q29" s="3527"/>
      <c r="R29" s="3527"/>
      <c r="S29" s="3527"/>
      <c r="T29" s="3527"/>
    </row>
    <row r="30" spans="1:20" s="3528" customFormat="1">
      <c r="A30" s="3751"/>
      <c r="B30" s="3577" t="s">
        <v>3535</v>
      </c>
      <c r="C30" s="3568" t="s">
        <v>3519</v>
      </c>
      <c r="D30" s="3571">
        <v>0</v>
      </c>
      <c r="E30" s="3539"/>
      <c r="F30" s="3587"/>
      <c r="G30" s="3580"/>
      <c r="H30" s="3580"/>
      <c r="I30" s="3591"/>
      <c r="J30" s="3578"/>
      <c r="K30" s="3580"/>
      <c r="L30" s="3580"/>
      <c r="M30" s="3580"/>
      <c r="N30" s="3581"/>
      <c r="O30" s="3581"/>
      <c r="P30" s="3592"/>
      <c r="Q30" s="3527"/>
      <c r="R30" s="3527"/>
      <c r="S30" s="3527"/>
      <c r="T30" s="3527"/>
    </row>
    <row r="31" spans="1:20" s="3528" customFormat="1">
      <c r="A31" s="3593">
        <v>4</v>
      </c>
      <c r="B31" s="3594" t="s">
        <v>3548</v>
      </c>
      <c r="C31" s="3568" t="s">
        <v>3519</v>
      </c>
      <c r="D31" s="3550">
        <f>SUM(D32:D34)</f>
        <v>0</v>
      </c>
      <c r="E31" s="3538"/>
      <c r="F31" s="3587"/>
      <c r="G31" s="3542"/>
      <c r="H31" s="3543"/>
      <c r="I31" s="3543"/>
      <c r="J31" s="3545"/>
      <c r="K31" s="3545"/>
      <c r="L31" s="3527"/>
      <c r="M31" s="3527"/>
      <c r="N31" s="3527"/>
      <c r="O31" s="3527"/>
      <c r="P31" s="3527"/>
      <c r="Q31" s="3527"/>
      <c r="R31" s="3527"/>
      <c r="S31" s="3527"/>
      <c r="T31" s="3527"/>
    </row>
    <row r="32" spans="1:20" s="3528" customFormat="1">
      <c r="A32" s="3595"/>
      <c r="B32" s="3577" t="s">
        <v>3549</v>
      </c>
      <c r="C32" s="3568" t="s">
        <v>3519</v>
      </c>
      <c r="D32" s="3571">
        <v>0</v>
      </c>
      <c r="E32" s="3596"/>
      <c r="F32" s="3597"/>
      <c r="G32" s="3598"/>
      <c r="H32" s="3598"/>
      <c r="I32" s="3598"/>
      <c r="J32" s="3598"/>
      <c r="K32" s="3598"/>
      <c r="L32" s="3598"/>
      <c r="M32" s="3598"/>
      <c r="N32" s="3598"/>
      <c r="O32" s="3599"/>
      <c r="P32" s="3599"/>
      <c r="Q32" s="3600"/>
      <c r="R32" s="3600"/>
      <c r="S32" s="3601"/>
      <c r="T32" s="3601"/>
    </row>
    <row r="33" spans="1:20" s="3528" customFormat="1" ht="17.25">
      <c r="A33" s="3595"/>
      <c r="B33" s="3577" t="s">
        <v>3549</v>
      </c>
      <c r="C33" s="3568" t="s">
        <v>3519</v>
      </c>
      <c r="D33" s="3571">
        <v>0</v>
      </c>
      <c r="E33" s="3596"/>
      <c r="F33" s="3597"/>
      <c r="G33" s="3602"/>
      <c r="H33" s="3602"/>
      <c r="I33" s="3603"/>
      <c r="J33" s="3604"/>
      <c r="K33" s="3604"/>
      <c r="L33" s="3598"/>
      <c r="M33" s="3598"/>
      <c r="N33" s="3598"/>
      <c r="O33" s="3599"/>
      <c r="P33" s="3599"/>
      <c r="Q33" s="3600"/>
      <c r="R33" s="3600"/>
      <c r="S33" s="3601"/>
      <c r="T33" s="3601"/>
    </row>
    <row r="34" spans="1:20" s="3528" customFormat="1" ht="17.25">
      <c r="A34" s="3595"/>
      <c r="B34" s="3577" t="s">
        <v>3550</v>
      </c>
      <c r="C34" s="3568" t="s">
        <v>3519</v>
      </c>
      <c r="D34" s="3571">
        <v>0</v>
      </c>
      <c r="E34" s="3538" t="s">
        <v>3551</v>
      </c>
      <c r="F34" s="3597"/>
      <c r="G34" s="3605"/>
      <c r="H34" s="3606"/>
      <c r="I34" s="3604"/>
      <c r="J34" s="3604"/>
      <c r="K34" s="3604"/>
      <c r="L34" s="3598"/>
      <c r="M34" s="3598"/>
      <c r="N34" s="3598"/>
      <c r="O34" s="3599"/>
      <c r="P34" s="3599"/>
      <c r="Q34" s="3600"/>
      <c r="R34" s="3600"/>
      <c r="S34" s="3601"/>
      <c r="T34" s="3601"/>
    </row>
    <row r="35" spans="1:20" s="3528" customFormat="1" ht="17.25">
      <c r="A35" s="3595"/>
      <c r="B35" s="3577" t="s">
        <v>3552</v>
      </c>
      <c r="C35" s="3607" t="s">
        <v>3553</v>
      </c>
      <c r="D35" s="3571">
        <v>0</v>
      </c>
      <c r="E35" s="3538"/>
      <c r="F35" s="3597"/>
      <c r="G35" s="3605"/>
      <c r="H35" s="3605"/>
      <c r="I35" s="3605"/>
      <c r="J35" s="3605"/>
      <c r="K35" s="3605"/>
      <c r="L35" s="3598"/>
      <c r="M35" s="3598"/>
      <c r="N35" s="3598"/>
      <c r="O35" s="3599"/>
      <c r="P35" s="3599"/>
      <c r="Q35" s="3600"/>
      <c r="R35" s="3600"/>
      <c r="S35" s="3601"/>
      <c r="T35" s="3601"/>
    </row>
    <row r="36" spans="1:20" s="3528" customFormat="1" ht="17.25">
      <c r="A36" s="3595"/>
      <c r="B36" s="3577" t="s">
        <v>3554</v>
      </c>
      <c r="C36" s="3607" t="s">
        <v>3553</v>
      </c>
      <c r="D36" s="3571">
        <v>0</v>
      </c>
      <c r="E36" s="3538"/>
      <c r="F36" s="3597"/>
      <c r="G36" s="3605"/>
      <c r="H36" s="3605"/>
      <c r="I36" s="3605"/>
      <c r="J36" s="3605"/>
      <c r="K36" s="3605"/>
      <c r="L36" s="3598"/>
      <c r="M36" s="3598"/>
      <c r="N36" s="3598"/>
      <c r="O36" s="3599"/>
      <c r="P36" s="3599"/>
      <c r="Q36" s="3600"/>
      <c r="R36" s="3600"/>
      <c r="S36" s="3601"/>
      <c r="T36" s="3601"/>
    </row>
    <row r="37" spans="1:20" s="3528" customFormat="1" ht="17.25">
      <c r="A37" s="3595"/>
      <c r="B37" s="3577" t="s">
        <v>3535</v>
      </c>
      <c r="C37" s="3568" t="s">
        <v>3519</v>
      </c>
      <c r="D37" s="3571">
        <v>0</v>
      </c>
      <c r="E37" s="3538"/>
      <c r="F37" s="3597"/>
      <c r="G37" s="3605"/>
      <c r="H37" s="3605"/>
      <c r="I37" s="3608"/>
      <c r="J37" s="3606"/>
      <c r="K37" s="3608"/>
      <c r="L37" s="3598"/>
      <c r="M37" s="3598"/>
      <c r="N37" s="3598"/>
      <c r="O37" s="3599"/>
      <c r="P37" s="3599"/>
      <c r="Q37" s="3600"/>
      <c r="R37" s="3600"/>
      <c r="S37" s="3601"/>
      <c r="T37" s="3601"/>
    </row>
    <row r="38" spans="1:20" s="3528" customFormat="1">
      <c r="A38" s="3536">
        <v>5</v>
      </c>
      <c r="B38" s="3609" t="s">
        <v>3555</v>
      </c>
      <c r="C38" s="3610" t="s">
        <v>3556</v>
      </c>
      <c r="D38" s="3571">
        <v>184</v>
      </c>
      <c r="E38" s="3554" t="s">
        <v>3557</v>
      </c>
      <c r="F38" s="3756"/>
      <c r="G38" s="3598"/>
      <c r="H38" s="3598"/>
      <c r="I38" s="3598"/>
      <c r="J38" s="3598"/>
      <c r="K38" s="3598"/>
      <c r="L38" s="3598"/>
      <c r="M38" s="3598"/>
      <c r="N38" s="3598"/>
      <c r="O38" s="3611"/>
      <c r="P38" s="3599"/>
      <c r="Q38" s="3612"/>
      <c r="R38" s="3612"/>
      <c r="S38" s="3601"/>
      <c r="T38" s="3613"/>
    </row>
    <row r="39" spans="1:20" s="3528" customFormat="1">
      <c r="A39" s="3536">
        <v>6</v>
      </c>
      <c r="B39" s="3554" t="s">
        <v>3558</v>
      </c>
      <c r="C39" s="3610" t="s">
        <v>3556</v>
      </c>
      <c r="D39" s="3614">
        <f>D47+D50</f>
        <v>1698</v>
      </c>
      <c r="E39" s="3554" t="s">
        <v>3559</v>
      </c>
      <c r="F39" s="3756"/>
      <c r="G39" s="3598"/>
      <c r="H39" s="3598"/>
      <c r="I39" s="3598"/>
      <c r="J39" s="3598"/>
      <c r="K39" s="3598"/>
      <c r="L39" s="3598"/>
      <c r="M39" s="3598"/>
      <c r="N39" s="3598"/>
      <c r="O39" s="3611"/>
      <c r="P39" s="3599"/>
      <c r="Q39" s="3612"/>
      <c r="R39" s="3612"/>
      <c r="S39" s="3601"/>
      <c r="T39" s="3613"/>
    </row>
    <row r="40" spans="1:20" s="3528" customFormat="1">
      <c r="A40" s="3749" t="s">
        <v>3560</v>
      </c>
      <c r="B40" s="3615" t="s">
        <v>3561</v>
      </c>
      <c r="C40" s="3610" t="s">
        <v>3556</v>
      </c>
      <c r="D40" s="3616">
        <v>498</v>
      </c>
      <c r="E40" s="3617"/>
      <c r="F40" s="3756"/>
      <c r="G40" s="3598"/>
      <c r="H40" s="3598"/>
      <c r="I40" s="3599"/>
      <c r="J40" s="3599"/>
      <c r="K40" s="3598"/>
      <c r="L40" s="3598"/>
      <c r="M40" s="3599"/>
      <c r="N40" s="3599"/>
      <c r="O40" s="3611"/>
      <c r="P40" s="3599"/>
      <c r="Q40" s="3612"/>
      <c r="R40" s="3612"/>
      <c r="S40" s="3601"/>
      <c r="T40" s="3613"/>
    </row>
    <row r="41" spans="1:20" s="3528" customFormat="1">
      <c r="A41" s="3750"/>
      <c r="B41" s="3615" t="s">
        <v>3562</v>
      </c>
      <c r="C41" s="3610" t="s">
        <v>3556</v>
      </c>
      <c r="D41" s="3616">
        <v>1200</v>
      </c>
      <c r="E41" s="3618"/>
      <c r="F41" s="3756"/>
      <c r="G41" s="3598"/>
      <c r="H41" s="3598"/>
      <c r="I41" s="3599"/>
      <c r="J41" s="3599"/>
      <c r="K41" s="3598"/>
      <c r="L41" s="3598"/>
      <c r="M41" s="3599"/>
      <c r="N41" s="3599"/>
      <c r="O41" s="3611"/>
      <c r="P41" s="3599"/>
      <c r="Q41" s="3612"/>
      <c r="R41" s="3612"/>
      <c r="S41" s="3601"/>
      <c r="T41" s="3613"/>
    </row>
    <row r="42" spans="1:20" s="3528" customFormat="1">
      <c r="A42" s="3750"/>
      <c r="B42" s="3615" t="s">
        <v>3535</v>
      </c>
      <c r="C42" s="3610" t="s">
        <v>3556</v>
      </c>
      <c r="D42" s="3616">
        <v>0</v>
      </c>
      <c r="E42" s="3617"/>
      <c r="F42" s="3756"/>
      <c r="G42" s="3598"/>
      <c r="H42" s="3598"/>
      <c r="I42" s="3599"/>
      <c r="J42" s="3599"/>
      <c r="K42" s="3598"/>
      <c r="L42" s="3598"/>
      <c r="M42" s="3599"/>
      <c r="N42" s="3599"/>
      <c r="O42" s="3611"/>
      <c r="P42" s="3599"/>
      <c r="Q42" s="3612"/>
      <c r="R42" s="3612"/>
      <c r="S42" s="3601"/>
      <c r="T42" s="3613"/>
    </row>
    <row r="43" spans="1:20" s="3528" customFormat="1">
      <c r="A43" s="3750"/>
      <c r="B43" s="3615" t="str">
        <f t="shared" ref="B43:B46" si="0">B16</f>
        <v>其它</v>
      </c>
      <c r="C43" s="3610" t="s">
        <v>3556</v>
      </c>
      <c r="D43" s="3616">
        <v>0</v>
      </c>
      <c r="E43" s="3617"/>
      <c r="F43" s="3756"/>
      <c r="G43" s="3598"/>
      <c r="H43" s="3598"/>
      <c r="I43" s="3599"/>
      <c r="J43" s="3599"/>
      <c r="K43" s="3598"/>
      <c r="L43" s="3598"/>
      <c r="M43" s="3599"/>
      <c r="N43" s="3599"/>
      <c r="O43" s="3611"/>
      <c r="P43" s="3599"/>
      <c r="Q43" s="3612"/>
      <c r="R43" s="3612"/>
      <c r="S43" s="3601"/>
      <c r="T43" s="3613"/>
    </row>
    <row r="44" spans="1:20" s="3528" customFormat="1">
      <c r="A44" s="3750"/>
      <c r="B44" s="3615" t="str">
        <f t="shared" si="0"/>
        <v>其它</v>
      </c>
      <c r="C44" s="3610" t="s">
        <v>3556</v>
      </c>
      <c r="D44" s="3616">
        <v>0</v>
      </c>
      <c r="E44" s="3617" t="s">
        <v>3539</v>
      </c>
      <c r="F44" s="3756"/>
      <c r="G44" s="3598"/>
      <c r="H44" s="3598"/>
      <c r="I44" s="3599"/>
      <c r="J44" s="3599"/>
      <c r="K44" s="3598"/>
      <c r="L44" s="3598"/>
      <c r="M44" s="3599"/>
      <c r="N44" s="3599"/>
      <c r="O44" s="3611"/>
      <c r="P44" s="3599"/>
      <c r="Q44" s="3612"/>
      <c r="R44" s="3612"/>
      <c r="S44" s="3601"/>
      <c r="T44" s="3613"/>
    </row>
    <row r="45" spans="1:20" s="3528" customFormat="1">
      <c r="A45" s="3750"/>
      <c r="B45" s="3615" t="str">
        <f t="shared" si="0"/>
        <v>其它</v>
      </c>
      <c r="C45" s="3610" t="s">
        <v>3556</v>
      </c>
      <c r="D45" s="3616">
        <v>0</v>
      </c>
      <c r="E45" s="3617"/>
      <c r="F45" s="3756"/>
      <c r="G45" s="3598"/>
      <c r="H45" s="3598"/>
      <c r="I45" s="3599"/>
      <c r="J45" s="3599"/>
      <c r="K45" s="3598"/>
      <c r="L45" s="3598"/>
      <c r="M45" s="3599"/>
      <c r="N45" s="3599"/>
      <c r="O45" s="3611"/>
      <c r="P45" s="3599"/>
      <c r="Q45" s="3612"/>
      <c r="R45" s="3612"/>
      <c r="S45" s="3601"/>
      <c r="T45" s="3613"/>
    </row>
    <row r="46" spans="1:20" s="3528" customFormat="1">
      <c r="A46" s="3750"/>
      <c r="B46" s="3615" t="str">
        <f t="shared" si="0"/>
        <v>其它</v>
      </c>
      <c r="C46" s="3610" t="s">
        <v>3556</v>
      </c>
      <c r="D46" s="3616">
        <v>0</v>
      </c>
      <c r="E46" s="3617"/>
      <c r="F46" s="3756"/>
      <c r="G46" s="3598"/>
      <c r="H46" s="3598"/>
      <c r="I46" s="3599"/>
      <c r="J46" s="3599"/>
      <c r="K46" s="3598"/>
      <c r="L46" s="3598"/>
      <c r="M46" s="3599"/>
      <c r="N46" s="3599"/>
      <c r="O46" s="3611"/>
      <c r="P46" s="3599"/>
      <c r="Q46" s="3612"/>
      <c r="R46" s="3612"/>
      <c r="S46" s="3601"/>
      <c r="T46" s="3613"/>
    </row>
    <row r="47" spans="1:20" s="3528" customFormat="1">
      <c r="A47" s="3751"/>
      <c r="B47" s="3619" t="s">
        <v>3563</v>
      </c>
      <c r="C47" s="3610" t="s">
        <v>3556</v>
      </c>
      <c r="D47" s="3620">
        <f>SUM(D40:D46)</f>
        <v>1698</v>
      </c>
      <c r="E47" s="3617"/>
      <c r="F47" s="3756"/>
      <c r="G47" s="3598"/>
      <c r="H47" s="3598"/>
      <c r="I47" s="3599"/>
      <c r="J47" s="3599"/>
      <c r="K47" s="3598"/>
      <c r="L47" s="3598"/>
      <c r="M47" s="3599"/>
      <c r="N47" s="3599"/>
      <c r="O47" s="3611"/>
      <c r="P47" s="3599"/>
      <c r="Q47" s="3612"/>
      <c r="R47" s="3612"/>
      <c r="S47" s="3601"/>
      <c r="T47" s="3613"/>
    </row>
    <row r="48" spans="1:20" s="3528" customFormat="1">
      <c r="A48" s="3750" t="s">
        <v>3564</v>
      </c>
      <c r="B48" s="3621" t="s">
        <v>3565</v>
      </c>
      <c r="C48" s="3610" t="s">
        <v>3556</v>
      </c>
      <c r="D48" s="3616">
        <v>0</v>
      </c>
      <c r="E48" s="3554"/>
      <c r="F48" s="3756"/>
      <c r="G48" s="3598"/>
      <c r="H48" s="3598"/>
      <c r="I48" s="3599"/>
      <c r="J48" s="3599"/>
      <c r="K48" s="3598"/>
      <c r="L48" s="3598"/>
      <c r="M48" s="3599"/>
      <c r="N48" s="3599"/>
      <c r="O48" s="3611"/>
      <c r="P48" s="3599"/>
      <c r="Q48" s="3612"/>
      <c r="R48" s="3612"/>
      <c r="S48" s="3601"/>
      <c r="T48" s="3613"/>
    </row>
    <row r="49" spans="1:20" s="3528" customFormat="1">
      <c r="A49" s="3750"/>
      <c r="B49" s="3621" t="s">
        <v>3566</v>
      </c>
      <c r="C49" s="3610" t="s">
        <v>3556</v>
      </c>
      <c r="D49" s="3616">
        <v>0</v>
      </c>
      <c r="E49" s="3554"/>
      <c r="F49" s="3756"/>
      <c r="G49" s="3598"/>
      <c r="H49" s="3598"/>
      <c r="I49" s="3599"/>
      <c r="J49" s="3599"/>
      <c r="K49" s="3598"/>
      <c r="L49" s="3598"/>
      <c r="M49" s="3599"/>
      <c r="N49" s="3599"/>
      <c r="O49" s="3611"/>
      <c r="P49" s="3599"/>
      <c r="Q49" s="3612"/>
      <c r="R49" s="3612"/>
      <c r="S49" s="3601"/>
      <c r="T49" s="3613"/>
    </row>
    <row r="50" spans="1:20" s="3528" customFormat="1">
      <c r="A50" s="3751"/>
      <c r="B50" s="3622" t="s">
        <v>3563</v>
      </c>
      <c r="C50" s="3610" t="s">
        <v>3556</v>
      </c>
      <c r="D50" s="3620">
        <f>SUM(D48:D49)</f>
        <v>0</v>
      </c>
      <c r="E50" s="3554"/>
      <c r="F50" s="3756"/>
      <c r="G50" s="3598"/>
      <c r="H50" s="3598"/>
      <c r="I50" s="3599"/>
      <c r="J50" s="3599"/>
      <c r="K50" s="3598"/>
      <c r="L50" s="3598"/>
      <c r="M50" s="3599"/>
      <c r="N50" s="3599"/>
      <c r="O50" s="3611"/>
      <c r="P50" s="3599"/>
      <c r="Q50" s="3612"/>
      <c r="R50" s="3612"/>
      <c r="S50" s="3601"/>
      <c r="T50" s="3613"/>
    </row>
    <row r="51" spans="1:20" s="3528" customFormat="1">
      <c r="A51" s="3534">
        <v>7</v>
      </c>
      <c r="B51" s="3623" t="s">
        <v>3567</v>
      </c>
      <c r="C51" s="3610" t="s">
        <v>3556</v>
      </c>
      <c r="D51" s="3616">
        <v>0</v>
      </c>
      <c r="E51" s="3624">
        <v>2</v>
      </c>
      <c r="F51" s="3756"/>
      <c r="G51" s="3598"/>
      <c r="H51" s="3598"/>
      <c r="I51" s="3599"/>
      <c r="J51" s="3599"/>
      <c r="K51" s="3598"/>
      <c r="L51" s="3598"/>
      <c r="M51" s="3599"/>
      <c r="N51" s="3599"/>
      <c r="O51" s="3611"/>
      <c r="P51" s="3599"/>
      <c r="Q51" s="3612"/>
      <c r="R51" s="3612"/>
      <c r="S51" s="3601"/>
      <c r="T51" s="3601"/>
    </row>
    <row r="52" spans="1:20" s="3528" customFormat="1">
      <c r="A52" s="3540">
        <v>8</v>
      </c>
      <c r="B52" s="3625" t="s">
        <v>3568</v>
      </c>
      <c r="C52" s="3626" t="s">
        <v>3519</v>
      </c>
      <c r="D52" s="3627">
        <f>SUM(D53:D65)</f>
        <v>56349</v>
      </c>
      <c r="E52" s="3624">
        <v>38</v>
      </c>
      <c r="F52" s="3628"/>
      <c r="G52" s="3598"/>
      <c r="H52" s="3598"/>
      <c r="I52" s="3599"/>
      <c r="J52" s="3599"/>
      <c r="K52" s="3598"/>
      <c r="L52" s="3598"/>
      <c r="M52" s="3599"/>
      <c r="N52" s="3599"/>
      <c r="O52" s="3611"/>
      <c r="P52" s="3599"/>
      <c r="Q52" s="3612"/>
      <c r="R52" s="3612"/>
      <c r="S52" s="3601"/>
      <c r="T52" s="3601"/>
    </row>
    <row r="53" spans="1:20" s="3528" customFormat="1">
      <c r="A53" s="3749" t="s">
        <v>3569</v>
      </c>
      <c r="B53" s="3629" t="s">
        <v>3570</v>
      </c>
      <c r="C53" s="3610" t="s">
        <v>3519</v>
      </c>
      <c r="D53" s="3571">
        <v>15665</v>
      </c>
      <c r="E53" s="3630"/>
      <c r="F53" s="3631"/>
      <c r="G53" s="3598"/>
      <c r="H53" s="3598"/>
      <c r="I53" s="3599"/>
      <c r="J53" s="3599"/>
      <c r="L53" s="3598"/>
      <c r="M53" s="3599"/>
      <c r="N53" s="3599"/>
      <c r="O53" s="3611"/>
      <c r="P53" s="3599"/>
      <c r="Q53" s="3612"/>
      <c r="R53" s="3612"/>
      <c r="S53" s="3601"/>
      <c r="T53" s="3601"/>
    </row>
    <row r="54" spans="1:20" s="3528" customFormat="1">
      <c r="A54" s="3750"/>
      <c r="B54" s="3629" t="s">
        <v>3571</v>
      </c>
      <c r="C54" s="3610" t="s">
        <v>3519</v>
      </c>
      <c r="D54" s="3571">
        <v>40684</v>
      </c>
      <c r="E54" s="3632"/>
      <c r="F54" s="3631"/>
      <c r="G54" s="3598"/>
      <c r="H54" s="3598"/>
      <c r="I54" s="3599"/>
      <c r="J54" s="3599"/>
      <c r="L54" s="3598"/>
      <c r="M54" s="3599"/>
      <c r="N54" s="3599"/>
      <c r="O54" s="3611"/>
      <c r="P54" s="3599"/>
      <c r="Q54" s="3612"/>
      <c r="R54" s="3612"/>
      <c r="S54" s="3601"/>
      <c r="T54" s="3601"/>
    </row>
    <row r="55" spans="1:20" s="3528" customFormat="1">
      <c r="A55" s="3750"/>
      <c r="B55" s="3629" t="s">
        <v>3535</v>
      </c>
      <c r="C55" s="3610" t="s">
        <v>3519</v>
      </c>
      <c r="D55" s="3571">
        <f>D42*$E$52</f>
        <v>0</v>
      </c>
      <c r="E55" s="3632"/>
      <c r="F55" s="3631"/>
      <c r="G55" s="3598"/>
      <c r="H55" s="3598"/>
      <c r="I55" s="3599"/>
      <c r="J55" s="3599"/>
      <c r="L55" s="3598"/>
      <c r="M55" s="3599"/>
      <c r="N55" s="3599"/>
      <c r="O55" s="3611"/>
      <c r="P55" s="3599"/>
      <c r="Q55" s="3612"/>
      <c r="R55" s="3612"/>
      <c r="S55" s="3601"/>
      <c r="T55" s="3601"/>
    </row>
    <row r="56" spans="1:20" s="3528" customFormat="1">
      <c r="A56" s="3750"/>
      <c r="B56" s="3629" t="str">
        <f t="shared" ref="B56:B59" si="1">B16</f>
        <v>其它</v>
      </c>
      <c r="C56" s="3610" t="s">
        <v>3519</v>
      </c>
      <c r="D56" s="3571">
        <f t="shared" ref="D56:D59" si="2">D43*$E$52</f>
        <v>0</v>
      </c>
      <c r="E56" s="3632"/>
      <c r="F56" s="3631"/>
      <c r="G56" s="3598"/>
      <c r="H56" s="3598"/>
      <c r="I56" s="3599"/>
      <c r="J56" s="3599"/>
      <c r="L56" s="3598"/>
      <c r="M56" s="3599"/>
      <c r="N56" s="3599"/>
      <c r="O56" s="3611"/>
      <c r="P56" s="3599"/>
      <c r="Q56" s="3612"/>
      <c r="R56" s="3612"/>
      <c r="S56" s="3601"/>
      <c r="T56" s="3601"/>
    </row>
    <row r="57" spans="1:20" s="3528" customFormat="1">
      <c r="A57" s="3750"/>
      <c r="B57" s="3629" t="str">
        <f t="shared" si="1"/>
        <v>其它</v>
      </c>
      <c r="C57" s="3610" t="s">
        <v>3519</v>
      </c>
      <c r="D57" s="3571">
        <f t="shared" si="2"/>
        <v>0</v>
      </c>
      <c r="E57" s="3632"/>
      <c r="F57" s="3631"/>
      <c r="G57" s="3598"/>
      <c r="H57" s="3598"/>
      <c r="I57" s="3599"/>
      <c r="J57" s="3599"/>
      <c r="L57" s="3598"/>
      <c r="M57" s="3599"/>
      <c r="N57" s="3599"/>
      <c r="O57" s="3611"/>
      <c r="P57" s="3599"/>
      <c r="Q57" s="3612"/>
      <c r="R57" s="3612"/>
      <c r="S57" s="3601"/>
      <c r="T57" s="3601"/>
    </row>
    <row r="58" spans="1:20" s="3528" customFormat="1">
      <c r="A58" s="3750"/>
      <c r="B58" s="3629" t="str">
        <f t="shared" si="1"/>
        <v>其它</v>
      </c>
      <c r="C58" s="3610" t="s">
        <v>3519</v>
      </c>
      <c r="D58" s="3571">
        <f t="shared" si="2"/>
        <v>0</v>
      </c>
      <c r="E58" s="3632"/>
      <c r="F58" s="3631"/>
      <c r="G58" s="3598"/>
      <c r="H58" s="3598"/>
      <c r="I58" s="3599"/>
      <c r="J58" s="3599"/>
      <c r="L58" s="3598"/>
      <c r="M58" s="3599"/>
      <c r="N58" s="3599"/>
      <c r="O58" s="3611"/>
      <c r="P58" s="3599"/>
      <c r="Q58" s="3612"/>
      <c r="R58" s="3612"/>
      <c r="S58" s="3601"/>
      <c r="T58" s="3601"/>
    </row>
    <row r="59" spans="1:20" s="3528" customFormat="1">
      <c r="A59" s="3750"/>
      <c r="B59" s="3629" t="str">
        <f t="shared" si="1"/>
        <v>其它</v>
      </c>
      <c r="C59" s="3610" t="s">
        <v>3519</v>
      </c>
      <c r="D59" s="3571">
        <f t="shared" si="2"/>
        <v>0</v>
      </c>
      <c r="E59" s="3632"/>
      <c r="F59" s="3631"/>
      <c r="G59" s="3598"/>
      <c r="H59" s="3598"/>
      <c r="I59" s="3599"/>
      <c r="J59" s="3599"/>
      <c r="L59" s="3598"/>
      <c r="M59" s="3599"/>
      <c r="N59" s="3599"/>
      <c r="O59" s="3611"/>
      <c r="P59" s="3599"/>
      <c r="Q59" s="3612"/>
      <c r="R59" s="3612"/>
      <c r="S59" s="3601"/>
      <c r="T59" s="3601"/>
    </row>
    <row r="60" spans="1:20" s="3528" customFormat="1" ht="24">
      <c r="A60" s="3751"/>
      <c r="B60" s="3629" t="s">
        <v>3572</v>
      </c>
      <c r="C60" s="3610" t="s">
        <v>3519</v>
      </c>
      <c r="D60" s="3571">
        <f>D51*$E$51</f>
        <v>0</v>
      </c>
      <c r="E60" s="3632" t="s">
        <v>3573</v>
      </c>
      <c r="F60" s="3631"/>
      <c r="G60" s="3598"/>
      <c r="H60" s="3598"/>
      <c r="I60" s="3599"/>
      <c r="J60" s="3599"/>
      <c r="L60" s="3598"/>
      <c r="M60" s="3599"/>
      <c r="N60" s="3599"/>
      <c r="O60" s="3611"/>
      <c r="P60" s="3599"/>
      <c r="Q60" s="3612"/>
      <c r="R60" s="3612"/>
      <c r="S60" s="3601"/>
      <c r="T60" s="3601"/>
    </row>
    <row r="61" spans="1:20" s="3528" customFormat="1">
      <c r="A61" s="3749" t="s">
        <v>3574</v>
      </c>
      <c r="B61" s="3633" t="s">
        <v>3575</v>
      </c>
      <c r="C61" s="3610" t="s">
        <v>3519</v>
      </c>
      <c r="D61" s="3571">
        <v>0</v>
      </c>
      <c r="E61" s="3634" t="s">
        <v>3576</v>
      </c>
      <c r="F61" s="3631"/>
      <c r="G61" s="3598"/>
      <c r="H61" s="3598"/>
      <c r="I61" s="3599"/>
      <c r="J61" s="3599"/>
      <c r="L61" s="3598"/>
      <c r="M61" s="3599"/>
      <c r="N61" s="3599"/>
      <c r="O61" s="3611"/>
      <c r="P61" s="3599"/>
      <c r="Q61" s="3612"/>
      <c r="R61" s="3612"/>
      <c r="S61" s="3601"/>
      <c r="T61" s="3601"/>
    </row>
    <row r="62" spans="1:20" s="3528" customFormat="1">
      <c r="A62" s="3751"/>
      <c r="B62" s="3621" t="s">
        <v>3577</v>
      </c>
      <c r="C62" s="3610" t="s">
        <v>3519</v>
      </c>
      <c r="D62" s="3571">
        <v>0</v>
      </c>
      <c r="E62" s="3538"/>
      <c r="F62" s="3635"/>
      <c r="G62" s="3598"/>
      <c r="H62" s="3598"/>
      <c r="I62" s="3599"/>
      <c r="J62" s="3599"/>
      <c r="K62" s="3598"/>
      <c r="L62" s="3598"/>
      <c r="M62" s="3599"/>
      <c r="N62" s="3599"/>
      <c r="O62" s="3611"/>
      <c r="P62" s="3599"/>
      <c r="Q62" s="3612"/>
      <c r="R62" s="3612"/>
      <c r="S62" s="3601"/>
      <c r="T62" s="3601"/>
    </row>
    <row r="63" spans="1:20" s="3528" customFormat="1">
      <c r="A63" s="3750" t="s">
        <v>3578</v>
      </c>
      <c r="B63" s="3577" t="s">
        <v>3579</v>
      </c>
      <c r="C63" s="3568" t="s">
        <v>3519</v>
      </c>
      <c r="D63" s="3571">
        <v>0</v>
      </c>
      <c r="E63" s="3538" t="s">
        <v>3580</v>
      </c>
      <c r="F63" s="3635"/>
      <c r="G63" s="3598"/>
      <c r="H63" s="3598"/>
      <c r="I63" s="3599"/>
      <c r="J63" s="3599"/>
      <c r="K63" s="3598"/>
      <c r="L63" s="3598"/>
      <c r="M63" s="3599"/>
      <c r="N63" s="3599"/>
      <c r="O63" s="3611"/>
      <c r="P63" s="3599"/>
      <c r="Q63" s="3612"/>
      <c r="R63" s="3612"/>
      <c r="S63" s="3601"/>
      <c r="T63" s="3601"/>
    </row>
    <row r="64" spans="1:20" s="3528" customFormat="1">
      <c r="A64" s="3750"/>
      <c r="B64" s="3577" t="s">
        <v>3550</v>
      </c>
      <c r="C64" s="3568" t="s">
        <v>3519</v>
      </c>
      <c r="D64" s="3571">
        <v>0</v>
      </c>
      <c r="E64" s="3538" t="s">
        <v>3581</v>
      </c>
      <c r="F64" s="3635"/>
      <c r="G64" s="3598"/>
      <c r="H64" s="3598"/>
      <c r="I64" s="3599"/>
      <c r="J64" s="3599"/>
      <c r="K64" s="3598"/>
      <c r="L64" s="3598"/>
      <c r="M64" s="3599"/>
      <c r="N64" s="3599"/>
      <c r="O64" s="3611"/>
      <c r="P64" s="3599"/>
      <c r="Q64" s="3612"/>
      <c r="R64" s="3612"/>
      <c r="S64" s="3601"/>
      <c r="T64" s="3601"/>
    </row>
    <row r="65" spans="1:20" s="3528" customFormat="1">
      <c r="A65" s="3751"/>
      <c r="B65" s="3577" t="s">
        <v>3550</v>
      </c>
      <c r="C65" s="3568" t="s">
        <v>3519</v>
      </c>
      <c r="D65" s="3571">
        <v>0</v>
      </c>
      <c r="E65" s="3538" t="s">
        <v>3582</v>
      </c>
      <c r="F65" s="3636"/>
      <c r="G65" s="3598"/>
      <c r="H65" s="3598"/>
      <c r="I65" s="3599"/>
      <c r="J65" s="3599"/>
      <c r="K65" s="3598"/>
      <c r="L65" s="3598"/>
      <c r="M65" s="3599"/>
      <c r="N65" s="3599"/>
      <c r="O65" s="3611"/>
      <c r="P65" s="3599"/>
      <c r="Q65" s="3612"/>
      <c r="R65" s="3612"/>
      <c r="S65" s="3601"/>
      <c r="T65" s="3601"/>
    </row>
    <row r="66" spans="1:20" s="3528" customFormat="1">
      <c r="A66" s="3530">
        <v>9</v>
      </c>
      <c r="B66" s="3637" t="s">
        <v>3583</v>
      </c>
      <c r="C66" s="3530" t="s">
        <v>3519</v>
      </c>
      <c r="D66" s="3638">
        <f>D8+D52</f>
        <v>252162</v>
      </c>
      <c r="E66" s="3536"/>
      <c r="F66" s="3636"/>
      <c r="G66" s="3599"/>
      <c r="H66" s="3598"/>
      <c r="I66" s="3598"/>
      <c r="J66" s="3599"/>
      <c r="K66" s="3599"/>
      <c r="L66" s="3599"/>
      <c r="M66" s="3599"/>
      <c r="N66" s="3599"/>
      <c r="O66" s="3611"/>
      <c r="P66" s="3599"/>
      <c r="Q66" s="3612"/>
      <c r="R66" s="3612"/>
      <c r="S66" s="3601"/>
      <c r="T66" s="3601"/>
    </row>
    <row r="67" spans="1:20" s="3528" customFormat="1">
      <c r="A67" s="3639"/>
      <c r="C67" s="3527"/>
      <c r="D67" s="3527"/>
      <c r="E67" s="3527"/>
      <c r="F67" s="3640"/>
      <c r="G67" s="3752"/>
      <c r="H67" s="3752"/>
      <c r="I67" s="3752"/>
      <c r="J67" s="3599"/>
      <c r="K67" s="3752"/>
      <c r="L67" s="3599"/>
      <c r="M67" s="3599"/>
      <c r="N67" s="3599"/>
      <c r="O67" s="3611"/>
      <c r="P67" s="3599"/>
      <c r="Q67" s="3641"/>
      <c r="R67" s="3612"/>
      <c r="S67" s="3601"/>
      <c r="T67" s="3601"/>
    </row>
    <row r="68" spans="1:20" s="3528" customFormat="1">
      <c r="A68" s="3639"/>
      <c r="B68" s="3527"/>
      <c r="C68" s="3527"/>
      <c r="D68" s="3527"/>
      <c r="E68" s="3527"/>
      <c r="F68" s="3642"/>
      <c r="G68" s="3752"/>
      <c r="H68" s="3752"/>
      <c r="I68" s="3752"/>
      <c r="J68" s="3599"/>
      <c r="K68" s="3752"/>
      <c r="L68" s="3599"/>
      <c r="M68" s="3599"/>
      <c r="N68" s="3599"/>
      <c r="O68" s="3611"/>
      <c r="P68" s="3599"/>
      <c r="Q68" s="3641"/>
      <c r="R68" s="3612"/>
      <c r="S68" s="3601"/>
      <c r="T68" s="3601"/>
    </row>
    <row r="69" spans="1:20" s="3528" customFormat="1">
      <c r="A69" s="3639"/>
      <c r="B69" s="3527"/>
      <c r="C69" s="3527"/>
      <c r="D69" s="3527"/>
      <c r="E69" s="3527"/>
      <c r="F69" s="3643"/>
      <c r="G69" s="3752"/>
      <c r="H69" s="3752"/>
      <c r="I69" s="3752"/>
      <c r="J69" s="3599"/>
      <c r="K69" s="3752"/>
      <c r="L69" s="3599"/>
      <c r="M69" s="3599"/>
      <c r="N69" s="3599"/>
      <c r="O69" s="3611"/>
      <c r="P69" s="3599"/>
      <c r="Q69" s="3641"/>
      <c r="R69" s="3612"/>
      <c r="S69" s="3601"/>
      <c r="T69" s="3601"/>
    </row>
    <row r="70" spans="1:20" s="3528" customFormat="1">
      <c r="A70" s="3639"/>
      <c r="B70" s="3527"/>
      <c r="C70" s="3527"/>
      <c r="D70" s="3527"/>
      <c r="E70" s="3527"/>
      <c r="F70" s="3527"/>
      <c r="G70" s="3601"/>
      <c r="H70" s="3601"/>
      <c r="I70" s="3601"/>
      <c r="J70" s="3601"/>
      <c r="K70" s="3601"/>
      <c r="L70" s="3601"/>
      <c r="M70" s="3601"/>
      <c r="N70" s="3601"/>
      <c r="O70" s="3601"/>
      <c r="P70" s="3601"/>
      <c r="Q70" s="3644"/>
      <c r="R70" s="3644"/>
      <c r="S70" s="3601"/>
      <c r="T70" s="3601"/>
    </row>
    <row r="71" spans="1:20" s="3528" customFormat="1">
      <c r="A71" s="3639"/>
      <c r="B71" s="3527"/>
      <c r="C71" s="3527"/>
      <c r="D71" s="3527"/>
      <c r="E71" s="3527"/>
      <c r="F71" s="3527"/>
      <c r="H71" s="3527"/>
      <c r="I71" s="3527"/>
      <c r="J71" s="3527"/>
      <c r="K71" s="3527"/>
      <c r="L71" s="3527"/>
      <c r="M71" s="3527"/>
      <c r="N71" s="3527"/>
      <c r="O71" s="3527"/>
      <c r="P71" s="3527"/>
      <c r="Q71" s="3527"/>
      <c r="R71" s="3527"/>
      <c r="S71" s="3527"/>
      <c r="T71" s="3527"/>
    </row>
    <row r="72" spans="1:20" s="3528" customFormat="1" ht="21">
      <c r="A72" s="3645"/>
      <c r="B72" s="3527"/>
      <c r="C72" s="3527"/>
      <c r="D72" s="3527"/>
      <c r="E72" s="3527"/>
      <c r="F72" s="3527"/>
      <c r="G72" s="3646"/>
      <c r="H72" s="3646"/>
      <c r="I72" s="3646"/>
      <c r="J72" s="3646"/>
      <c r="K72" s="3527"/>
      <c r="L72" s="3527"/>
      <c r="M72" s="3527"/>
      <c r="N72" s="3527"/>
      <c r="O72" s="3527"/>
      <c r="P72" s="3527"/>
      <c r="Q72" s="3527"/>
      <c r="R72" s="3527"/>
      <c r="S72" s="3527"/>
      <c r="T72" s="3527"/>
    </row>
    <row r="73" spans="1:20" s="3528" customFormat="1" ht="21">
      <c r="A73" s="3645"/>
      <c r="B73" s="3645"/>
      <c r="C73" s="3527"/>
      <c r="D73" s="3527"/>
      <c r="E73" s="3527"/>
      <c r="F73" s="3527"/>
      <c r="G73" s="3646"/>
      <c r="H73" s="3646"/>
      <c r="I73" s="3646"/>
      <c r="J73" s="3646"/>
      <c r="K73" s="3527"/>
      <c r="L73" s="3527"/>
      <c r="M73" s="3527"/>
      <c r="N73" s="3527"/>
      <c r="O73" s="3527"/>
      <c r="P73" s="3527"/>
      <c r="Q73" s="3527"/>
      <c r="R73" s="3527"/>
      <c r="S73" s="3527"/>
      <c r="T73" s="3527"/>
    </row>
    <row r="74" spans="1:20" s="3528" customFormat="1" ht="21">
      <c r="A74" s="3647"/>
      <c r="B74" s="3648"/>
      <c r="C74" s="3527"/>
      <c r="D74" s="3527"/>
      <c r="E74" s="3527"/>
      <c r="F74" s="3527"/>
      <c r="G74" s="3646"/>
      <c r="H74" s="3646"/>
      <c r="I74" s="3646"/>
      <c r="J74" s="3646"/>
      <c r="K74" s="3527"/>
      <c r="L74" s="3527"/>
      <c r="M74" s="3527"/>
      <c r="N74" s="3527"/>
      <c r="O74" s="3527"/>
      <c r="P74" s="3527"/>
      <c r="Q74" s="3527"/>
      <c r="R74" s="3527"/>
      <c r="S74" s="3527"/>
      <c r="T74" s="3527"/>
    </row>
    <row r="75" spans="1:20" s="3528" customFormat="1" ht="21">
      <c r="A75" s="3647"/>
      <c r="B75" s="3649"/>
      <c r="C75" s="3527"/>
      <c r="D75" s="3527"/>
      <c r="E75" s="3527"/>
      <c r="F75" s="3527"/>
      <c r="G75" s="3646"/>
      <c r="H75" s="3646"/>
      <c r="I75" s="3646"/>
      <c r="J75" s="3646"/>
      <c r="K75" s="3527"/>
      <c r="L75" s="3527"/>
      <c r="M75" s="3527"/>
      <c r="N75" s="3527"/>
      <c r="O75" s="3527"/>
      <c r="P75" s="3527"/>
      <c r="Q75" s="3527"/>
      <c r="R75" s="3527"/>
      <c r="S75" s="3527"/>
      <c r="T75" s="3527"/>
    </row>
    <row r="76" spans="1:20" s="3528" customFormat="1" ht="21">
      <c r="A76" s="3647"/>
      <c r="B76" s="3645"/>
      <c r="C76" s="3527"/>
      <c r="D76" s="3527"/>
      <c r="E76" s="3527"/>
      <c r="F76" s="3527"/>
      <c r="G76" s="3646"/>
      <c r="H76" s="3646"/>
      <c r="I76" s="3646"/>
      <c r="J76" s="3646"/>
      <c r="K76" s="3527"/>
      <c r="L76" s="3527"/>
      <c r="M76" s="3527"/>
      <c r="N76" s="3527"/>
      <c r="O76" s="3527"/>
      <c r="P76" s="3527"/>
      <c r="Q76" s="3527"/>
      <c r="R76" s="3527"/>
      <c r="S76" s="3527"/>
      <c r="T76" s="3527"/>
    </row>
    <row r="77" spans="1:20" s="3528" customFormat="1" ht="21">
      <c r="A77" s="3647"/>
      <c r="B77" s="3649"/>
      <c r="C77" s="3527"/>
      <c r="D77" s="3527"/>
      <c r="E77" s="3527"/>
      <c r="F77" s="3527"/>
      <c r="G77" s="3646"/>
      <c r="H77" s="3646"/>
      <c r="I77" s="3646"/>
      <c r="J77" s="3646"/>
      <c r="K77" s="3527"/>
      <c r="L77" s="3527"/>
      <c r="M77" s="3527"/>
      <c r="N77" s="3527"/>
      <c r="O77" s="3527"/>
      <c r="P77" s="3527"/>
      <c r="Q77" s="3527"/>
      <c r="R77" s="3527"/>
      <c r="S77" s="3527"/>
      <c r="T77" s="3527"/>
    </row>
    <row r="78" spans="1:20" s="3528" customFormat="1" ht="21">
      <c r="A78" s="3647"/>
      <c r="B78" s="3527"/>
      <c r="C78" s="3527"/>
      <c r="D78" s="3527"/>
      <c r="E78" s="3527"/>
      <c r="F78" s="3527"/>
      <c r="G78" s="3646"/>
      <c r="H78" s="3646"/>
      <c r="I78" s="3646"/>
      <c r="J78" s="3646"/>
      <c r="K78" s="3527"/>
      <c r="L78" s="3527"/>
      <c r="M78" s="3527"/>
      <c r="N78" s="3527"/>
      <c r="O78" s="3527"/>
      <c r="P78" s="3527"/>
      <c r="Q78" s="3527"/>
      <c r="R78" s="3527"/>
      <c r="S78" s="3527"/>
      <c r="T78" s="3527"/>
    </row>
    <row r="79" spans="1:20" s="3528" customFormat="1" ht="21">
      <c r="A79" s="3647"/>
      <c r="B79" s="3527"/>
      <c r="C79" s="3527"/>
      <c r="D79" s="3527"/>
      <c r="E79" s="3527"/>
      <c r="F79" s="3527"/>
      <c r="G79" s="3646"/>
      <c r="H79" s="3646"/>
      <c r="I79" s="3646"/>
      <c r="J79" s="3646"/>
      <c r="K79" s="3527"/>
      <c r="L79" s="3527"/>
      <c r="M79" s="3527"/>
      <c r="N79" s="3527"/>
      <c r="O79" s="3527"/>
      <c r="P79" s="3527"/>
      <c r="Q79" s="3527"/>
      <c r="R79" s="3527"/>
      <c r="S79" s="3527"/>
      <c r="T79" s="3527"/>
    </row>
    <row r="80" spans="1:20" s="3528" customFormat="1" ht="21">
      <c r="A80" s="3647"/>
      <c r="B80" s="3527"/>
      <c r="C80" s="3527"/>
      <c r="D80" s="3527"/>
      <c r="E80" s="3527"/>
      <c r="F80" s="3527"/>
      <c r="G80" s="3646"/>
      <c r="H80" s="3646"/>
      <c r="I80" s="3646"/>
      <c r="J80" s="3646"/>
      <c r="K80" s="3527"/>
      <c r="L80" s="3527"/>
      <c r="M80" s="3527"/>
      <c r="N80" s="3527"/>
      <c r="O80" s="3527"/>
      <c r="P80" s="3527"/>
      <c r="Q80" s="3527"/>
      <c r="R80" s="3527"/>
      <c r="S80" s="3527"/>
      <c r="T80" s="3527"/>
    </row>
    <row r="81" spans="1:10" s="3528" customFormat="1" ht="21">
      <c r="A81" s="3647"/>
      <c r="B81" s="3527"/>
      <c r="C81" s="3527"/>
      <c r="D81" s="3527"/>
      <c r="E81" s="3527"/>
      <c r="F81" s="3527"/>
      <c r="G81" s="3646"/>
      <c r="H81" s="3646"/>
      <c r="I81" s="3646"/>
      <c r="J81" s="3646"/>
    </row>
    <row r="82" spans="1:10" s="3528" customFormat="1" ht="21">
      <c r="A82" s="3647"/>
      <c r="B82" s="3527"/>
      <c r="C82" s="3527"/>
      <c r="D82" s="3527"/>
      <c r="E82" s="3527"/>
      <c r="F82" s="3527"/>
      <c r="G82" s="3646"/>
      <c r="H82" s="3646"/>
      <c r="I82" s="3646"/>
      <c r="J82" s="3646"/>
    </row>
    <row r="83" spans="1:10" s="3528" customFormat="1" ht="21">
      <c r="A83" s="3647"/>
      <c r="B83" s="3527"/>
      <c r="C83" s="3527"/>
      <c r="D83" s="3527"/>
      <c r="E83" s="3527"/>
      <c r="F83" s="3527"/>
      <c r="G83" s="3646"/>
      <c r="H83" s="3646"/>
      <c r="I83" s="3646"/>
      <c r="J83" s="3646"/>
    </row>
    <row r="84" spans="1:10" s="3528" customFormat="1" ht="21">
      <c r="A84" s="3647"/>
      <c r="B84" s="3527"/>
      <c r="C84" s="3527"/>
      <c r="D84" s="3527"/>
      <c r="E84" s="3527"/>
      <c r="F84" s="3527"/>
      <c r="G84" s="3646"/>
      <c r="H84" s="3646"/>
      <c r="I84" s="3646"/>
      <c r="J84" s="3646"/>
    </row>
    <row r="85" spans="1:10" s="3528" customFormat="1" ht="21">
      <c r="A85" s="3647"/>
      <c r="B85" s="3527"/>
      <c r="C85" s="3527"/>
      <c r="D85" s="3527"/>
      <c r="E85" s="3527"/>
      <c r="F85" s="3527"/>
      <c r="G85" s="3646"/>
      <c r="H85" s="3646"/>
      <c r="I85" s="3646"/>
      <c r="J85" s="3646"/>
    </row>
    <row r="86" spans="1:10" s="3528" customFormat="1" ht="21">
      <c r="A86" s="3647"/>
      <c r="B86" s="3527"/>
      <c r="C86" s="3527"/>
      <c r="D86" s="3527"/>
      <c r="E86" s="3527"/>
      <c r="F86" s="3527"/>
      <c r="G86" s="3646"/>
      <c r="H86" s="3646"/>
      <c r="I86" s="3646"/>
      <c r="J86" s="3646"/>
    </row>
  </sheetData>
  <mergeCells count="32">
    <mergeCell ref="O19:O20"/>
    <mergeCell ref="A1:C1"/>
    <mergeCell ref="D1:E1"/>
    <mergeCell ref="F11:F12"/>
    <mergeCell ref="J12:J15"/>
    <mergeCell ref="K12:K15"/>
    <mergeCell ref="A13:A19"/>
    <mergeCell ref="E13:E14"/>
    <mergeCell ref="G19:G20"/>
    <mergeCell ref="H19:H20"/>
    <mergeCell ref="I19:I20"/>
    <mergeCell ref="K67:K69"/>
    <mergeCell ref="H68:I68"/>
    <mergeCell ref="H69:I69"/>
    <mergeCell ref="P19:P20"/>
    <mergeCell ref="A20:A22"/>
    <mergeCell ref="G21:G25"/>
    <mergeCell ref="N22:N27"/>
    <mergeCell ref="A23:A30"/>
    <mergeCell ref="F38:F51"/>
    <mergeCell ref="A40:A47"/>
    <mergeCell ref="A48:A50"/>
    <mergeCell ref="J19:J20"/>
    <mergeCell ref="K19:K20"/>
    <mergeCell ref="L19:L20"/>
    <mergeCell ref="M19:M20"/>
    <mergeCell ref="N19:N20"/>
    <mergeCell ref="A53:A60"/>
    <mergeCell ref="A61:A62"/>
    <mergeCell ref="A63:A65"/>
    <mergeCell ref="G67:G69"/>
    <mergeCell ref="H67:I67"/>
  </mergeCells>
  <phoneticPr fontId="134" type="noConversion"/>
  <dataValidations count="8">
    <dataValidation type="list" allowBlank="1" showInputMessage="1" showErrorMessage="1" sqref="B13:B19 B42:B46">
      <formula1>"高层,小高层,洋房,公寓,LOFT公寓,限价房,合院,叠拼,联排别墅,独栋别墅,商墅（商办）,底商（可售）,商业街（可售）,集中式商业（可售）,办公（可售）,独栋办公（可售）,其它"</formula1>
    </dataValidation>
    <dataValidation type="list" allowBlank="1" showInputMessage="1" showErrorMessage="1" sqref="B40">
      <formula1>"人防地下车位,高层,小高层,洋房,公寓,LOFT公寓,限价房,合院,叠拼,联排别墅,独栋别墅,商墅（商办）,底商（可售）,商业街（可售）,集中式商业（可售）,办公（可售）,独栋办公（可售）,其它"</formula1>
    </dataValidation>
    <dataValidation type="list" allowBlank="1" showInputMessage="1" showErrorMessage="1" sqref="B24:B30">
      <formula1>"服务站,物业管理用房,居委会,老年康体中心,文化活动室,门卫,变电站,开闭所,农贸市场,其它"</formula1>
    </dataValidation>
    <dataValidation type="list" allowBlank="1" showInputMessage="1" showErrorMessage="1" sqref="B23">
      <formula1>"社区服务用房,社区行政、医疗设施,社区管理用房,社区服务站、物业管理用房,居委会,老年康体中心,文化活动室,门卫,变电站,开闭所,农贸市场,其它"</formula1>
    </dataValidation>
    <dataValidation type="list" allowBlank="1" showInputMessage="1" showErrorMessage="1" sqref="B41">
      <formula1>"非人防地下车位,高层,小高层,洋房,公寓,LOFT公寓,限价房,合院,叠拼,联排别墅,独栋别墅,商墅（商办）,底商（可售）,商业街（可售）,集中式商业（可售）,办公（可售）,独栋办公（可售）,其它"</formula1>
    </dataValidation>
    <dataValidation type="list" allowBlank="1" showInputMessage="1" showErrorMessage="1" sqref="B32:B37 B63:B65">
      <formula1>"代建道路,公共停车场,公共配套设施,开闭所,变电站,其它"</formula1>
    </dataValidation>
    <dataValidation type="list" allowBlank="1" showInputMessage="1" showErrorMessage="1" sqref="B21">
      <formula1>"保障房,幼儿园,会所,社区配套,中小学"</formula1>
    </dataValidation>
    <dataValidation type="list" allowBlank="1" showInputMessage="1" showErrorMessage="1" sqref="B20 B22">
      <formula1>"保障房,幼儿园,会所,社区配套"</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项目情况!B5</f>
        <v>77167.61</v>
      </c>
      <c r="B3" s="11">
        <f>IF(C3="否",G5-AT5,G5)</f>
        <v>232346.00999999995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248721.25999999995</v>
      </c>
      <c r="H5" s="13">
        <f t="shared" ref="H5:AT5" si="0">SUM(H13:H656)</f>
        <v>210201.86</v>
      </c>
      <c r="I5" s="13">
        <f t="shared" si="0"/>
        <v>1558.08</v>
      </c>
      <c r="J5" s="13">
        <f t="shared" si="0"/>
        <v>0</v>
      </c>
      <c r="K5" s="13">
        <f t="shared" si="0"/>
        <v>180212.11</v>
      </c>
      <c r="L5" s="13">
        <f t="shared" si="0"/>
        <v>46412.109999999986</v>
      </c>
      <c r="M5" s="13">
        <f t="shared" si="0"/>
        <v>28431.67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22144.15</v>
      </c>
      <c r="AD5" s="13">
        <f t="shared" si="0"/>
        <v>13773.4</v>
      </c>
      <c r="AE5" s="13">
        <f t="shared" si="0"/>
        <v>0</v>
      </c>
      <c r="AF5" s="13">
        <f t="shared" si="0"/>
        <v>0</v>
      </c>
      <c r="AG5" s="13">
        <f t="shared" si="0"/>
        <v>0</v>
      </c>
      <c r="AH5" s="13">
        <f t="shared" si="0"/>
        <v>1038.02</v>
      </c>
      <c r="AI5" s="13">
        <f t="shared" si="0"/>
        <v>0</v>
      </c>
      <c r="AJ5" s="13">
        <f t="shared" si="0"/>
        <v>0</v>
      </c>
      <c r="AK5" s="13">
        <f t="shared" si="0"/>
        <v>0</v>
      </c>
      <c r="AL5" s="13">
        <f t="shared" si="0"/>
        <v>7332.7300000000014</v>
      </c>
      <c r="AM5" s="13">
        <f t="shared" si="0"/>
        <v>0</v>
      </c>
      <c r="AN5" s="13">
        <f t="shared" si="0"/>
        <v>0</v>
      </c>
      <c r="AO5" s="13">
        <f t="shared" si="0"/>
        <v>0</v>
      </c>
      <c r="AP5" s="13">
        <f t="shared" si="0"/>
        <v>0</v>
      </c>
      <c r="AQ5" s="13">
        <f t="shared" si="0"/>
        <v>0</v>
      </c>
      <c r="AR5" s="13">
        <f t="shared" si="0"/>
        <v>0</v>
      </c>
      <c r="AS5" s="13">
        <f t="shared" si="0"/>
        <v>0</v>
      </c>
      <c r="AT5" s="13">
        <f t="shared" si="0"/>
        <v>16375.25</v>
      </c>
      <c r="AU5" s="1341"/>
      <c r="AV5" s="12" t="s">
        <v>1071</v>
      </c>
      <c r="AW5" s="1342"/>
      <c r="AX5" s="1342"/>
      <c r="AY5" s="14" t="s">
        <v>2</v>
      </c>
      <c r="AZ5" s="15">
        <f t="shared" ref="AZ5:BT5" si="1">SUM(AZ13:AZ656)</f>
        <v>185933.89999999997</v>
      </c>
      <c r="BA5" s="15">
        <f t="shared" si="1"/>
        <v>163789.75</v>
      </c>
      <c r="BB5" s="15">
        <f t="shared" si="1"/>
        <v>1558.08</v>
      </c>
      <c r="BC5" s="15">
        <f t="shared" si="1"/>
        <v>133800</v>
      </c>
      <c r="BD5" s="15">
        <f t="shared" si="1"/>
        <v>28431.67</v>
      </c>
      <c r="BE5" s="15">
        <f t="shared" si="1"/>
        <v>0</v>
      </c>
      <c r="BF5" s="15">
        <f t="shared" si="1"/>
        <v>0</v>
      </c>
      <c r="BG5" s="15">
        <f t="shared" si="1"/>
        <v>0</v>
      </c>
      <c r="BH5" s="15">
        <f t="shared" si="1"/>
        <v>0</v>
      </c>
      <c r="BI5" s="15">
        <f t="shared" si="1"/>
        <v>0</v>
      </c>
      <c r="BJ5" s="15">
        <f t="shared" si="1"/>
        <v>0</v>
      </c>
      <c r="BK5" s="15">
        <f t="shared" si="1"/>
        <v>0</v>
      </c>
      <c r="BL5" s="15">
        <f t="shared" si="1"/>
        <v>22144.15</v>
      </c>
      <c r="BM5" s="15">
        <f t="shared" si="1"/>
        <v>13773.4</v>
      </c>
      <c r="BN5" s="15">
        <f t="shared" si="1"/>
        <v>0</v>
      </c>
      <c r="BO5" s="15">
        <f t="shared" si="1"/>
        <v>1038.02</v>
      </c>
      <c r="BP5" s="15">
        <f t="shared" si="1"/>
        <v>0</v>
      </c>
      <c r="BQ5" s="15">
        <f t="shared" si="1"/>
        <v>7332.7300000000014</v>
      </c>
      <c r="BR5" s="15">
        <f t="shared" si="1"/>
        <v>0</v>
      </c>
      <c r="BS5" s="15">
        <f t="shared" si="1"/>
        <v>0</v>
      </c>
      <c r="BT5" s="16">
        <f t="shared" si="1"/>
        <v>0</v>
      </c>
    </row>
    <row r="6" spans="1:72" s="1584" customFormat="1" ht="12.75">
      <c r="A6" s="12" t="s">
        <v>1072</v>
      </c>
      <c r="B6" s="1581"/>
      <c r="C6" s="1581"/>
      <c r="D6" s="1582"/>
      <c r="E6" s="13">
        <f>H6+AC6+AT6</f>
        <v>77167.61</v>
      </c>
      <c r="F6" s="13" t="s">
        <v>0</v>
      </c>
      <c r="G6" s="13" t="s">
        <v>1</v>
      </c>
      <c r="H6" s="17">
        <f>SUMIF(I$12:AB$12,"总值",I6:AB6)</f>
        <v>69813.02</v>
      </c>
      <c r="I6" s="13">
        <f t="shared" ref="I6:AB6" si="2">ROUND($A$3*I5/$B$3,2)</f>
        <v>517.48</v>
      </c>
      <c r="J6" s="13">
        <f t="shared" si="2"/>
        <v>0</v>
      </c>
      <c r="K6" s="13">
        <f t="shared" si="2"/>
        <v>59852.71</v>
      </c>
      <c r="L6" s="13">
        <f t="shared" si="2"/>
        <v>15414.56</v>
      </c>
      <c r="M6" s="13">
        <f t="shared" si="2"/>
        <v>9442.83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7354.59</v>
      </c>
      <c r="AD6" s="13">
        <f t="shared" ref="AD6:AS6" si="3">ROUND($A$3*AD5/$B$3,2)</f>
        <v>4574.47</v>
      </c>
      <c r="AE6" s="13">
        <f t="shared" si="3"/>
        <v>0</v>
      </c>
      <c r="AF6" s="13">
        <f t="shared" si="3"/>
        <v>0</v>
      </c>
      <c r="AG6" s="13">
        <f t="shared" si="3"/>
        <v>0</v>
      </c>
      <c r="AH6" s="13">
        <f t="shared" si="3"/>
        <v>344.75</v>
      </c>
      <c r="AI6" s="13">
        <f t="shared" si="3"/>
        <v>0</v>
      </c>
      <c r="AJ6" s="13">
        <f t="shared" si="3"/>
        <v>0</v>
      </c>
      <c r="AK6" s="13">
        <f t="shared" si="3"/>
        <v>0</v>
      </c>
      <c r="AL6" s="13">
        <f t="shared" si="3"/>
        <v>2435.37</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61753.05</v>
      </c>
      <c r="AZ6" s="13" t="s">
        <v>2</v>
      </c>
      <c r="BA6" s="13">
        <f>ROUND($AY$6*BA5/$AZ$5,2)</f>
        <v>54398.45</v>
      </c>
      <c r="BB6" s="13">
        <f>ROUND($AY$6*BB5/$AZ$5,2)</f>
        <v>517.48</v>
      </c>
      <c r="BC6" s="13">
        <f t="shared" ref="BC6:BH6" si="4">ROUND($AY$6*BC5/$AZ$5,2)</f>
        <v>44438.15</v>
      </c>
      <c r="BD6" s="13">
        <f t="shared" si="4"/>
        <v>9442.83</v>
      </c>
      <c r="BE6" s="13">
        <f t="shared" si="4"/>
        <v>0</v>
      </c>
      <c r="BF6" s="13">
        <f t="shared" si="4"/>
        <v>0</v>
      </c>
      <c r="BG6" s="13">
        <f t="shared" si="4"/>
        <v>0</v>
      </c>
      <c r="BH6" s="13">
        <f t="shared" si="4"/>
        <v>0</v>
      </c>
      <c r="BI6" s="13">
        <f t="shared" ref="BI6:BT6" si="5">ROUND($AY$6*BI5/$AZ$5,2)</f>
        <v>0</v>
      </c>
      <c r="BJ6" s="13">
        <f t="shared" si="5"/>
        <v>0</v>
      </c>
      <c r="BK6" s="13">
        <f t="shared" si="5"/>
        <v>0</v>
      </c>
      <c r="BL6" s="13">
        <f t="shared" si="5"/>
        <v>7354.6</v>
      </c>
      <c r="BM6" s="13">
        <f t="shared" si="5"/>
        <v>4574.47</v>
      </c>
      <c r="BN6" s="13">
        <f t="shared" si="5"/>
        <v>0</v>
      </c>
      <c r="BO6" s="13">
        <f t="shared" si="5"/>
        <v>344.75</v>
      </c>
      <c r="BP6" s="13">
        <f t="shared" si="5"/>
        <v>0</v>
      </c>
      <c r="BQ6" s="13">
        <f t="shared" si="5"/>
        <v>2435.37</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3377</v>
      </c>
      <c r="J9" s="805"/>
      <c r="K9" s="1598" t="s">
        <v>3377</v>
      </c>
      <c r="L9" s="805"/>
      <c r="M9" s="1598" t="s">
        <v>3800</v>
      </c>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3782</v>
      </c>
      <c r="L10" s="805"/>
      <c r="M10" s="1604" t="s">
        <v>3336</v>
      </c>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3798</v>
      </c>
      <c r="J11" s="1610"/>
      <c r="K11" s="1609" t="s">
        <v>3799</v>
      </c>
      <c r="L11" s="1610"/>
      <c r="M11" s="1609" t="s">
        <v>3336</v>
      </c>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住宅</v>
      </c>
      <c r="BD11" s="1594" t="str">
        <f>M10</f>
        <v>车库</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独栋</v>
      </c>
      <c r="BC12" s="1619" t="str">
        <f>K11</f>
        <v>平层住宅</v>
      </c>
      <c r="BD12" s="1619" t="str">
        <f>M11</f>
        <v>车库</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3458" t="str">
        <f>项目情况!M22</f>
        <v>高层住宅</v>
      </c>
      <c r="D13" s="1620" t="s">
        <v>3378</v>
      </c>
      <c r="E13" s="13">
        <f>IF($C$3="是",ROUND($A$3*G13/$B$3,2),ROUND($A$3*(G13-AT13)/$B$3,2))</f>
        <v>517.48</v>
      </c>
      <c r="F13" s="29"/>
      <c r="G13" s="30">
        <f>H13+AC13+AT13</f>
        <v>1558.08</v>
      </c>
      <c r="H13" s="17">
        <f>SUMIF(I$12:AB$12,"总值",I13:AB13)</f>
        <v>1558.08</v>
      </c>
      <c r="I13" s="1621">
        <f>项目情况!N25</f>
        <v>1558.08</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高层住宅</v>
      </c>
      <c r="AY13" s="1344">
        <f>ROUND($AY$6*AZ13/$AZ$5,2)</f>
        <v>517.48</v>
      </c>
      <c r="AZ13" s="13">
        <f>BA13+BL13</f>
        <v>1558.08</v>
      </c>
      <c r="BA13" s="13">
        <f>SUM(BB13:BK13)</f>
        <v>1558.08</v>
      </c>
      <c r="BB13" s="13">
        <f>IF($D13="是",I13-J13,0)</f>
        <v>1558.08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3458" t="str">
        <f>项目情况!M25</f>
        <v>商业</v>
      </c>
      <c r="D14" s="1620" t="s">
        <v>3378</v>
      </c>
      <c r="E14" s="13">
        <f>IF($C$3="是",ROUND($A$3*G14/$B$3,2),ROUND($A$3*(G14-AT14)/$B$3,2))</f>
        <v>59852.71</v>
      </c>
      <c r="F14" s="29"/>
      <c r="G14" s="30">
        <f>H14+AC14+AT14</f>
        <v>180212.11</v>
      </c>
      <c r="H14" s="17">
        <f>SUMIF(I$12:AB$12,"总值",I14:AB14)</f>
        <v>180212.11</v>
      </c>
      <c r="I14" s="1621"/>
      <c r="J14" s="1621"/>
      <c r="K14" s="1621">
        <f>项目情况!N22</f>
        <v>180212.11</v>
      </c>
      <c r="L14" s="1621">
        <f>项目情况!O22</f>
        <v>46412.109999999986</v>
      </c>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商业</v>
      </c>
      <c r="AY14" s="1344">
        <f>ROUND($AY$6*AZ14/$AZ$5,2)</f>
        <v>44438.15</v>
      </c>
      <c r="AZ14" s="13">
        <f>BA14+BL14</f>
        <v>133800</v>
      </c>
      <c r="BA14" s="13">
        <f>SUM(BB14:BK14)</f>
        <v>133800</v>
      </c>
      <c r="BB14" s="13">
        <f>IF($D14="是",I14-J14,0)</f>
        <v>0</v>
      </c>
      <c r="BC14" s="13">
        <f>IF($D14="是",K14-L14,0)</f>
        <v>133800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3458" t="str">
        <f>项目情况!M26</f>
        <v>配套</v>
      </c>
      <c r="D15" s="1620" t="s">
        <v>3378</v>
      </c>
      <c r="E15" s="13">
        <f>IF($C$3="是",ROUND($A$3*G15/$B$3,2),ROUND($A$3*(G15-AT15)/$B$3,2))</f>
        <v>4574.47</v>
      </c>
      <c r="F15" s="29"/>
      <c r="G15" s="30">
        <f>H15+AC15+AT15</f>
        <v>13773.4</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13773.4</v>
      </c>
      <c r="AD15" s="1622">
        <f>项目情况!P26</f>
        <v>13773.4</v>
      </c>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配套</v>
      </c>
      <c r="AY15" s="1344">
        <f>ROUND($AY$6*AZ15/$AZ$5,2)</f>
        <v>4574.47</v>
      </c>
      <c r="AZ15" s="13">
        <f>BA15+BL15</f>
        <v>13773.4</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13773.4</v>
      </c>
      <c r="BM15" s="13">
        <f>IF($D15="是",AD15-AE15,0)</f>
        <v>13773.4</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3458" t="str">
        <f>项目情况!M27</f>
        <v>设备</v>
      </c>
      <c r="D16" s="1620" t="s">
        <v>3378</v>
      </c>
      <c r="E16" s="13">
        <f>IF($C$3="是",ROUND($A$3*G16/$B$3,2),ROUND($A$3*(G16-AT16)/$B$3,2))</f>
        <v>2435.37</v>
      </c>
      <c r="F16" s="29"/>
      <c r="G16" s="30">
        <f>H16+AC16+AT16</f>
        <v>7332.7300000000014</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7332.7300000000014</v>
      </c>
      <c r="AD16" s="1622"/>
      <c r="AE16" s="1622"/>
      <c r="AF16" s="1622"/>
      <c r="AG16" s="1622"/>
      <c r="AH16" s="1622"/>
      <c r="AI16" s="1622"/>
      <c r="AJ16" s="1622"/>
      <c r="AK16" s="1622"/>
      <c r="AL16" s="1622">
        <f>项目情况!P27</f>
        <v>7332.7300000000014</v>
      </c>
      <c r="AM16" s="1622"/>
      <c r="AN16" s="1622"/>
      <c r="AO16" s="1622"/>
      <c r="AP16" s="1622"/>
      <c r="AQ16" s="1622"/>
      <c r="AR16" s="1622"/>
      <c r="AS16" s="1622"/>
      <c r="AT16" s="1623"/>
      <c r="AU16" s="1624"/>
      <c r="AV16" s="8">
        <f t="shared" si="6"/>
        <v>0</v>
      </c>
      <c r="AW16" s="8">
        <f t="shared" si="6"/>
        <v>0</v>
      </c>
      <c r="AX16" s="8" t="str">
        <f t="shared" si="6"/>
        <v>设备</v>
      </c>
      <c r="AY16" s="1344">
        <f>ROUND($AY$6*AZ16/$AZ$5,2)</f>
        <v>2435.37</v>
      </c>
      <c r="AZ16" s="13">
        <f>BA16+BL16</f>
        <v>7332.7300000000014</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7332.7300000000014</v>
      </c>
      <c r="BM16" s="13">
        <f>IF($D16="是",AD16-AE16,0)</f>
        <v>0</v>
      </c>
      <c r="BN16" s="13">
        <f>IF($D16="是",AF16-AG16,0)</f>
        <v>0</v>
      </c>
      <c r="BO16" s="13">
        <f>IF($D16="是",AH16-AI16,0)</f>
        <v>0</v>
      </c>
      <c r="BP16" s="13">
        <f>IF($D16="是",AJ16-AK16,0)</f>
        <v>0</v>
      </c>
      <c r="BQ16" s="13">
        <f>IF($D16="是",AL16-AM16,0)</f>
        <v>7332.7300000000014</v>
      </c>
      <c r="BR16" s="13">
        <f>IF($D16="是",AN16-AO16,0)</f>
        <v>0</v>
      </c>
      <c r="BS16" s="13">
        <f>IF($D16="是",AP16-AQ16,0)</f>
        <v>0</v>
      </c>
      <c r="BT16" s="19">
        <f>IF($D16="是",AR16-AS16,0)</f>
        <v>0</v>
      </c>
    </row>
    <row r="17" spans="1:72" s="1574" customFormat="1" ht="12.75">
      <c r="A17" s="1047"/>
      <c r="B17" s="1047"/>
      <c r="C17" s="3458" t="str">
        <f>项目情况!M28</f>
        <v>物业用房</v>
      </c>
      <c r="D17" s="1620" t="s">
        <v>3378</v>
      </c>
      <c r="E17" s="13">
        <f>IF($C$3="是",ROUND($A$3*G17/$B$3,2),ROUND($A$3*(G17-AT17)/$B$3,2))</f>
        <v>344.75</v>
      </c>
      <c r="F17" s="29"/>
      <c r="G17" s="30">
        <f>H17+AC17+AT17</f>
        <v>1038.02</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1038.02</v>
      </c>
      <c r="AD17" s="1622"/>
      <c r="AE17" s="1622"/>
      <c r="AF17" s="1622"/>
      <c r="AG17" s="1622"/>
      <c r="AH17" s="1622">
        <f>项目情况!P28</f>
        <v>1038.02</v>
      </c>
      <c r="AI17" s="1622"/>
      <c r="AJ17" s="1622"/>
      <c r="AK17" s="1622"/>
      <c r="AL17" s="1622"/>
      <c r="AM17" s="1622"/>
      <c r="AN17" s="1622"/>
      <c r="AO17" s="1622"/>
      <c r="AP17" s="1622"/>
      <c r="AQ17" s="1622"/>
      <c r="AR17" s="1622"/>
      <c r="AS17" s="1622"/>
      <c r="AT17" s="1623"/>
      <c r="AU17" s="1624"/>
      <c r="AV17" s="8">
        <f t="shared" si="6"/>
        <v>0</v>
      </c>
      <c r="AW17" s="8">
        <f t="shared" si="6"/>
        <v>0</v>
      </c>
      <c r="AX17" s="8" t="str">
        <f t="shared" si="6"/>
        <v>物业用房</v>
      </c>
      <c r="AY17" s="1344">
        <f>ROUND($AY$6*AZ17/$AZ$5,2)</f>
        <v>344.75</v>
      </c>
      <c r="AZ17" s="13">
        <f>BA17+BL17</f>
        <v>1038.02</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1038.02</v>
      </c>
      <c r="BM17" s="13">
        <f>IF($D17="是",AD17-AE17,0)</f>
        <v>0</v>
      </c>
      <c r="BN17" s="13">
        <f>IF($D17="是",AF17-AG17,0)</f>
        <v>0</v>
      </c>
      <c r="BO17" s="13">
        <f>IF($D17="是",AH17-AI17,0)</f>
        <v>1038.02</v>
      </c>
      <c r="BP17" s="13">
        <f>IF($D17="是",AJ17-AK17,0)</f>
        <v>0</v>
      </c>
      <c r="BQ17" s="13">
        <f>IF($D17="是",AL17-AM17,0)</f>
        <v>0</v>
      </c>
      <c r="BR17" s="13">
        <f>IF($D17="是",AN17-AO17,0)</f>
        <v>0</v>
      </c>
      <c r="BS17" s="13">
        <f>IF($D17="是",AP17-AQ17,0)</f>
        <v>0</v>
      </c>
      <c r="BT17" s="19">
        <f>IF($D17="是",AR17-AS17,0)</f>
        <v>0</v>
      </c>
    </row>
    <row r="18" spans="1:72">
      <c r="A18" s="6"/>
      <c r="B18" s="31"/>
      <c r="C18" s="3458" t="str">
        <f>项目情况!M29</f>
        <v>人防用房</v>
      </c>
      <c r="D18" s="1620" t="s">
        <v>3378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人防用房</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8" t="str">
        <f>项目情况!M30</f>
        <v>地下车库</v>
      </c>
      <c r="D19" s="1620" t="s">
        <v>3378</v>
      </c>
      <c r="E19" s="32">
        <f t="shared" si="7"/>
        <v>9442.83</v>
      </c>
      <c r="F19" s="33"/>
      <c r="G19" s="34">
        <f t="shared" si="8"/>
        <v>44806.92</v>
      </c>
      <c r="H19" s="35">
        <f t="shared" si="9"/>
        <v>28431.67</v>
      </c>
      <c r="I19" s="36"/>
      <c r="J19" s="36"/>
      <c r="K19" s="36"/>
      <c r="L19" s="36"/>
      <c r="M19" s="36">
        <f>项目情况!N30</f>
        <v>28431.67</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f>项目情况!P29</f>
        <v>16375.25</v>
      </c>
      <c r="AU19" s="1626"/>
      <c r="AV19" s="1338">
        <f t="shared" si="11"/>
        <v>0</v>
      </c>
      <c r="AW19" s="1338">
        <f t="shared" si="12"/>
        <v>0</v>
      </c>
      <c r="AX19" s="1338" t="str">
        <f t="shared" si="13"/>
        <v>地下车库</v>
      </c>
      <c r="AY19" s="39">
        <f t="shared" si="14"/>
        <v>9442.83</v>
      </c>
      <c r="AZ19" s="32">
        <f t="shared" si="15"/>
        <v>28431.67</v>
      </c>
      <c r="BA19" s="32">
        <f t="shared" si="16"/>
        <v>28431.67</v>
      </c>
      <c r="BB19" s="32">
        <f t="shared" si="17"/>
        <v>0</v>
      </c>
      <c r="BC19" s="32">
        <f t="shared" si="18"/>
        <v>0</v>
      </c>
      <c r="BD19" s="32">
        <f t="shared" si="19"/>
        <v>28431.67</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0"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773" t="s">
        <v>1131</v>
      </c>
      <c r="B2" s="3773"/>
      <c r="C2" s="3773"/>
      <c r="D2" s="792" t="s">
        <v>1107</v>
      </c>
      <c r="E2" s="1634" t="s">
        <v>1108</v>
      </c>
      <c r="F2" s="2650"/>
      <c r="G2" s="2641"/>
      <c r="H2" s="2642"/>
      <c r="I2" s="2317" t="s">
        <v>1132</v>
      </c>
      <c r="J2" s="2650"/>
      <c r="K2" s="2650"/>
      <c r="L2" s="2650"/>
      <c r="M2" s="2650"/>
      <c r="N2" s="2652"/>
      <c r="O2" s="2650"/>
      <c r="P2" s="2650"/>
    </row>
    <row r="3" spans="1:16" ht="15.75" thickBot="1">
      <c r="A3" s="3774" t="s">
        <v>1105</v>
      </c>
      <c r="B3" s="3774"/>
      <c r="C3" s="3774"/>
      <c r="D3" s="43">
        <f>'数据-基础表'!AY6</f>
        <v>61753.05</v>
      </c>
      <c r="E3" s="43">
        <f>'数据-基础表'!AZ5</f>
        <v>185933.89999999997</v>
      </c>
      <c r="F3" s="2650"/>
      <c r="G3" s="1141"/>
      <c r="H3" s="1022" t="s">
        <v>1106</v>
      </c>
      <c r="I3" s="851">
        <f>ROUND('数据-基础表'!B3/'数据-基础表'!A3,2)</f>
        <v>3.01</v>
      </c>
      <c r="J3" s="2650"/>
      <c r="K3" s="2650"/>
      <c r="L3" s="2650"/>
      <c r="M3" s="2650"/>
      <c r="N3" s="2652"/>
      <c r="O3" s="2650"/>
      <c r="P3" s="2650"/>
    </row>
    <row r="4" spans="1:16" ht="15">
      <c r="A4" s="3775"/>
      <c r="B4" s="3776"/>
      <c r="C4" s="3777"/>
      <c r="D4" s="1636" t="s">
        <v>1107</v>
      </c>
      <c r="E4" s="1637" t="s">
        <v>1108</v>
      </c>
      <c r="F4" s="2650"/>
      <c r="G4" s="2643" t="s">
        <v>1133</v>
      </c>
      <c r="H4" s="1022" t="s">
        <v>1113</v>
      </c>
      <c r="I4" s="851">
        <f>ROUND(SUMIF('数据-基础表'!I9:AS9,"地上",'数据-基础表'!I5:AS5)/'数据-基础表'!A3,2)</f>
        <v>2.64</v>
      </c>
      <c r="J4" s="2650"/>
      <c r="K4" s="2650"/>
      <c r="L4" s="2650"/>
      <c r="M4" s="2650"/>
      <c r="N4" s="2652"/>
      <c r="O4" s="2650"/>
      <c r="P4" s="2650"/>
    </row>
    <row r="5" spans="1:16">
      <c r="A5" s="44" t="s">
        <v>1109</v>
      </c>
      <c r="B5" s="3778" t="s">
        <v>1110</v>
      </c>
      <c r="C5" s="3778"/>
      <c r="D5" s="45">
        <f>ROUND($D$3*E5/$E$3,2)</f>
        <v>44438.15</v>
      </c>
      <c r="E5" s="46">
        <f>SUMIF('数据-基础表'!$11:$11,"住宅",'数据-基础表'!$5:$5)</f>
        <v>133800</v>
      </c>
      <c r="F5" s="2650"/>
      <c r="G5" s="1141"/>
      <c r="H5" s="1022" t="s">
        <v>1106</v>
      </c>
      <c r="I5" s="851">
        <f>ROUND(E31/D31,2)</f>
        <v>3.01</v>
      </c>
      <c r="J5" s="2650"/>
      <c r="K5" s="2650"/>
      <c r="L5" s="2650"/>
      <c r="M5" s="2650"/>
      <c r="N5" s="2650"/>
      <c r="O5" s="2650"/>
      <c r="P5" s="2650"/>
    </row>
    <row r="6" spans="1:16" ht="15" thickBot="1">
      <c r="A6" s="1639"/>
      <c r="B6" s="3778" t="s">
        <v>1111</v>
      </c>
      <c r="C6" s="3778"/>
      <c r="D6" s="45">
        <f>ROUND($D$3*E6/$E$3,2)</f>
        <v>17314.900000000001</v>
      </c>
      <c r="E6" s="46">
        <f>E3-E5</f>
        <v>52133.899999999965</v>
      </c>
      <c r="F6" s="2650"/>
      <c r="G6" s="2644" t="s">
        <v>1112</v>
      </c>
      <c r="H6" s="1142" t="s">
        <v>1113</v>
      </c>
      <c r="I6" s="2645">
        <f>ROUND(F31/D31,2)</f>
        <v>2.5499999999999998</v>
      </c>
      <c r="J6" s="2650"/>
      <c r="K6" s="2650"/>
      <c r="L6" s="2650"/>
      <c r="M6" s="2650"/>
      <c r="N6" s="2650"/>
      <c r="O6" s="2650"/>
      <c r="P6" s="2650"/>
    </row>
    <row r="7" spans="1:16" ht="15.75" thickBot="1">
      <c r="A7" s="3770"/>
      <c r="B7" s="3771"/>
      <c r="C7" s="3772"/>
      <c r="D7" s="1636" t="s">
        <v>1107</v>
      </c>
      <c r="E7" s="1640"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44955.62</v>
      </c>
      <c r="E8" s="48">
        <f>SUMIF('数据-基础表'!BB10:BK10,"地上",'数据-基础表'!BB5:BK5)</f>
        <v>135358.07999999999</v>
      </c>
      <c r="F8" s="2650"/>
      <c r="G8" s="2651"/>
      <c r="H8" s="2651"/>
      <c r="I8" s="2650"/>
      <c r="J8" s="2650"/>
      <c r="K8" s="2650"/>
      <c r="L8" s="2650"/>
      <c r="M8" s="2650"/>
      <c r="N8" s="2650"/>
      <c r="O8" s="2650"/>
      <c r="P8" s="2650"/>
    </row>
    <row r="9" spans="1:16">
      <c r="A9" s="1641"/>
      <c r="B9" s="1642"/>
      <c r="C9" s="45" t="s">
        <v>1119</v>
      </c>
      <c r="D9" s="45">
        <f t="shared" si="0"/>
        <v>0</v>
      </c>
      <c r="E9" s="49">
        <v>0</v>
      </c>
      <c r="F9" s="2650"/>
      <c r="G9" s="2651"/>
      <c r="H9" s="2651"/>
      <c r="I9" s="2650"/>
      <c r="J9" s="2650"/>
      <c r="K9" s="2650"/>
      <c r="L9" s="2650"/>
      <c r="M9" s="2650"/>
      <c r="N9" s="2650"/>
      <c r="O9" s="2650"/>
      <c r="P9" s="2650"/>
    </row>
    <row r="10" spans="1:16">
      <c r="A10" s="1641"/>
      <c r="B10" s="1642"/>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1"/>
      <c r="B11" s="1642"/>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1"/>
      <c r="B12" s="1642"/>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1"/>
      <c r="B13" s="1642"/>
      <c r="C13" s="45" t="s">
        <v>1122</v>
      </c>
      <c r="D13" s="45">
        <f t="shared" si="0"/>
        <v>9442.83</v>
      </c>
      <c r="E13" s="48">
        <f>SUMPRODUCT(('数据-基础表'!BB10:BK10="地下")*('数据-基础表'!BB11:BK11="车库")*('数据-基础表'!BB5:BK5))</f>
        <v>28431.67</v>
      </c>
      <c r="F13" s="2650"/>
      <c r="G13" s="2651"/>
      <c r="H13" s="2651"/>
      <c r="I13" s="2650"/>
      <c r="J13" s="2650"/>
      <c r="K13" s="2650"/>
      <c r="L13" s="2650"/>
      <c r="M13" s="2650"/>
      <c r="N13" s="2650"/>
      <c r="O13" s="2650"/>
      <c r="P13" s="2650"/>
    </row>
    <row r="14" spans="1:16">
      <c r="A14" s="1641"/>
      <c r="B14" s="1642"/>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1"/>
      <c r="B15" s="1642"/>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9"/>
      <c r="B16" s="1642"/>
      <c r="C16" s="47" t="s">
        <v>1123</v>
      </c>
      <c r="D16" s="47">
        <f>SUM(D8:D15)</f>
        <v>54398.450000000004</v>
      </c>
      <c r="E16" s="50">
        <f>SUM(E8:E15)</f>
        <v>163789.75</v>
      </c>
      <c r="F16" s="2650"/>
      <c r="G16" s="2651"/>
      <c r="H16" s="1643" t="s">
        <v>1135</v>
      </c>
      <c r="I16" s="1644"/>
      <c r="J16" s="1135"/>
      <c r="K16" s="3767" t="s">
        <v>1135</v>
      </c>
      <c r="L16" s="3768"/>
      <c r="M16" s="3768"/>
      <c r="N16" s="3768"/>
      <c r="O16" s="3768"/>
      <c r="P16" s="3769"/>
    </row>
    <row r="17" spans="1:19" ht="15">
      <c r="A17" s="1645" t="s">
        <v>1136</v>
      </c>
      <c r="B17" s="1646" t="s">
        <v>1137</v>
      </c>
      <c r="C17" s="1647" t="s">
        <v>1138</v>
      </c>
      <c r="D17" s="1648" t="s">
        <v>1126</v>
      </c>
      <c r="E17" s="1649" t="s">
        <v>1127</v>
      </c>
      <c r="F17" s="1650"/>
      <c r="G17" s="1651"/>
      <c r="H17" s="1652" t="s">
        <v>1139</v>
      </c>
      <c r="I17" s="1653" t="s">
        <v>1124</v>
      </c>
      <c r="J17" s="1135"/>
      <c r="K17" s="3764" t="s">
        <v>1140</v>
      </c>
      <c r="L17" s="3765"/>
      <c r="M17" s="3766"/>
      <c r="N17" s="3764" t="s">
        <v>1141</v>
      </c>
      <c r="O17" s="3765"/>
      <c r="P17" s="3766"/>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03" t="s">
        <v>3801</v>
      </c>
      <c r="D19" s="45">
        <f>ROUND($D$3*E19/$E$3,2)</f>
        <v>44438.15</v>
      </c>
      <c r="E19" s="53">
        <f t="shared" ref="E19:E26" si="1">SUM(F19:G19)</f>
        <v>133800</v>
      </c>
      <c r="F19" s="2785">
        <f>'数据-基础表'!K14-'数据-基础表'!L14</f>
        <v>133800</v>
      </c>
      <c r="G19" s="2786"/>
      <c r="H19" s="669">
        <f>ROUND($D$3*I19/$E$3,2)</f>
        <v>6908.68</v>
      </c>
      <c r="I19" s="48">
        <f t="shared" ref="I19:I26" si="2">IF($I$17="自定义",P19,M19)</f>
        <v>20801.53</v>
      </c>
      <c r="J19" s="1135"/>
      <c r="K19" s="1134">
        <f t="shared" ref="K19:K26" si="3">ROUND(E$28*E19/E$27,2)</f>
        <v>5990.11</v>
      </c>
      <c r="L19" s="1022">
        <f t="shared" ref="L19:L26" si="4">ROUND(IF(COUNTIF(C19,"*住宅*")&gt;0,E$29*E19/E$32,0),2)</f>
        <v>14811.42</v>
      </c>
      <c r="M19" s="1146">
        <f>K19+L19</f>
        <v>20801.53</v>
      </c>
      <c r="N19" s="1663"/>
      <c r="O19" s="1664"/>
      <c r="P19" s="1146">
        <f>N19+O19</f>
        <v>0</v>
      </c>
      <c r="R19" s="1022">
        <f t="shared" ref="R19:S26" si="5">D19+H19</f>
        <v>51346.83</v>
      </c>
      <c r="S19" s="1023">
        <f t="shared" si="5"/>
        <v>154601.53</v>
      </c>
    </row>
    <row r="20" spans="1:19">
      <c r="A20" s="1665"/>
      <c r="B20" s="47" t="s">
        <v>1153</v>
      </c>
      <c r="C20" s="3403" t="s">
        <v>3802</v>
      </c>
      <c r="D20" s="45">
        <f t="shared" ref="D20:D26" si="6">ROUND($D$3*E20/$E$3,2)</f>
        <v>517.48</v>
      </c>
      <c r="E20" s="53">
        <f t="shared" si="1"/>
        <v>1558.08</v>
      </c>
      <c r="F20" s="2785">
        <f>'数据-基础表'!I13</f>
        <v>1558.08</v>
      </c>
      <c r="G20" s="2786"/>
      <c r="H20" s="669">
        <f t="shared" ref="H20:H26" si="7">ROUND($D$3*I20/$E$3,2)</f>
        <v>23.17</v>
      </c>
      <c r="I20" s="48">
        <f t="shared" si="2"/>
        <v>69.75</v>
      </c>
      <c r="J20" s="1135"/>
      <c r="K20" s="1134">
        <f t="shared" si="3"/>
        <v>69.75</v>
      </c>
      <c r="L20" s="1022">
        <f t="shared" si="4"/>
        <v>0</v>
      </c>
      <c r="M20" s="1146">
        <f t="shared" ref="M20:M26" si="8">K20+L20</f>
        <v>69.75</v>
      </c>
      <c r="N20" s="1663"/>
      <c r="O20" s="1664"/>
      <c r="P20" s="1146">
        <f t="shared" ref="P20:P26" si="9">N20+O20</f>
        <v>0</v>
      </c>
      <c r="R20" s="1022">
        <f t="shared" si="5"/>
        <v>540.65</v>
      </c>
      <c r="S20" s="1023">
        <f t="shared" si="5"/>
        <v>1627.83</v>
      </c>
    </row>
    <row r="21" spans="1:19">
      <c r="A21" s="1665"/>
      <c r="B21" s="47" t="s">
        <v>1153</v>
      </c>
      <c r="C21" s="3403" t="s">
        <v>3803</v>
      </c>
      <c r="D21" s="45">
        <f t="shared" si="6"/>
        <v>9442.83</v>
      </c>
      <c r="E21" s="53">
        <f t="shared" si="1"/>
        <v>28431.67</v>
      </c>
      <c r="F21" s="2785"/>
      <c r="G21" s="2786">
        <f>'数据-基础表'!M19</f>
        <v>28431.67</v>
      </c>
      <c r="H21" s="669">
        <f t="shared" si="7"/>
        <v>422.75</v>
      </c>
      <c r="I21" s="48">
        <f t="shared" si="2"/>
        <v>1272.8599999999999</v>
      </c>
      <c r="J21" s="1135"/>
      <c r="K21" s="1134">
        <f t="shared" si="3"/>
        <v>1272.8599999999999</v>
      </c>
      <c r="L21" s="1022">
        <f t="shared" si="4"/>
        <v>0</v>
      </c>
      <c r="M21" s="1146">
        <f t="shared" si="8"/>
        <v>1272.8599999999999</v>
      </c>
      <c r="N21" s="1663"/>
      <c r="O21" s="1664"/>
      <c r="P21" s="1146">
        <f t="shared" si="9"/>
        <v>0</v>
      </c>
      <c r="R21" s="1022">
        <f t="shared" si="5"/>
        <v>9865.58</v>
      </c>
      <c r="S21" s="1023">
        <f t="shared" si="5"/>
        <v>29704.53</v>
      </c>
    </row>
    <row r="22" spans="1:19">
      <c r="A22" s="1665"/>
      <c r="B22" s="47" t="s">
        <v>1153</v>
      </c>
      <c r="C22" s="3404"/>
      <c r="D22" s="45">
        <f t="shared" si="6"/>
        <v>0</v>
      </c>
      <c r="E22" s="53">
        <f t="shared" si="1"/>
        <v>0</v>
      </c>
      <c r="F22" s="2787"/>
      <c r="G22" s="2788"/>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04"/>
      <c r="D23" s="45">
        <f>ROUND($D$3*E23/$E$3,2)</f>
        <v>0</v>
      </c>
      <c r="E23" s="53">
        <f>SUM(F23:G23)</f>
        <v>0</v>
      </c>
      <c r="F23" s="2787"/>
      <c r="G23" s="2788"/>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04"/>
      <c r="D24" s="45">
        <f>ROUND($D$3*E24/$E$3,2)</f>
        <v>0</v>
      </c>
      <c r="E24" s="53">
        <f>SUM(F24:G24)</f>
        <v>0</v>
      </c>
      <c r="F24" s="2787"/>
      <c r="G24" s="2788"/>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04"/>
      <c r="D25" s="45">
        <f t="shared" si="6"/>
        <v>0</v>
      </c>
      <c r="E25" s="53">
        <f t="shared" si="1"/>
        <v>0</v>
      </c>
      <c r="F25" s="2787"/>
      <c r="G25" s="2788"/>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29.25" thickBot="1">
      <c r="A27" s="1665"/>
      <c r="B27" s="45"/>
      <c r="C27" s="1668" t="s">
        <v>1154</v>
      </c>
      <c r="D27" s="1136">
        <f>SUM(D19:D26)</f>
        <v>54398.460000000006</v>
      </c>
      <c r="E27" s="1137">
        <f>IF(SUM(E19:E26)='数据-基础表'!BA5,SUM(E19:E26),IF(F27="地上面积有误","面积有误","地下面积有误"))</f>
        <v>163789.75</v>
      </c>
      <c r="F27" s="1136">
        <f>IF(SUM(F19:F26)=E8,SUM(F19:F26),"地上面积有误")</f>
        <v>135358.07999999999</v>
      </c>
      <c r="G27" s="1138">
        <f>SUM(G19:G26)</f>
        <v>28431.67</v>
      </c>
      <c r="H27" s="1139">
        <f>SUM(H19:H26)</f>
        <v>7354.6</v>
      </c>
      <c r="I27" s="1140">
        <f>SUM(I19:I26)</f>
        <v>22144.14</v>
      </c>
      <c r="J27" s="1135"/>
      <c r="K27" s="1143">
        <f>SUM(K19:K26)</f>
        <v>7332.7199999999993</v>
      </c>
      <c r="L27" s="1144">
        <f>SUM(L19:L26)</f>
        <v>14811.42</v>
      </c>
      <c r="M27" s="1147">
        <f>SUM(M19:M26)</f>
        <v>22144.14</v>
      </c>
      <c r="N27" s="1143">
        <f t="shared" ref="N27:O27" si="10">SUM(N19:N26)</f>
        <v>0</v>
      </c>
      <c r="O27" s="1144">
        <f t="shared" si="10"/>
        <v>0</v>
      </c>
      <c r="P27" s="1145">
        <f>SUM(P19:P26)</f>
        <v>0</v>
      </c>
      <c r="R27" s="1024" t="str">
        <f>IF(SUM(R19:R26)=$D$3,SUM(R19:R26),SUM(R19:R26)&amp;"误差"&amp;ROUND(SUM(R19:R26)-$D$3,2))</f>
        <v>61753.06误差0.01</v>
      </c>
      <c r="S27" s="1022" t="str">
        <f>IF(SUM(S19:S26)=$E$3,SUM(S19:S26),SUM(S19:S26)&amp;"误差"&amp;ROUND(SUM(S19:S26)-E3,2))</f>
        <v>185933.89误差-0.01</v>
      </c>
    </row>
    <row r="28" spans="1:19">
      <c r="A28" s="1665"/>
      <c r="B28" s="47" t="s">
        <v>1155</v>
      </c>
      <c r="C28" s="1034" t="s">
        <v>1156</v>
      </c>
      <c r="D28" s="45">
        <f>ROUND($D$3*E28/$E$3,2)</f>
        <v>2435.37</v>
      </c>
      <c r="E28" s="53">
        <f>SUM(F28:G28)</f>
        <v>7332.7300000000014</v>
      </c>
      <c r="F28" s="56">
        <f>'数据-基础表'!BQ5+'数据-基础表'!BS5</f>
        <v>7332.7300000000014</v>
      </c>
      <c r="G28" s="57">
        <f>'数据-基础表'!BR5+'数据-基础表'!BT5</f>
        <v>0</v>
      </c>
      <c r="H28" s="2650"/>
      <c r="I28" s="2650"/>
      <c r="J28" s="2650"/>
      <c r="K28" s="2650"/>
      <c r="L28" s="2650"/>
      <c r="M28" s="2650"/>
      <c r="N28" s="2650"/>
      <c r="O28" s="2650"/>
      <c r="P28" s="2650"/>
    </row>
    <row r="29" spans="1:19">
      <c r="A29" s="1665"/>
      <c r="B29" s="47" t="s">
        <v>1155</v>
      </c>
      <c r="C29" s="1669" t="s">
        <v>1157</v>
      </c>
      <c r="D29" s="45">
        <f>ROUND($D$3*E29/$E$3,2)</f>
        <v>4919.22</v>
      </c>
      <c r="E29" s="53">
        <f>SUM(F29:G29)</f>
        <v>14811.42</v>
      </c>
      <c r="F29" s="58">
        <f>'数据-基础表'!BM5+'数据-基础表'!BO5</f>
        <v>14811.42</v>
      </c>
      <c r="G29" s="59">
        <f>'数据-基础表'!BN5+'数据-基础表'!BP5</f>
        <v>0</v>
      </c>
      <c r="H29" s="2650"/>
      <c r="I29" s="2650"/>
      <c r="J29" s="2650"/>
      <c r="K29" s="2650"/>
      <c r="L29" s="2650"/>
      <c r="M29" s="2650"/>
      <c r="N29" s="2650"/>
      <c r="O29" s="2650"/>
      <c r="P29" s="2650"/>
    </row>
    <row r="30" spans="1:19" ht="15">
      <c r="A30" s="1665"/>
      <c r="B30" s="47"/>
      <c r="C30" s="1670" t="s">
        <v>1154</v>
      </c>
      <c r="D30" s="1136">
        <f>SUM(D28:D29)</f>
        <v>7354.59</v>
      </c>
      <c r="E30" s="1136">
        <f>SUM(E28:E29)</f>
        <v>22144.15</v>
      </c>
      <c r="F30" s="1136">
        <f>SUM(F28:F29)</f>
        <v>22144.15</v>
      </c>
      <c r="G30" s="1138">
        <f>SUM(G28:G29)</f>
        <v>0</v>
      </c>
      <c r="H30" s="2650"/>
      <c r="I30" s="2650"/>
      <c r="J30" s="2650"/>
      <c r="K30" s="2650"/>
      <c r="L30" s="2650"/>
      <c r="M30" s="2650"/>
      <c r="N30" s="2650"/>
      <c r="O30" s="2650"/>
      <c r="P30" s="2650"/>
    </row>
    <row r="31" spans="1:19" ht="15.75" thickBot="1">
      <c r="A31" s="1671"/>
      <c r="B31" s="1672"/>
      <c r="C31" s="831" t="s">
        <v>1158</v>
      </c>
      <c r="D31" s="675">
        <f>D27+D30</f>
        <v>61753.05</v>
      </c>
      <c r="E31" s="675">
        <f>E27+E30</f>
        <v>185933.9</v>
      </c>
      <c r="F31" s="676">
        <f>F27+F30</f>
        <v>157502.22999999998</v>
      </c>
      <c r="G31" s="677">
        <f>G27+G30</f>
        <v>28431.67</v>
      </c>
      <c r="H31" s="2650"/>
      <c r="I31" s="2650"/>
      <c r="J31" s="2650"/>
      <c r="K31" s="2650"/>
      <c r="L31" s="2650"/>
      <c r="M31" s="2650"/>
      <c r="N31" s="2650"/>
      <c r="O31" s="2650"/>
      <c r="P31" s="2650"/>
    </row>
    <row r="32" spans="1:19">
      <c r="A32" s="1638"/>
      <c r="B32" s="1638" t="s">
        <v>1159</v>
      </c>
      <c r="C32" s="1638"/>
      <c r="D32" s="1638"/>
      <c r="E32" s="1049">
        <f>SUMIF(C19:C26,"*住宅*",E19:E26)</f>
        <v>133800</v>
      </c>
      <c r="F32" s="1638"/>
      <c r="G32" s="1638"/>
      <c r="H32" s="2650"/>
      <c r="I32" s="2650"/>
      <c r="J32" s="2650"/>
      <c r="K32" s="2650"/>
      <c r="L32" s="2650"/>
      <c r="M32" s="2650"/>
      <c r="N32" s="2650"/>
      <c r="O32" s="2650"/>
      <c r="P32" s="2650"/>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5"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4" width="6.75" style="1677" customWidth="1"/>
    <col min="25" max="25" width="8.5" style="1677" customWidth="1"/>
    <col min="26"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1"/>
      <c r="AO1" s="2661"/>
      <c r="AP1" s="2661"/>
      <c r="AQ1" s="2661"/>
      <c r="AR1" s="2661"/>
    </row>
    <row r="2" spans="1:67" s="1554" customFormat="1" ht="15.75" thickBot="1">
      <c r="A2" s="1678" t="s">
        <v>1161</v>
      </c>
      <c r="B2" s="1041">
        <f>项目基本情况!D3</f>
        <v>44999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3"/>
      <c r="AO2" s="2663"/>
      <c r="AP2" s="2663"/>
      <c r="AQ2" s="2663"/>
      <c r="AR2" s="2663"/>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3"/>
      <c r="AO3" s="2663"/>
      <c r="AP3" s="2663"/>
      <c r="AQ3" s="2663"/>
      <c r="AR3" s="2663"/>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49"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3"/>
      <c r="AO4" s="2663"/>
      <c r="AP4" s="2663"/>
      <c r="AQ4" s="2663"/>
      <c r="AR4" s="2663"/>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3813</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3782</v>
      </c>
      <c r="D6" s="854">
        <f>SUMIF(项目基本情况!C$12:I$12,C6,项目基本情况!C$14:I$14)</f>
        <v>70</v>
      </c>
      <c r="E6" s="853">
        <f>IF(B6="","",SUMIF(项目基本情况!C$12:I$12,C6,项目基本情况!C$13:I$13))</f>
        <v>69478</v>
      </c>
      <c r="F6" s="64">
        <f>SUMIF(项目基本情况!C$12:I$12,C6,项目基本情况!C$15:I$15)</f>
        <v>67.06</v>
      </c>
      <c r="G6" s="65">
        <f>IF(ISERROR(ROUND(POWER(1+H6,D6-F6)*(POWER(1+H6,F6)-1)/(POWER(1+H6,D6)-1),3)),0,ROUND(POWER(1+H6,D6-F6)*(POWER(1+H6,F6)-1)/(POWER(1+H6,D6)-1),3))</f>
        <v>0.99199999999999999</v>
      </c>
      <c r="H6" s="731">
        <v>0.04</v>
      </c>
      <c r="I6" s="731">
        <v>4.4999999999999998E-2</v>
      </c>
      <c r="J6" s="66">
        <v>7.4999999999999997E-2</v>
      </c>
      <c r="K6" s="1026">
        <f>SUMIF('数据-汇总表'!C$19:C$33,A6,'数据-汇总表'!E$19:E$33)</f>
        <v>133800</v>
      </c>
      <c r="L6" s="732">
        <v>3500</v>
      </c>
      <c r="M6" s="67">
        <f t="shared" ref="M6:M14" si="0">ROUND(K6*L6/10000,0)</f>
        <v>46830</v>
      </c>
      <c r="N6" s="730">
        <v>0.6</v>
      </c>
      <c r="O6" s="67">
        <f>IF($N$5="成新度","——",ROUND(M6*N6,0))</f>
        <v>28098</v>
      </c>
      <c r="P6" s="68">
        <f>IF($N$5="成新度","——",M6-O6)</f>
        <v>18732</v>
      </c>
      <c r="Q6" s="733">
        <v>0.2</v>
      </c>
      <c r="R6" s="69">
        <f ca="1">SUMIF('数据-汇总表'!C$19:C$33,A6,'数据-汇总表'!R$19:R$27)</f>
        <v>51346.83</v>
      </c>
      <c r="S6" s="51">
        <f>IF('数据-汇总表'!$I$17="按面积比例",SUMIF('数据-汇总表'!C$19:C$33,A6,'数据-汇总表'!K$19:K$33),SUMIF('数据-汇总表'!C$19:C$33,A6,'数据-汇总表'!N$19:N$33))</f>
        <v>5990.11</v>
      </c>
      <c r="T6" s="1168">
        <f>ROUND($L$14*S6/10000,0)</f>
        <v>2097</v>
      </c>
      <c r="U6" s="3414"/>
      <c r="V6" s="70"/>
      <c r="W6" s="70"/>
      <c r="X6" s="1036"/>
      <c r="Y6" s="71"/>
      <c r="Z6" s="72"/>
      <c r="AA6" s="66"/>
      <c r="AB6" s="66"/>
      <c r="AC6" s="1036"/>
      <c r="AD6" s="73"/>
      <c r="AE6" s="1037">
        <f ca="1">IF(AN6="",0,SUMIF(INDIRECT("'"&amp;AN6&amp;"'"&amp;"!E:E"),$AE$5,INDIRECT("'"&amp;AN6&amp;"'"&amp;"!F:F")))</f>
        <v>0</v>
      </c>
      <c r="AF6" s="1343"/>
      <c r="AG6" s="137">
        <f>IF(AF6="",0,AE6-AF6)</f>
        <v>0</v>
      </c>
      <c r="AH6" s="74"/>
      <c r="AI6" s="76"/>
      <c r="AJ6" s="77"/>
      <c r="AK6" s="78"/>
      <c r="AL6" s="79"/>
      <c r="AM6" s="80"/>
      <c r="AN6" s="1710"/>
      <c r="AO6" s="52" t="e">
        <f ca="1">SUMIF(INDIRECT("'"&amp;AN6&amp;"'"&amp;"!A:A"),"总价",INDIRECT("'"&amp;AN6&amp;"'"&amp;"!B:B"))</f>
        <v>#REF!</v>
      </c>
      <c r="AP6" s="1711">
        <f>IF(C6="住宅",K6*L6,0)</f>
        <v>468300000</v>
      </c>
      <c r="AQ6" s="52">
        <f>ROUND($L$14*$N$14*S6/10000,0)</f>
        <v>1258</v>
      </c>
      <c r="AR6" s="52">
        <f>ROUND($L$14*(1-$N$14)*S6/10000,0)</f>
        <v>839</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商业</v>
      </c>
      <c r="B7" s="1708" t="str">
        <f t="shared" ref="B7:B13" si="1">IF(A7=0,"","经营性")</f>
        <v>经营性</v>
      </c>
      <c r="C7" s="1709" t="s">
        <v>673</v>
      </c>
      <c r="D7" s="854">
        <f>SUMIF(项目基本情况!C$12:I$12,C7,项目基本情况!C$14:I$14)</f>
        <v>40</v>
      </c>
      <c r="E7" s="853">
        <f>IF(B7="","",SUMIF(项目基本情况!C$12:I$12,C7,项目基本情况!C$13:I$13))</f>
        <v>58521</v>
      </c>
      <c r="F7" s="64">
        <f>SUMIF(项目基本情况!C$12:I$12,C7,项目基本情况!C$15:I$15)</f>
        <v>37.04</v>
      </c>
      <c r="G7" s="65">
        <f t="shared" ref="G7:G11" si="2">IF(ISERROR(ROUND(POWER(1+H7,D7-F7)*(POWER(1+H7,F7)-1)/(POWER(1+H7,D7)-1),3)),0,ROUND(POWER(1+H7,D7-F7)*(POWER(1+H7,F7)-1)/(POWER(1+H7,D7)-1),3))</f>
        <v>0.97399999999999998</v>
      </c>
      <c r="H7" s="731">
        <v>0.05</v>
      </c>
      <c r="I7" s="731">
        <v>5.5E-2</v>
      </c>
      <c r="J7" s="66">
        <v>7.4999999999999997E-2</v>
      </c>
      <c r="K7" s="1026">
        <f>SUMIF('数据-汇总表'!C$19:C$33,A7,'数据-汇总表'!E$19:E$33)</f>
        <v>1558.08</v>
      </c>
      <c r="L7" s="732">
        <f>L6</f>
        <v>3500</v>
      </c>
      <c r="M7" s="67">
        <f t="shared" si="0"/>
        <v>545</v>
      </c>
      <c r="N7" s="730">
        <f>N6</f>
        <v>0.6</v>
      </c>
      <c r="O7" s="67">
        <f t="shared" ref="O7:O14" si="3">IF($N$5="成新度","——",ROUND(M7*N7,0))</f>
        <v>327</v>
      </c>
      <c r="P7" s="68">
        <f t="shared" ref="P7:P14" si="4">IF($N$5="成新度","——",M7-O7)</f>
        <v>218</v>
      </c>
      <c r="Q7" s="733">
        <v>0.15</v>
      </c>
      <c r="R7" s="69">
        <f ca="1">SUMIF('数据-汇总表'!C$19:C$33,A7,'数据-汇总表'!R$19:R$27)</f>
        <v>540.65</v>
      </c>
      <c r="S7" s="51">
        <f>IF('数据-汇总表'!$I$17="按面积比例",SUMIF('数据-汇总表'!C$19:C$33,A7,'数据-汇总表'!K$19:K$33),SUMIF('数据-汇总表'!C$19:C$33,A7,'数据-汇总表'!N$19:N$33))</f>
        <v>69.75</v>
      </c>
      <c r="T7" s="1168">
        <f t="shared" ref="T7:T13" si="5">ROUND($L$14*S7/10000,0)</f>
        <v>24</v>
      </c>
      <c r="U7" s="3414">
        <v>2.1</v>
      </c>
      <c r="V7" s="70">
        <v>2.5000000000000001E-2</v>
      </c>
      <c r="W7" s="70">
        <v>0.1</v>
      </c>
      <c r="X7" s="1036"/>
      <c r="Y7" s="70">
        <v>1</v>
      </c>
      <c r="Z7" s="72"/>
      <c r="AA7" s="66"/>
      <c r="AB7" s="66"/>
      <c r="AC7" s="1036"/>
      <c r="AD7" s="73"/>
      <c r="AE7" s="1037">
        <f t="shared" ref="AE7:AE13" ca="1" si="6">IF(AN7="",0,SUMIF(INDIRECT("'"&amp;AN7&amp;"'"&amp;"!E:E"),$AE$5,INDIRECT("'"&amp;AN7&amp;"'"&amp;"!F:F")))</f>
        <v>37.04</v>
      </c>
      <c r="AF7" s="1343"/>
      <c r="AG7" s="137">
        <f t="shared" ref="AG7:AG13" si="7">IF(AF7="",0,AE7-AF7)</f>
        <v>0</v>
      </c>
      <c r="AH7" s="74"/>
      <c r="AI7" s="76">
        <v>365</v>
      </c>
      <c r="AJ7" s="77"/>
      <c r="AK7" s="78">
        <v>0.01</v>
      </c>
      <c r="AL7" s="79">
        <v>1.5E-3</v>
      </c>
      <c r="AM7" s="80">
        <v>0.01</v>
      </c>
      <c r="AN7" s="1710" t="s">
        <v>3805</v>
      </c>
      <c r="AO7" s="52">
        <f t="shared" ref="AO7:AO13" ca="1" si="8">SUMIF(INDIRECT("'"&amp;AN7&amp;"'"&amp;"!A:A"),"总价",INDIRECT("'"&amp;AN7&amp;"'"&amp;"!B:B"))</f>
        <v>1707</v>
      </c>
      <c r="AP7" s="1711">
        <f t="shared" ref="AP7:AP13" si="9">IF(C7="住宅",K7*L7,0)</f>
        <v>0</v>
      </c>
      <c r="AQ7" s="52">
        <f t="shared" ref="AQ7:AQ13" si="10">ROUND($L$14*$N$14*S7/10000,0)</f>
        <v>15</v>
      </c>
      <c r="AR7" s="52">
        <f t="shared" ref="AR7:AR13" si="11">ROUND($L$14*(1-$N$14)*S7/10000,0)</f>
        <v>10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3336</v>
      </c>
      <c r="D8" s="854">
        <f>SUMIF(项目基本情况!C$12:I$12,C8,项目基本情况!C$14:I$14)</f>
        <v>50</v>
      </c>
      <c r="E8" s="853">
        <f>IF(B8="","",SUMIF(项目基本情况!C$12:I$12,C8,项目基本情况!C$13:I$13))</f>
        <v>62173</v>
      </c>
      <c r="F8" s="64">
        <f>SUMIF(项目基本情况!C$12:I$12,C8,项目基本情况!C$15:I$15)</f>
        <v>47.05</v>
      </c>
      <c r="G8" s="65">
        <f t="shared" si="2"/>
        <v>0.98299999999999998</v>
      </c>
      <c r="H8" s="731">
        <v>4.4999999999999998E-2</v>
      </c>
      <c r="I8" s="731">
        <v>0.05</v>
      </c>
      <c r="J8" s="66">
        <v>7.4999999999999997E-2</v>
      </c>
      <c r="K8" s="1026">
        <f>SUMIF('数据-汇总表'!C$19:C$33,A8,'数据-汇总表'!E$19:E$33)</f>
        <v>28431.67</v>
      </c>
      <c r="L8" s="732">
        <f>L7</f>
        <v>3500</v>
      </c>
      <c r="M8" s="67">
        <f>ROUND(K8*L8/10000,0)</f>
        <v>9951</v>
      </c>
      <c r="N8" s="730">
        <f>N7</f>
        <v>0.6</v>
      </c>
      <c r="O8" s="67">
        <f t="shared" si="3"/>
        <v>5971</v>
      </c>
      <c r="P8" s="68">
        <f t="shared" si="4"/>
        <v>3980</v>
      </c>
      <c r="Q8" s="733">
        <v>0.05</v>
      </c>
      <c r="R8" s="69">
        <f ca="1">SUMIF('数据-汇总表'!C$19:C$33,A8,'数据-汇总表'!R$19:R$27)</f>
        <v>9865.58</v>
      </c>
      <c r="S8" s="51">
        <f>IF('数据-汇总表'!$I$17="按面积比例",SUMIF('数据-汇总表'!C$19:C$33,A8,'数据-汇总表'!K$19:K$33),SUMIF('数据-汇总表'!C$19:C$33,A8,'数据-汇总表'!N$19:N$33))</f>
        <v>1272.8599999999999</v>
      </c>
      <c r="T8" s="1168">
        <f t="shared" si="5"/>
        <v>446</v>
      </c>
      <c r="U8" s="3415">
        <v>500</v>
      </c>
      <c r="V8" s="734">
        <v>0.02</v>
      </c>
      <c r="W8" s="70">
        <v>0.1</v>
      </c>
      <c r="X8" s="1036"/>
      <c r="Y8" s="70">
        <v>1</v>
      </c>
      <c r="Z8" s="72"/>
      <c r="AA8" s="66"/>
      <c r="AB8" s="66"/>
      <c r="AC8" s="1036"/>
      <c r="AD8" s="73"/>
      <c r="AE8" s="1037">
        <f t="shared" ca="1" si="6"/>
        <v>47.05</v>
      </c>
      <c r="AF8" s="1343"/>
      <c r="AG8" s="137">
        <f t="shared" si="7"/>
        <v>0</v>
      </c>
      <c r="AH8" s="735">
        <f>项目情况!Q30</f>
        <v>1091</v>
      </c>
      <c r="AI8" s="76">
        <v>12</v>
      </c>
      <c r="AJ8" s="77"/>
      <c r="AK8" s="78">
        <v>0.01</v>
      </c>
      <c r="AL8" s="79">
        <v>1.5E-3</v>
      </c>
      <c r="AM8" s="80">
        <v>0.01</v>
      </c>
      <c r="AN8" s="1710" t="s">
        <v>3806</v>
      </c>
      <c r="AO8" s="52">
        <f t="shared" ca="1" si="8"/>
        <v>7989</v>
      </c>
      <c r="AP8" s="1711">
        <f t="shared" si="9"/>
        <v>0</v>
      </c>
      <c r="AQ8" s="52">
        <f t="shared" si="10"/>
        <v>267</v>
      </c>
      <c r="AR8" s="52">
        <f t="shared" si="11"/>
        <v>178</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4"/>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4"/>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4"/>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4"/>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6"/>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7332.7300000000014</v>
      </c>
      <c r="L14" s="82">
        <f>L8</f>
        <v>3500</v>
      </c>
      <c r="M14" s="67">
        <f t="shared" si="0"/>
        <v>2566</v>
      </c>
      <c r="N14" s="83">
        <f>N8</f>
        <v>0.6</v>
      </c>
      <c r="O14" s="67">
        <f t="shared" si="3"/>
        <v>1540</v>
      </c>
      <c r="P14" s="68">
        <f t="shared" si="4"/>
        <v>1026</v>
      </c>
      <c r="Q14" s="1029"/>
      <c r="R14" s="69"/>
      <c r="S14" s="51"/>
      <c r="T14" s="1168"/>
      <c r="U14" s="669"/>
      <c r="V14" s="1031"/>
      <c r="W14" s="1031"/>
      <c r="X14" s="1032"/>
      <c r="Y14" s="1033"/>
      <c r="Z14" s="1034"/>
      <c r="AA14" s="1035"/>
      <c r="AB14" s="1035"/>
      <c r="AC14" s="1036"/>
      <c r="AD14" s="1032"/>
      <c r="AE14" s="1037"/>
      <c r="AF14" s="52"/>
      <c r="AG14" s="137"/>
      <c r="AH14" s="1037"/>
      <c r="AI14" s="1352"/>
      <c r="AJ14" s="703"/>
      <c r="AK14" s="1038"/>
      <c r="AL14" s="1039"/>
      <c r="AM14" s="1040"/>
      <c r="AN14" s="2661"/>
      <c r="AO14" s="2663"/>
      <c r="AP14" s="2663"/>
      <c r="AQ14" s="2663"/>
      <c r="AR14" s="2663"/>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14811.42</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2"/>
      <c r="AJ15" s="703"/>
      <c r="AK15" s="1038"/>
      <c r="AL15" s="1039"/>
      <c r="AM15" s="1040"/>
      <c r="AN15" s="2661"/>
      <c r="AO15" s="2663"/>
      <c r="AP15" s="2663"/>
      <c r="AQ15" s="2663"/>
      <c r="AR15" s="2663"/>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0.99</v>
      </c>
      <c r="H16" s="90">
        <f>ROUND(SUMPRODUCT(H6:H13,K6:K13)/SUMPRODUCT((H6:H13&gt;0)*(K6:K13)),3)</f>
        <v>4.1000000000000002E-2</v>
      </c>
      <c r="I16" s="91"/>
      <c r="J16" s="91"/>
      <c r="K16" s="92">
        <f>SUM(K6:K15)</f>
        <v>185933.90000000002</v>
      </c>
      <c r="L16" s="93">
        <f>ROUND(M16*10000/SUM(K6:K14),0)</f>
        <v>3500</v>
      </c>
      <c r="M16" s="93">
        <f>SUM(M6:M14)</f>
        <v>59892</v>
      </c>
      <c r="N16" s="94">
        <f>ROUND(SUMPRODUCT(M6:M14,N6:N14)/M16,3)</f>
        <v>0.6</v>
      </c>
      <c r="O16" s="93">
        <f>SUM(O6:O14)</f>
        <v>35936</v>
      </c>
      <c r="P16" s="93">
        <f>SUM(P6:P14)</f>
        <v>23956</v>
      </c>
      <c r="Q16" s="95">
        <f>ROUND(SUMPRODUCT(Q6:Q13,K6:K13)/SUMPRODUCT((Q6:Q13&gt;0)*(K6:K13)),2)</f>
        <v>0.17</v>
      </c>
      <c r="R16" s="1030">
        <f ca="1">SUM(R6:R13)</f>
        <v>61753.060000000005</v>
      </c>
      <c r="S16" s="96">
        <f>SUM(S6:S13)</f>
        <v>7332.7199999999993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7" t="s">
        <v>1211</v>
      </c>
      <c r="B19" s="103">
        <v>0</v>
      </c>
      <c r="C19" s="2789" t="s">
        <v>2302</v>
      </c>
      <c r="D19" s="2666"/>
      <c r="E19" s="2663"/>
      <c r="F19" s="2663"/>
      <c r="G19" s="2663"/>
      <c r="H19" s="2663"/>
      <c r="I19" s="2663"/>
      <c r="J19" s="2663"/>
      <c r="K19" s="2662"/>
      <c r="L19" s="2662"/>
      <c r="M19" s="3460" t="s">
        <v>3386</v>
      </c>
      <c r="N19" s="3459">
        <f>ROUND((60-(2023-2008))/60,2)</f>
        <v>0.75</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8" t="s">
        <v>1212</v>
      </c>
      <c r="B20" s="104">
        <v>2.5</v>
      </c>
      <c r="C20" s="2790" t="s">
        <v>2300</v>
      </c>
      <c r="D20" s="2666"/>
      <c r="E20" s="2663"/>
      <c r="F20" s="2663"/>
      <c r="G20" s="2663"/>
      <c r="H20" s="2663"/>
      <c r="I20" s="2663"/>
      <c r="J20" s="2663"/>
      <c r="K20" s="2662"/>
      <c r="L20" s="2662"/>
      <c r="M20" s="3460" t="s">
        <v>3387</v>
      </c>
      <c r="N20" s="3459">
        <v>0.85</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9" t="s">
        <v>1213</v>
      </c>
      <c r="B21" s="104">
        <f>B20*N16</f>
        <v>1.5</v>
      </c>
      <c r="C21" s="2663"/>
      <c r="D21" s="2666"/>
      <c r="E21" s="2663"/>
      <c r="F21" s="2663"/>
      <c r="G21" s="2663"/>
      <c r="H21" s="2663"/>
      <c r="I21" s="2663"/>
      <c r="J21" s="2663"/>
      <c r="K21" s="2662"/>
      <c r="L21" s="2662"/>
      <c r="M21" s="2661"/>
      <c r="N21" s="3461">
        <f>(N19+N20)/2</f>
        <v>0.8</v>
      </c>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8" t="s">
        <v>1214</v>
      </c>
      <c r="B22" s="105">
        <f>B19+B20</f>
        <v>2.5</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9" t="s">
        <v>1215</v>
      </c>
      <c r="B23" s="105">
        <f>B19+B21</f>
        <v>1.5</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0" t="s">
        <v>1216</v>
      </c>
      <c r="B24" s="106">
        <f>B20-B21</f>
        <v>1</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2"/>
      <c r="B25" s="1682"/>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8" t="s">
        <v>1217</v>
      </c>
      <c r="B26" s="1721"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3" customFormat="1" ht="27.75">
      <c r="A27" s="1722" t="s">
        <v>1220</v>
      </c>
      <c r="B27" s="4033">
        <v>170</v>
      </c>
      <c r="C27" s="2791" t="s">
        <v>2304</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4034">
        <v>170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1">
        <f ca="1">成本法!C9+成本法!C10</f>
        <v>3161</v>
      </c>
      <c r="C29" s="2792" t="s">
        <v>2291</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f>B28</f>
        <v>170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0">
        <f>B30-B32</f>
        <v>170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93" t="s">
        <v>2292</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2">
        <v>7.0000000000000007E-2</v>
      </c>
      <c r="C34" s="2793" t="s">
        <v>2293</v>
      </c>
      <c r="D34" s="2674" t="s">
        <v>2301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09">
        <f>B30</f>
        <v>170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3">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6" t="s">
        <v>1230</v>
      </c>
      <c r="B37" s="114">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4" t="s">
        <v>1231</v>
      </c>
      <c r="B38" s="112">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7" t="s">
        <v>1232</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75" customHeight="1" thickBot="1">
      <c r="A40" s="2805" t="s">
        <v>3408</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2" t="s">
        <v>1233</v>
      </c>
      <c r="B41" s="115">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8" t="s">
        <v>1234</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8" t="s">
        <v>1235</v>
      </c>
      <c r="B43" s="117">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9" t="s">
        <v>1236</v>
      </c>
      <c r="B44" s="118">
        <v>7.0000000000000007E-2</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9" t="s">
        <v>1237</v>
      </c>
      <c r="B45" s="116">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9" t="s">
        <v>1238</v>
      </c>
      <c r="B46" s="116">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0" t="s">
        <v>1239</v>
      </c>
      <c r="B47" s="119"/>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1" t="s">
        <v>1240</v>
      </c>
      <c r="B48" s="120">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7" t="s">
        <v>1241</v>
      </c>
      <c r="B49" s="116">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2" t="s">
        <v>1242</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5" t="s">
        <v>1243</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2" t="s">
        <v>1244</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4" t="s">
        <v>1245</v>
      </c>
      <c r="B53" s="1733" t="s">
        <v>296</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4" t="s">
        <v>1247</v>
      </c>
      <c r="B54" s="75"/>
      <c r="C54" s="2652"/>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4" t="s">
        <v>1248</v>
      </c>
      <c r="B55" s="75"/>
      <c r="C55" s="2652"/>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4" t="s">
        <v>1249</v>
      </c>
      <c r="B56" s="75"/>
      <c r="C56" s="2652"/>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4" t="s">
        <v>1250</v>
      </c>
      <c r="B57" s="75"/>
      <c r="C57" s="2652"/>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4" t="s">
        <v>1251</v>
      </c>
      <c r="B58" s="75"/>
      <c r="C58" s="2652"/>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4" t="s">
        <v>1252</v>
      </c>
      <c r="B59" s="75"/>
      <c r="C59" s="2652"/>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4"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4"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4"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5" t="s">
        <v>1256</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1"/>
  </cols>
  <sheetData>
    <row r="1" spans="1:29" s="2448" customFormat="1" ht="18.75" thickBot="1">
      <c r="A1" s="3779" t="s">
        <v>2283</v>
      </c>
      <c r="B1" s="3780"/>
      <c r="C1" s="3780"/>
      <c r="D1" s="3780"/>
      <c r="E1" s="3780"/>
      <c r="F1" s="3780"/>
      <c r="G1" s="378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5"/>
      <c r="I2" s="795"/>
      <c r="J2" s="795"/>
      <c r="K2" s="795"/>
      <c r="L2" s="795"/>
      <c r="M2" s="795"/>
      <c r="N2" s="795"/>
      <c r="O2" s="795"/>
      <c r="P2" s="795"/>
      <c r="Q2" s="795"/>
      <c r="R2" s="795"/>
    </row>
    <row r="3" spans="1:29" ht="48">
      <c r="A3" s="2432" t="s">
        <v>2280</v>
      </c>
      <c r="B3" s="2454" t="s">
        <v>2251</v>
      </c>
      <c r="C3" s="2455" t="s">
        <v>2281</v>
      </c>
      <c r="D3" s="2456"/>
      <c r="E3" s="2433" t="s">
        <v>2280</v>
      </c>
      <c r="F3" s="2457" t="s">
        <v>2252</v>
      </c>
      <c r="G3" s="2458" t="s">
        <v>2282</v>
      </c>
      <c r="H3" s="795"/>
      <c r="I3" s="795"/>
      <c r="J3" s="795"/>
      <c r="K3" s="795"/>
      <c r="L3" s="795"/>
      <c r="M3" s="795"/>
      <c r="N3" s="795"/>
      <c r="O3" s="795"/>
      <c r="P3" s="795"/>
      <c r="Q3" s="795"/>
      <c r="R3" s="795"/>
    </row>
    <row r="4" spans="1:29" ht="36.75">
      <c r="A4" s="2433"/>
      <c r="B4" s="322" t="s">
        <v>2253</v>
      </c>
      <c r="C4" s="2459" t="s">
        <v>3821</v>
      </c>
      <c r="D4" s="2456"/>
      <c r="E4" s="2460"/>
      <c r="F4" s="1368" t="s">
        <v>2254</v>
      </c>
      <c r="G4" s="2461" t="s">
        <v>2255</v>
      </c>
      <c r="H4" s="795"/>
      <c r="I4" s="795"/>
      <c r="J4" s="795"/>
      <c r="K4" s="795"/>
      <c r="L4" s="795"/>
      <c r="M4" s="795"/>
      <c r="N4" s="795"/>
      <c r="O4" s="795"/>
      <c r="P4" s="795"/>
      <c r="Q4" s="795"/>
      <c r="R4" s="795"/>
    </row>
    <row r="5" spans="1:29" ht="24">
      <c r="A5" s="2433"/>
      <c r="B5" s="322" t="s">
        <v>2256</v>
      </c>
      <c r="C5" s="2459"/>
      <c r="D5" s="2456"/>
      <c r="E5" s="2460"/>
      <c r="F5" s="322" t="s">
        <v>2257</v>
      </c>
      <c r="G5" s="2461" t="s">
        <v>2258</v>
      </c>
      <c r="H5" s="795"/>
      <c r="I5" s="795"/>
      <c r="J5" s="795"/>
      <c r="K5" s="795"/>
      <c r="L5" s="795"/>
      <c r="M5" s="795"/>
      <c r="N5" s="795"/>
      <c r="O5" s="795"/>
      <c r="P5" s="795"/>
      <c r="Q5" s="795"/>
      <c r="R5" s="795"/>
    </row>
    <row r="6" spans="1:29" ht="36">
      <c r="A6" s="2433"/>
      <c r="B6" s="322" t="s">
        <v>2259</v>
      </c>
      <c r="C6" s="3667" t="s">
        <v>3822</v>
      </c>
      <c r="D6" s="2456"/>
      <c r="E6" s="2460"/>
      <c r="F6" s="322" t="s">
        <v>2260</v>
      </c>
      <c r="G6" s="2461" t="s">
        <v>2261</v>
      </c>
      <c r="H6" s="795"/>
      <c r="I6" s="795"/>
      <c r="J6" s="795"/>
      <c r="K6" s="795"/>
      <c r="L6" s="795"/>
      <c r="M6" s="795"/>
      <c r="N6" s="795"/>
      <c r="O6" s="795"/>
      <c r="P6" s="795"/>
      <c r="Q6" s="795"/>
      <c r="R6" s="795"/>
    </row>
    <row r="7" spans="1:29" ht="24.75" thickBot="1">
      <c r="A7" s="2433"/>
      <c r="B7" s="322" t="s">
        <v>2257</v>
      </c>
      <c r="C7" s="3667" t="s">
        <v>3823</v>
      </c>
      <c r="D7" s="2462"/>
      <c r="E7" s="2463"/>
      <c r="F7" s="2464" t="s">
        <v>2262</v>
      </c>
      <c r="G7" s="2465" t="s">
        <v>2263</v>
      </c>
      <c r="H7" s="795"/>
      <c r="I7" s="795"/>
      <c r="J7" s="795"/>
      <c r="K7" s="795"/>
      <c r="L7" s="795"/>
      <c r="M7" s="795"/>
      <c r="N7" s="795"/>
      <c r="O7" s="795"/>
      <c r="P7" s="795"/>
      <c r="Q7" s="795"/>
      <c r="R7" s="795"/>
    </row>
    <row r="8" spans="1:29">
      <c r="A8" s="2433"/>
      <c r="B8" s="322" t="s">
        <v>2260</v>
      </c>
      <c r="C8" s="2461" t="s">
        <v>2261</v>
      </c>
      <c r="D8" s="2462"/>
      <c r="E8" s="2462"/>
      <c r="F8" s="2466"/>
      <c r="G8" s="2466"/>
      <c r="H8" s="795"/>
      <c r="I8" s="795"/>
      <c r="J8" s="795"/>
      <c r="K8" s="795"/>
      <c r="L8" s="795"/>
      <c r="M8" s="795"/>
      <c r="N8" s="795"/>
      <c r="O8" s="795"/>
      <c r="P8" s="795"/>
      <c r="Q8" s="795"/>
      <c r="R8" s="795"/>
    </row>
    <row r="9" spans="1:29" ht="24">
      <c r="A9" s="2433"/>
      <c r="B9" s="322" t="s">
        <v>2264</v>
      </c>
      <c r="C9" s="2459" t="s">
        <v>2265</v>
      </c>
      <c r="D9" s="2456"/>
      <c r="E9" s="2462"/>
      <c r="F9" s="2466"/>
      <c r="G9" s="2466"/>
      <c r="H9" s="795"/>
      <c r="I9" s="795"/>
      <c r="J9" s="795"/>
      <c r="K9" s="795"/>
      <c r="L9" s="795"/>
      <c r="M9" s="795"/>
      <c r="N9" s="795"/>
      <c r="O9" s="795"/>
      <c r="P9" s="795"/>
      <c r="Q9" s="795"/>
      <c r="R9" s="795"/>
    </row>
    <row r="10" spans="1:29" s="2472" customFormat="1" ht="15" thickBot="1">
      <c r="A10" s="2434"/>
      <c r="B10" s="2467" t="s">
        <v>2266</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2267</v>
      </c>
      <c r="D14" s="2456"/>
      <c r="E14" s="2487"/>
      <c r="F14" s="2487"/>
      <c r="G14" s="2451" t="s">
        <v>2268</v>
      </c>
    </row>
    <row r="15" spans="1:29" ht="51">
      <c r="A15" s="2435" t="s">
        <v>2269</v>
      </c>
      <c r="B15" s="2488" t="s">
        <v>2251</v>
      </c>
      <c r="C15" s="2489" t="str">
        <f>C3</f>
        <v>估价对象周边居住用地比例、居住小区规模和社区发展完善程度，综合评价居住社区成熟度一般</v>
      </c>
      <c r="D15" s="2456"/>
      <c r="E15" s="2436" t="s">
        <v>2270</v>
      </c>
      <c r="F15" s="2488" t="s">
        <v>2271</v>
      </c>
      <c r="G15" s="2490" t="str">
        <f>G3</f>
        <v>估价对象位于XX开发区，园区建设成熟度XX，产业集聚程度XX</v>
      </c>
    </row>
    <row r="16" spans="1:29" ht="38.25">
      <c r="A16" s="2437"/>
      <c r="B16" s="2491" t="s">
        <v>2253</v>
      </c>
      <c r="C16" s="2492" t="str">
        <f>C4</f>
        <v>估价对象位于XX商圈，周边商业氛围成熟，人流量大，商业繁华度一般</v>
      </c>
      <c r="D16" s="2456"/>
      <c r="E16" s="2438"/>
      <c r="F16" s="2493" t="s">
        <v>2254</v>
      </c>
      <c r="G16" s="2494" t="str">
        <f>G4</f>
        <v>估价对象周边道路状况、公共交通通达情况、停车便捷程度，综合评价交通便捷度较好</v>
      </c>
    </row>
    <row r="17" spans="1:18">
      <c r="A17" s="2437"/>
      <c r="B17" s="2491" t="s">
        <v>2256</v>
      </c>
      <c r="C17" s="2492">
        <f>C5</f>
        <v>0</v>
      </c>
      <c r="D17" s="2462"/>
      <c r="E17" s="2438"/>
      <c r="F17" s="2493" t="s">
        <v>2272</v>
      </c>
      <c r="G17" s="2495"/>
    </row>
    <row r="18" spans="1:18" ht="38.25">
      <c r="A18" s="2437"/>
      <c r="B18" s="2493" t="s">
        <v>2259</v>
      </c>
      <c r="C18" s="2494" t="str">
        <f>C6</f>
        <v>估价对象周边道路状况、公共交通通达情况、停车便捷程度，综合评价交通便捷度一般</v>
      </c>
      <c r="D18" s="2462"/>
      <c r="E18" s="2438"/>
      <c r="F18" s="2493" t="s">
        <v>2262</v>
      </c>
      <c r="G18" s="2494" t="str">
        <f>G7</f>
        <v>该园区内是否有污染型企业，绿化情况，卫生条件，整体环境状况判断</v>
      </c>
    </row>
    <row r="19" spans="1:18" ht="25.5">
      <c r="A19" s="2437"/>
      <c r="B19" s="2493" t="s">
        <v>2273</v>
      </c>
      <c r="C19" s="2495"/>
      <c r="D19" s="2456"/>
      <c r="E19" s="2438"/>
      <c r="F19" s="322" t="s">
        <v>2257</v>
      </c>
      <c r="G19" s="2494" t="str">
        <f>G5</f>
        <v>估价对象所在区域公共配套设施齐备情况</v>
      </c>
    </row>
    <row r="20" spans="1:18" ht="25.5">
      <c r="A20" s="2437"/>
      <c r="B20" s="2493" t="s">
        <v>2274</v>
      </c>
      <c r="C20" s="2492" t="str">
        <f>C9</f>
        <v>区域自然环境：；人文环境；综合评价环境状况一般</v>
      </c>
      <c r="D20" s="2462"/>
      <c r="E20" s="2438"/>
      <c r="F20" s="322" t="s">
        <v>2260</v>
      </c>
      <c r="G20" s="2494" t="str">
        <f>G6</f>
        <v>估价对象所在区域基础设施水平</v>
      </c>
    </row>
    <row r="21" spans="1:18" ht="25.5">
      <c r="A21" s="2437"/>
      <c r="B21" s="322" t="s">
        <v>2257</v>
      </c>
      <c r="C21" s="2494" t="str">
        <f>C7</f>
        <v>估价对象所在区域公共配套设施齐备情况一般</v>
      </c>
      <c r="D21" s="2456"/>
      <c r="E21" s="2438"/>
      <c r="F21" s="2493" t="s">
        <v>2275</v>
      </c>
      <c r="G21" s="2496"/>
    </row>
    <row r="22" spans="1:18" ht="13.5" customHeight="1">
      <c r="A22" s="2437"/>
      <c r="B22" s="322" t="s">
        <v>2260</v>
      </c>
      <c r="C22" s="2494" t="str">
        <f>C8</f>
        <v>估价对象所在区域基础设施水平</v>
      </c>
      <c r="D22" s="2456"/>
      <c r="E22" s="2438"/>
      <c r="F22" s="2493" t="s">
        <v>2266</v>
      </c>
      <c r="G22" s="2495"/>
    </row>
    <row r="23" spans="1:18" s="795" customFormat="1" ht="15" thickBot="1">
      <c r="A23" s="2437"/>
      <c r="B23" s="2493" t="s">
        <v>2275</v>
      </c>
      <c r="C23" s="2496"/>
      <c r="D23" s="1736"/>
      <c r="E23" s="2439"/>
      <c r="F23" s="2497" t="s">
        <v>2276</v>
      </c>
      <c r="G23" s="2498"/>
      <c r="H23" s="2482"/>
      <c r="I23" s="2483"/>
      <c r="J23" s="2482"/>
      <c r="K23" s="2482"/>
      <c r="L23" s="2483"/>
      <c r="M23" s="2482"/>
      <c r="N23" s="2482"/>
      <c r="O23" s="2483"/>
      <c r="P23" s="2482"/>
      <c r="Q23" s="2482"/>
      <c r="R23" s="2484"/>
    </row>
    <row r="24" spans="1:18" s="795" customFormat="1" ht="15" thickBot="1">
      <c r="A24" s="2440"/>
      <c r="B24" s="2497" t="s">
        <v>2277</v>
      </c>
      <c r="C24" s="2499">
        <f>C10</f>
        <v>0</v>
      </c>
      <c r="D24" s="1736"/>
      <c r="E24" s="2430"/>
      <c r="F24" s="2430"/>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20" sqref="O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185933.89999999997</v>
      </c>
      <c r="C1" s="2676"/>
      <c r="D1" s="2676"/>
      <c r="E1" s="2676"/>
      <c r="F1" s="2676"/>
      <c r="G1" s="2677"/>
      <c r="H1" s="2678"/>
      <c r="I1" s="2678"/>
      <c r="J1" s="2678"/>
      <c r="K1" s="2678"/>
    </row>
    <row r="2" spans="1:11" ht="16.5">
      <c r="A2" s="2503" t="s">
        <v>653</v>
      </c>
      <c r="B2" s="2503">
        <f>SUM(C14:C23)</f>
        <v>61753.05</v>
      </c>
      <c r="C2" s="2676"/>
      <c r="D2" s="2676"/>
      <c r="E2" s="2676"/>
      <c r="F2" s="2676"/>
      <c r="G2" s="2677"/>
      <c r="H2" s="2678"/>
      <c r="I2" s="2678"/>
      <c r="J2" s="2678"/>
      <c r="K2" s="2678"/>
    </row>
    <row r="3" spans="1:11" ht="16.5">
      <c r="A3" s="2503" t="s">
        <v>662</v>
      </c>
      <c r="B3" s="2505">
        <f>项目基本情况!D3</f>
        <v>44999</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161326</v>
      </c>
      <c r="C5" s="2503">
        <f ca="1">IF(B5=D14,结果表!H102,ROUND(B5*10000/$B$1,0))</f>
        <v>8677</v>
      </c>
      <c r="D5" s="2503">
        <f ca="1">ROUND(B5*10000/$B$2,0)</f>
        <v>26124</v>
      </c>
      <c r="E5" s="2676"/>
      <c r="F5" s="2677"/>
      <c r="G5" s="2677"/>
      <c r="H5" s="2678"/>
      <c r="I5" s="2678"/>
      <c r="J5" s="2678"/>
      <c r="K5" s="2678"/>
    </row>
    <row r="6" spans="1:11" ht="16.5">
      <c r="A6" s="2503" t="s">
        <v>656</v>
      </c>
      <c r="B6" s="2503">
        <f ca="1">SUM(G14:G23)</f>
        <v>161326</v>
      </c>
      <c r="C6" s="2503">
        <f ca="1">IF(B6=G14,结果表!H108,ROUND(B6*10000/$B$1,0))</f>
        <v>8677</v>
      </c>
      <c r="D6" s="2503">
        <f ca="1">ROUND(B6*10000/$B$2,0)</f>
        <v>26124</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3359</v>
      </c>
      <c r="D10" s="2503" t="s">
        <v>3360</v>
      </c>
      <c r="E10" s="3427"/>
      <c r="F10" s="3431" t="s">
        <v>3361</v>
      </c>
      <c r="G10" s="3428"/>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185933.89999999997</v>
      </c>
      <c r="C14" s="2509">
        <f>结果表!C118</f>
        <v>61753.05</v>
      </c>
      <c r="D14" s="2509">
        <f ca="1">结果表!H118</f>
        <v>161326</v>
      </c>
      <c r="E14" s="2509">
        <f ca="1">ROUND(D14*10000/B14,0)</f>
        <v>8677</v>
      </c>
      <c r="F14" s="2509">
        <f ca="1">ROUND(D14*10000/C14,0)</f>
        <v>26124</v>
      </c>
      <c r="G14" s="2509">
        <f ca="1">D14</f>
        <v>161326</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6"/>
      <c r="H15" s="1326"/>
      <c r="I15" s="2510"/>
      <c r="J15" s="2677"/>
      <c r="K15" s="2678"/>
    </row>
    <row r="16" spans="1:11" ht="16.5">
      <c r="A16" s="2508" t="s">
        <v>648</v>
      </c>
      <c r="B16" s="2510"/>
      <c r="C16" s="2510"/>
      <c r="D16" s="2510"/>
      <c r="E16" s="2509" t="e">
        <f t="shared" si="0"/>
        <v>#DIV/0!</v>
      </c>
      <c r="F16" s="2509" t="e">
        <f t="shared" si="1"/>
        <v>#DIV/0!</v>
      </c>
      <c r="G16" s="1326"/>
      <c r="H16" s="1326"/>
      <c r="I16" s="2510"/>
      <c r="J16" s="2678"/>
      <c r="K16" s="2678"/>
    </row>
    <row r="17" spans="1:11" ht="16.5">
      <c r="A17" s="2508" t="s">
        <v>647</v>
      </c>
      <c r="B17" s="2510"/>
      <c r="C17" s="2510"/>
      <c r="D17" s="2510"/>
      <c r="E17" s="2509" t="e">
        <f t="shared" si="0"/>
        <v>#DIV/0!</v>
      </c>
      <c r="F17" s="2509" t="e">
        <f t="shared" si="1"/>
        <v>#DIV/0!</v>
      </c>
      <c r="G17" s="1326"/>
      <c r="H17" s="1326"/>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676" t="str">
        <f>项目基本情况!B1</f>
        <v>河南省郑州市经开区房地产抵押价值预评估</v>
      </c>
      <c r="C37" s="3676"/>
      <c r="D37" s="3676"/>
      <c r="E37" s="3676"/>
      <c r="F37" s="3676"/>
      <c r="G37" s="3676"/>
      <c r="H37" s="3676"/>
      <c r="I37" s="367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6" sqref="G16"/>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848" t="str">
        <f>项目基本情况!S2</f>
        <v>河南省郑州市经开区房地产</v>
      </c>
      <c r="B2" s="3849"/>
      <c r="C2" s="3849"/>
      <c r="D2" s="3849"/>
      <c r="E2" s="3849"/>
      <c r="F2" s="3849"/>
      <c r="G2" s="3849"/>
      <c r="H2" s="3849"/>
      <c r="I2" s="3850"/>
    </row>
    <row r="3" spans="1:12" ht="12.75">
      <c r="A3" s="3852" t="s">
        <v>1264</v>
      </c>
      <c r="B3" s="3853"/>
      <c r="C3" s="3853"/>
      <c r="D3" s="3853"/>
      <c r="E3" s="3853"/>
      <c r="F3" s="3853"/>
      <c r="G3" s="3853"/>
      <c r="H3" s="3853"/>
      <c r="I3" s="3853"/>
    </row>
    <row r="4" spans="1:12" ht="14.25">
      <c r="A4" s="1749" t="s">
        <v>1265</v>
      </c>
      <c r="B4" s="1750" t="s">
        <v>1266</v>
      </c>
      <c r="C4" s="1751" t="s">
        <v>3396</v>
      </c>
      <c r="D4" s="1751" t="s">
        <v>3812</v>
      </c>
      <c r="E4" s="3857" t="s">
        <v>1267</v>
      </c>
      <c r="F4" s="3858"/>
      <c r="G4" s="3858"/>
      <c r="H4" s="3858"/>
      <c r="I4" s="385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796" t="s">
        <v>1268</v>
      </c>
      <c r="B5" s="3851">
        <v>25</v>
      </c>
      <c r="C5" s="3854"/>
      <c r="D5" s="3842"/>
      <c r="E5" s="130" t="s">
        <v>1269</v>
      </c>
      <c r="F5" s="1752"/>
      <c r="G5" s="1752"/>
      <c r="H5" s="1752"/>
      <c r="I5" s="1368"/>
    </row>
    <row r="6" spans="1:12" ht="12.75">
      <c r="A6" s="3796"/>
      <c r="B6" s="3851"/>
      <c r="C6" s="3856"/>
      <c r="D6" s="3842"/>
      <c r="E6" s="130" t="s">
        <v>1270</v>
      </c>
      <c r="F6" s="1752"/>
      <c r="G6" s="1752"/>
      <c r="H6" s="1752"/>
      <c r="I6" s="1368"/>
    </row>
    <row r="7" spans="1:12" ht="12.75">
      <c r="A7" s="3796"/>
      <c r="B7" s="3851"/>
      <c r="C7" s="3855"/>
      <c r="D7" s="3842"/>
      <c r="E7" s="130" t="s">
        <v>1271</v>
      </c>
      <c r="F7" s="1752"/>
      <c r="G7" s="1752"/>
      <c r="H7" s="1752"/>
      <c r="I7" s="1368"/>
    </row>
    <row r="8" spans="1:12" ht="12.75">
      <c r="A8" s="3796" t="s">
        <v>1272</v>
      </c>
      <c r="B8" s="3851">
        <v>15</v>
      </c>
      <c r="C8" s="3854"/>
      <c r="D8" s="3842"/>
      <c r="E8" s="130" t="s">
        <v>1273</v>
      </c>
      <c r="F8" s="1752"/>
      <c r="G8" s="1752"/>
      <c r="H8" s="1752"/>
      <c r="I8" s="1368"/>
    </row>
    <row r="9" spans="1:12" ht="12.75">
      <c r="A9" s="3796"/>
      <c r="B9" s="3851"/>
      <c r="C9" s="3855"/>
      <c r="D9" s="3842"/>
      <c r="E9" s="130" t="s">
        <v>1274</v>
      </c>
      <c r="F9" s="1752"/>
      <c r="G9" s="1752"/>
      <c r="H9" s="1752"/>
      <c r="I9" s="1368"/>
    </row>
    <row r="10" spans="1:12" ht="12.75">
      <c r="A10" s="3796" t="s">
        <v>1275</v>
      </c>
      <c r="B10" s="3851">
        <v>15</v>
      </c>
      <c r="C10" s="3854"/>
      <c r="D10" s="3842"/>
      <c r="E10" s="130" t="s">
        <v>1276</v>
      </c>
      <c r="F10" s="1752"/>
      <c r="G10" s="1752"/>
      <c r="H10" s="1752"/>
      <c r="I10" s="1368"/>
    </row>
    <row r="11" spans="1:12" ht="12.75">
      <c r="A11" s="3796"/>
      <c r="B11" s="3851"/>
      <c r="C11" s="3855"/>
      <c r="D11" s="3842"/>
      <c r="E11" s="130" t="s">
        <v>1277</v>
      </c>
      <c r="F11" s="1752"/>
      <c r="G11" s="1752"/>
      <c r="H11" s="1752"/>
      <c r="I11" s="1368"/>
    </row>
    <row r="12" spans="1:12" ht="12.75">
      <c r="A12" s="3796" t="s">
        <v>1278</v>
      </c>
      <c r="B12" s="3851">
        <v>15</v>
      </c>
      <c r="C12" s="3854"/>
      <c r="D12" s="3842"/>
      <c r="E12" s="130" t="s">
        <v>1279</v>
      </c>
      <c r="F12" s="1752"/>
      <c r="G12" s="1752"/>
      <c r="H12" s="1752"/>
      <c r="I12" s="1368"/>
    </row>
    <row r="13" spans="1:12" ht="12.75">
      <c r="A13" s="3796"/>
      <c r="B13" s="3851"/>
      <c r="C13" s="3855"/>
      <c r="D13" s="3842"/>
      <c r="E13" s="130" t="s">
        <v>1280</v>
      </c>
      <c r="F13" s="1752"/>
      <c r="G13" s="1752"/>
      <c r="H13" s="1752"/>
      <c r="I13" s="1368"/>
    </row>
    <row r="14" spans="1:12" ht="12.75">
      <c r="A14" s="3796" t="s">
        <v>1281</v>
      </c>
      <c r="B14" s="3851">
        <v>30</v>
      </c>
      <c r="C14" s="3854">
        <v>45</v>
      </c>
      <c r="D14" s="3842">
        <v>55</v>
      </c>
      <c r="E14" s="130" t="s">
        <v>1282</v>
      </c>
      <c r="F14" s="1752"/>
      <c r="G14" s="1752"/>
      <c r="H14" s="1752"/>
      <c r="I14" s="1368"/>
    </row>
    <row r="15" spans="1:12" ht="12.75">
      <c r="A15" s="3796"/>
      <c r="B15" s="3851"/>
      <c r="C15" s="3856"/>
      <c r="D15" s="3842"/>
      <c r="E15" s="130" t="s">
        <v>1283</v>
      </c>
      <c r="F15" s="1752"/>
      <c r="G15" s="1752"/>
      <c r="H15" s="1752"/>
      <c r="I15" s="1368"/>
    </row>
    <row r="16" spans="1:12" ht="12.75">
      <c r="A16" s="3796"/>
      <c r="B16" s="3851"/>
      <c r="C16" s="3855"/>
      <c r="D16" s="3842"/>
      <c r="E16" s="130" t="s">
        <v>1284</v>
      </c>
      <c r="F16" s="1752"/>
      <c r="G16" s="1752"/>
      <c r="H16" s="1752"/>
      <c r="I16" s="1368"/>
    </row>
    <row r="17" spans="1:36" ht="15">
      <c r="A17" s="1753" t="s">
        <v>1285</v>
      </c>
      <c r="B17" s="56"/>
      <c r="C17" s="131">
        <f>SUM(C5:C16)</f>
        <v>45</v>
      </c>
      <c r="D17" s="131">
        <f>SUM(D5:D16)</f>
        <v>55</v>
      </c>
      <c r="E17" s="128"/>
      <c r="F17" s="128"/>
      <c r="G17" s="128"/>
      <c r="H17" s="128"/>
      <c r="I17" s="128"/>
      <c r="K17" s="301"/>
      <c r="L17" s="301" t="s">
        <v>1286</v>
      </c>
      <c r="M17" s="301" t="s">
        <v>1287</v>
      </c>
    </row>
    <row r="18" spans="1:36" ht="31.9" customHeight="1" thickBot="1">
      <c r="A18" s="1754" t="s">
        <v>1288</v>
      </c>
      <c r="B18" s="1755"/>
      <c r="C18" s="132">
        <f>ROUND(C17/SUM(C17:D17),2)</f>
        <v>0.45</v>
      </c>
      <c r="D18" s="132">
        <f>1-C18</f>
        <v>0.55000000000000004</v>
      </c>
      <c r="E18" s="3873" t="s">
        <v>2130</v>
      </c>
      <c r="F18" s="3874"/>
      <c r="G18" s="3874"/>
      <c r="H18" s="3874"/>
      <c r="I18" s="3874"/>
      <c r="K18" s="301" t="s">
        <v>1289</v>
      </c>
      <c r="L18" s="301">
        <f>IF(C1="",'数据-汇总表'!E3,SUMIF(项目类型,C1,'数据-汇总表'!E17:E26)+SUMIF(项目类型,C1,'数据-汇总表'!I17:I26))</f>
        <v>185933.89999999997</v>
      </c>
      <c r="M18" s="301">
        <f>IF(C1="",'数据-汇总表'!E3,SUMIF(项目类型,C1,'数据-汇总表'!E17:E26))</f>
        <v>185933.89999999997</v>
      </c>
    </row>
    <row r="19" spans="1:36" ht="15">
      <c r="A19" s="1756" t="s">
        <v>1290</v>
      </c>
      <c r="B19" s="1757" t="s">
        <v>1291</v>
      </c>
      <c r="C19" s="133">
        <f ca="1">SUMIF(INDIRECT("'"&amp;C4&amp;"'"&amp;"!A:A"),结果表!B19,INDIRECT("'"&amp;C4&amp;"'"&amp;"!B:B"))</f>
        <v>189980</v>
      </c>
      <c r="D19" s="134">
        <f ca="1">SUMIF(INDIRECT("'"&amp;D4&amp;"'"&amp;"!A:A"),结果表!B19,INDIRECT("'"&amp;D4&amp;"'"&amp;"!B:B"))</f>
        <v>137882</v>
      </c>
      <c r="E19" s="1756" t="s">
        <v>1292</v>
      </c>
      <c r="F19" s="1757" t="s">
        <v>1291</v>
      </c>
      <c r="G19" s="135">
        <f ca="1">ROUND(C19*$C$18+D19*$D$18,0)</f>
        <v>161326</v>
      </c>
      <c r="H19" s="1758" t="s">
        <v>1293</v>
      </c>
      <c r="I19" s="128"/>
      <c r="K19" s="301" t="s">
        <v>1294</v>
      </c>
      <c r="L19" s="301">
        <f>IF(C1="",'数据-汇总表'!D3,SUMIF(项目类型,C1,'数据-汇总表'!D17:D26)+SUMIF(项目类型,C1,'数据-汇总表'!H17:H27))</f>
        <v>61753.05</v>
      </c>
      <c r="M19" s="301">
        <f>IF(C1="",'数据-汇总表'!D3,SUMIF(项目类型,C1,'数据-汇总表'!D17:D26))</f>
        <v>61753.05</v>
      </c>
    </row>
    <row r="20" spans="1:36" ht="15">
      <c r="A20" s="1759"/>
      <c r="B20" s="1022" t="s">
        <v>1295</v>
      </c>
      <c r="C20" s="136">
        <f ca="1">SUMIF(INDIRECT("'"&amp;C4&amp;"'"&amp;"!A:A"),结果表!B20,INDIRECT("'"&amp;C4&amp;"'"&amp;"!B:B"))</f>
        <v>10218</v>
      </c>
      <c r="D20" s="137">
        <f ca="1">SUMIF(INDIRECT("'"&amp;D4&amp;"'"&amp;"!A:A"),结果表!B20,INDIRECT("'"&amp;D4&amp;"'"&amp;"!B:B"))</f>
        <v>7416</v>
      </c>
      <c r="E20" s="1759"/>
      <c r="F20" s="1022" t="s">
        <v>1295</v>
      </c>
      <c r="G20" s="138">
        <f ca="1">ROUND(C20*$C$18+D20*$D$18,0)</f>
        <v>8677</v>
      </c>
      <c r="H20" s="804" t="s">
        <v>1296</v>
      </c>
      <c r="I20" s="128"/>
    </row>
    <row r="21" spans="1:36" ht="15" customHeight="1" thickBot="1">
      <c r="A21" s="824"/>
      <c r="B21" s="1760" t="s">
        <v>1297</v>
      </c>
      <c r="C21" s="718">
        <f ca="1">ROUND(C19*10000/L19,0)</f>
        <v>30764</v>
      </c>
      <c r="D21" s="719">
        <f ca="1">ROUND(D19*10000/L19,0)</f>
        <v>22328</v>
      </c>
      <c r="E21" s="824"/>
      <c r="F21" s="1760" t="s">
        <v>1297</v>
      </c>
      <c r="G21" s="139">
        <f ca="1">ROUND(G19*10000/L19,0)</f>
        <v>26124</v>
      </c>
      <c r="H21" s="1761" t="s">
        <v>1296</v>
      </c>
      <c r="I21" s="128"/>
    </row>
    <row r="22" spans="1:36" ht="15" thickBot="1">
      <c r="A22" s="1683" t="s">
        <v>1298</v>
      </c>
      <c r="B22" s="1762"/>
      <c r="C22" s="1763"/>
      <c r="D22" s="720">
        <f ca="1">IF(C19&lt;D19,D19/C19-1,C19/D19-1)</f>
        <v>0.37784482383487328</v>
      </c>
      <c r="E22" s="128"/>
      <c r="F22" s="128"/>
      <c r="G22" s="128"/>
      <c r="H22" s="128"/>
      <c r="I22" s="128"/>
    </row>
    <row r="23" spans="1:36" ht="13.5" thickBot="1">
      <c r="A23" s="1742"/>
      <c r="B23" s="1742"/>
      <c r="C23" s="1742"/>
      <c r="D23" s="1742"/>
      <c r="E23" s="128"/>
      <c r="F23" s="128"/>
      <c r="G23" s="128"/>
      <c r="H23" s="128"/>
      <c r="I23" s="128"/>
    </row>
    <row r="24" spans="1:36" ht="14.25">
      <c r="A24" s="3866" t="s">
        <v>1299</v>
      </c>
      <c r="B24" s="1757" t="s">
        <v>1291</v>
      </c>
      <c r="C24" s="135">
        <f>IF(B30=0,0,D30)</f>
        <v>0</v>
      </c>
      <c r="D24" s="1764"/>
      <c r="E24" s="128"/>
      <c r="F24" s="128"/>
      <c r="G24" s="128"/>
      <c r="H24" s="128"/>
      <c r="I24" s="128"/>
      <c r="K24" s="724">
        <v>48080</v>
      </c>
    </row>
    <row r="25" spans="1:36" ht="14.25">
      <c r="A25" s="3867"/>
      <c r="B25" s="1022" t="s">
        <v>1295</v>
      </c>
      <c r="C25" s="140">
        <f>IF(B30=0,0,C30)</f>
        <v>0</v>
      </c>
      <c r="D25" s="1765"/>
      <c r="E25" s="128"/>
      <c r="F25" s="128"/>
      <c r="G25" s="128"/>
      <c r="H25" s="128"/>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c r="H28" s="128"/>
      <c r="I28" s="128"/>
    </row>
    <row r="29" spans="1:36" ht="14.25">
      <c r="A29" s="1766"/>
      <c r="B29" s="141"/>
      <c r="C29" s="141"/>
      <c r="D29" s="142"/>
      <c r="E29" s="128"/>
      <c r="F29" s="128"/>
      <c r="G29" s="128"/>
      <c r="H29" s="128"/>
      <c r="I29" s="128"/>
    </row>
    <row r="30" spans="1:36" ht="15" thickBot="1">
      <c r="A30" s="141" t="s">
        <v>1304</v>
      </c>
      <c r="B30" s="141"/>
      <c r="C30" s="141"/>
      <c r="D30" s="141"/>
      <c r="E30" s="2295" t="s">
        <v>2131</v>
      </c>
      <c r="F30" s="128"/>
      <c r="G30" s="128"/>
      <c r="H30" s="128"/>
      <c r="I30" s="128"/>
    </row>
    <row r="31" spans="1:36" s="2301" customFormat="1" ht="26.45" customHeight="1" thickTop="1" thickBot="1">
      <c r="A31" s="2296"/>
      <c r="B31" s="2297"/>
      <c r="C31" s="2297"/>
      <c r="D31" s="2297"/>
      <c r="E31" s="2297"/>
      <c r="F31" s="2297"/>
      <c r="G31" s="2297"/>
      <c r="H31" s="2297"/>
      <c r="I31" s="2298" t="s">
        <v>2132</v>
      </c>
      <c r="J31" s="267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8" t="s">
        <v>1305</v>
      </c>
      <c r="B32" s="1769"/>
      <c r="C32" s="143">
        <f ca="1">IF(D32="总价",G19-C24,G20-C25)</f>
        <v>161326</v>
      </c>
      <c r="D32" s="1770" t="s">
        <v>3406</v>
      </c>
      <c r="E32" s="128"/>
      <c r="F32" s="128"/>
      <c r="G32" s="128"/>
      <c r="H32" s="128"/>
      <c r="I32" s="128"/>
    </row>
    <row r="33" spans="1:15" ht="15">
      <c r="A33" s="782" t="s">
        <v>1306</v>
      </c>
      <c r="B33" s="1771"/>
      <c r="C33" s="1772" t="s">
        <v>3407</v>
      </c>
      <c r="D33" s="1773" t="s">
        <v>3396</v>
      </c>
      <c r="E33" s="1774" t="s">
        <v>1307</v>
      </c>
      <c r="F33" s="1775" t="str">
        <f>IF(D32="楼面单价","取值（单价）","取值（总价）")</f>
        <v>取值（总价）</v>
      </c>
      <c r="G33" s="128"/>
      <c r="H33" s="128"/>
      <c r="I33" s="128"/>
    </row>
    <row r="34" spans="1:15" ht="15">
      <c r="A34" s="1776"/>
      <c r="B34" s="1777" t="s">
        <v>1308</v>
      </c>
      <c r="C34" s="147">
        <f ca="1">IF(C33="自定义",F34,C32-C35)</f>
        <v>113896</v>
      </c>
      <c r="D34" s="857">
        <f ca="1">IF(C33="自定义",ROUND(C34/C32,3),IF(C33="收益比率",SUMIF(INDIRECT("'"&amp;D33&amp;"'"&amp;"!b:b"),"土地收益比率",INDIRECT("'"&amp;D33&amp;"'"&amp;"!c:c")),SUMIF(INDIRECT("'"&amp;D33&amp;"'"&amp;"!b:b"),"土地成本比率",INDIRECT("'"&amp;D33&amp;"'"&amp;"!c:c"))))</f>
        <v>0.70599999999999996</v>
      </c>
      <c r="E34" s="1778" t="s">
        <v>1309</v>
      </c>
      <c r="F34" s="1325"/>
      <c r="G34" s="128"/>
      <c r="H34" s="128"/>
      <c r="I34" s="128"/>
    </row>
    <row r="35" spans="1:15" ht="15.75" thickBot="1">
      <c r="A35" s="1779"/>
      <c r="B35" s="1780" t="s">
        <v>1310</v>
      </c>
      <c r="C35" s="1166">
        <f ca="1">IF(C33="自定义",F35,ROUND(C32*D35,0))</f>
        <v>47430</v>
      </c>
      <c r="D35" s="1167">
        <f ca="1">IF(C33="自定义",ROUND(C35/C32,3),IF(C33="收益比率",SUMIF(INDIRECT("'"&amp;D33&amp;"'"&amp;"!b:b"),"建筑物收益比率",INDIRECT("'"&amp;D33&amp;"'"&amp;"!c:c")),SUMIF(INDIRECT("'"&amp;D33&amp;"'"&amp;"!b:b"),"建筑物成本比率",INDIRECT("'"&amp;D33&amp;"'"&amp;"!c:c"))))</f>
        <v>0.29399999999999998</v>
      </c>
      <c r="E35" s="1781" t="s">
        <v>1311</v>
      </c>
      <c r="F35" s="153"/>
      <c r="G35" s="128"/>
      <c r="H35" s="128"/>
      <c r="I35" s="128"/>
    </row>
    <row r="36" spans="1:15" ht="15.75" thickBot="1">
      <c r="A36" s="3843" t="s">
        <v>1312</v>
      </c>
      <c r="B36" s="1782" t="s">
        <v>1313</v>
      </c>
      <c r="C36" s="144"/>
      <c r="D36" s="1783"/>
      <c r="E36" s="1784"/>
      <c r="F36" s="1785"/>
      <c r="G36" s="128"/>
      <c r="H36" s="128"/>
      <c r="I36" s="128"/>
    </row>
    <row r="37" spans="1:15" ht="15.75" thickBot="1">
      <c r="A37" s="3844"/>
      <c r="B37" s="1669" t="s">
        <v>1314</v>
      </c>
      <c r="C37" s="146"/>
      <c r="D37" s="1135"/>
      <c r="E37" s="1135"/>
      <c r="F37" s="1785"/>
      <c r="G37" s="128"/>
      <c r="H37" s="128"/>
      <c r="I37" s="128"/>
    </row>
    <row r="38" spans="1:15" ht="15.75" thickBot="1">
      <c r="A38" s="3845"/>
      <c r="B38" s="1786" t="s">
        <v>1315</v>
      </c>
      <c r="C38" s="673"/>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863" t="s">
        <v>1326</v>
      </c>
      <c r="B45" s="3864"/>
      <c r="C45" s="3865"/>
      <c r="D45" s="154">
        <f ca="1">ROUND(H101*F45,0)</f>
        <v>161326</v>
      </c>
      <c r="E45" s="155" t="s">
        <v>1327</v>
      </c>
      <c r="F45" s="156">
        <v>1</v>
      </c>
      <c r="G45" s="157" t="s">
        <v>1328</v>
      </c>
      <c r="H45" s="128"/>
      <c r="I45" s="128"/>
      <c r="J45" s="3783" t="s">
        <v>1329</v>
      </c>
      <c r="K45" s="3783"/>
      <c r="L45" s="3783"/>
      <c r="M45" s="3783"/>
      <c r="N45" s="3783"/>
      <c r="O45" s="3783"/>
    </row>
    <row r="46" spans="1:15" ht="14.25" customHeight="1">
      <c r="A46" s="3860" t="s">
        <v>1330</v>
      </c>
      <c r="B46" s="3861"/>
      <c r="C46" s="3861"/>
      <c r="D46" s="3861"/>
      <c r="E46" s="3861"/>
      <c r="F46" s="3861"/>
      <c r="G46" s="3862"/>
      <c r="H46" s="1801"/>
      <c r="I46" s="158"/>
      <c r="J46" s="2514">
        <v>1</v>
      </c>
      <c r="K46" s="3784" t="s">
        <v>1331</v>
      </c>
      <c r="L46" s="3784"/>
      <c r="M46" s="3785"/>
      <c r="N46" s="3785"/>
      <c r="O46" s="3785"/>
    </row>
    <row r="47" spans="1:15" ht="12" customHeight="1">
      <c r="A47" s="159" t="s">
        <v>1332</v>
      </c>
      <c r="B47" s="160"/>
      <c r="C47" s="161"/>
      <c r="D47" s="1083" t="s">
        <v>1333</v>
      </c>
      <c r="E47" s="301" t="s">
        <v>1334</v>
      </c>
      <c r="F47" s="162" t="s">
        <v>1335</v>
      </c>
      <c r="G47" s="2537" t="s">
        <v>1336</v>
      </c>
      <c r="H47" s="2538"/>
      <c r="I47" s="158"/>
      <c r="J47" s="2514">
        <v>2</v>
      </c>
      <c r="K47" s="3784" t="s">
        <v>1337</v>
      </c>
      <c r="L47" s="3784"/>
      <c r="M47" s="3786">
        <f>'数据-取费表'!B2</f>
        <v>44999</v>
      </c>
      <c r="N47" s="3786"/>
      <c r="O47" s="3786"/>
    </row>
    <row r="48" spans="1:15" ht="25.5">
      <c r="A48" s="3846" t="s">
        <v>1338</v>
      </c>
      <c r="B48" s="3847"/>
      <c r="C48" s="3847"/>
      <c r="D48" s="2316" t="b">
        <f>IF(H48="情况1",0,IF(H48="情况2",D52,IF(H48="情况3",D53,IF(H48="情况4",D54))))</f>
        <v>0</v>
      </c>
      <c r="E48" s="2326" t="str">
        <f>IF(H48="情况4","(销售额-原购置价)×税（费）率","销售额×税（费）率")</f>
        <v>销售额×税（费）率</v>
      </c>
      <c r="F48" s="2539">
        <f>IF(H48="情况1","免征",'数据-取费表'!B41)</f>
        <v>5.6000000000000001E-2</v>
      </c>
      <c r="G48" s="2540" t="s">
        <v>1339</v>
      </c>
      <c r="H48" s="2541"/>
      <c r="I48" s="1801"/>
      <c r="J48" s="2514">
        <v>3</v>
      </c>
      <c r="K48" s="3784" t="s">
        <v>1340</v>
      </c>
      <c r="L48" s="3784"/>
      <c r="M48" s="3787">
        <f ca="1">H101</f>
        <v>161326</v>
      </c>
      <c r="N48" s="3787"/>
      <c r="O48" s="3787"/>
    </row>
    <row r="49" spans="1:35" ht="25.5" customHeight="1">
      <c r="A49" s="2325" t="s">
        <v>1341</v>
      </c>
      <c r="B49" s="3832" t="s">
        <v>1342</v>
      </c>
      <c r="C49" s="3832"/>
      <c r="D49" s="1585">
        <v>0</v>
      </c>
      <c r="E49" s="323" t="s">
        <v>1343</v>
      </c>
      <c r="F49" s="2415" t="s">
        <v>28</v>
      </c>
      <c r="G49" s="3815"/>
      <c r="H49" s="2302" t="s">
        <v>2133</v>
      </c>
      <c r="I49" s="2303"/>
      <c r="J49" s="2514">
        <v>4</v>
      </c>
      <c r="K49" s="3784" t="str">
        <f>IF(项目基本情况!E8="房地产抵押价值","房地产抵押价值","抵押担保权已注销时的房地产抵押价值")</f>
        <v>房地产抵押价值</v>
      </c>
      <c r="L49" s="3784"/>
      <c r="M49" s="3787">
        <f ca="1">IF(项目基本情况!E8="房地产抵押价值",H107,H109)</f>
        <v>161326</v>
      </c>
      <c r="N49" s="3787"/>
      <c r="O49" s="3787"/>
    </row>
    <row r="50" spans="1:35" ht="25.5" customHeight="1">
      <c r="A50" s="2542"/>
      <c r="B50" s="3832" t="s">
        <v>1344</v>
      </c>
      <c r="C50" s="3832"/>
      <c r="D50" s="2543"/>
      <c r="E50" s="331"/>
      <c r="F50" s="2415"/>
      <c r="G50" s="3816"/>
      <c r="H50" s="2304" t="s">
        <v>2134</v>
      </c>
      <c r="I50" s="2303"/>
      <c r="J50" s="3783" t="s">
        <v>1345</v>
      </c>
      <c r="K50" s="3783"/>
      <c r="L50" s="3783"/>
      <c r="M50" s="3783"/>
      <c r="N50" s="3783"/>
      <c r="O50" s="3783"/>
    </row>
    <row r="51" spans="1:35" ht="20.45" customHeight="1">
      <c r="A51" s="2544"/>
      <c r="B51" s="3832" t="s">
        <v>1346</v>
      </c>
      <c r="C51" s="3832"/>
      <c r="D51" s="1083"/>
      <c r="E51" s="326"/>
      <c r="F51" s="2415"/>
      <c r="G51" s="3817"/>
      <c r="H51" s="2304" t="s">
        <v>2135</v>
      </c>
      <c r="I51" s="2303"/>
      <c r="J51" s="2515" t="s">
        <v>1347</v>
      </c>
      <c r="K51" s="3784" t="s">
        <v>1348</v>
      </c>
      <c r="L51" s="3784"/>
      <c r="M51" s="2515" t="s">
        <v>1349</v>
      </c>
      <c r="N51" s="2515" t="s">
        <v>1350</v>
      </c>
      <c r="O51" s="2515" t="s">
        <v>1351</v>
      </c>
    </row>
    <row r="52" spans="1:35" ht="24" customHeight="1">
      <c r="A52" s="2327" t="s">
        <v>1352</v>
      </c>
      <c r="B52" s="3832" t="s">
        <v>1353</v>
      </c>
      <c r="C52" s="3832"/>
      <c r="D52" s="1083">
        <f ca="1">ROUND(D45*'数据-取费表'!B41/(1+'数据-取费表'!C42),0)</f>
        <v>8604</v>
      </c>
      <c r="E52" s="2326" t="s">
        <v>1354</v>
      </c>
      <c r="F52" s="2545">
        <f>'数据-取费表'!B41</f>
        <v>5.6000000000000001E-2</v>
      </c>
      <c r="G52" s="2546"/>
      <c r="H52" s="2535"/>
      <c r="I52" s="1802"/>
      <c r="J52" s="2514">
        <v>1</v>
      </c>
      <c r="K52" s="3809" t="s">
        <v>1355</v>
      </c>
      <c r="L52" s="3809"/>
      <c r="M52" s="2516" t="b">
        <f>D48</f>
        <v>0</v>
      </c>
      <c r="N52" s="2514" t="str">
        <f>E48</f>
        <v>销售额×税（费）率</v>
      </c>
      <c r="O52" s="2517">
        <f>F48</f>
        <v>5.6000000000000001E-2</v>
      </c>
    </row>
    <row r="53" spans="1:35" ht="12" customHeight="1">
      <c r="A53" s="2327" t="s">
        <v>1356</v>
      </c>
      <c r="B53" s="3833" t="s">
        <v>2288</v>
      </c>
      <c r="C53" s="3834"/>
      <c r="D53" s="1083">
        <f ca="1">ROUND(D45*'数据-取费表'!B41/(1+'数据-取费表'!C42),0)</f>
        <v>8604</v>
      </c>
      <c r="E53" s="2326" t="s">
        <v>1354</v>
      </c>
      <c r="F53" s="2545">
        <f>'数据-取费表'!B41</f>
        <v>5.6000000000000001E-2</v>
      </c>
      <c r="G53" s="2546"/>
      <c r="H53" s="2535"/>
      <c r="I53" s="1802"/>
      <c r="J53" s="2514">
        <v>2</v>
      </c>
      <c r="K53" s="3809" t="s">
        <v>1357</v>
      </c>
      <c r="L53" s="3809"/>
      <c r="M53" s="2516">
        <f t="shared" ref="M53:O54" ca="1" si="0">D55</f>
        <v>81</v>
      </c>
      <c r="N53" s="2514" t="str">
        <f t="shared" si="0"/>
        <v>销售额×税（费）率</v>
      </c>
      <c r="O53" s="2517" t="str">
        <f t="shared" si="0"/>
        <v>免征</v>
      </c>
    </row>
    <row r="54" spans="1:35" ht="12" customHeight="1">
      <c r="A54" s="2327" t="s">
        <v>1358</v>
      </c>
      <c r="B54" s="3833" t="s">
        <v>2289</v>
      </c>
      <c r="C54" s="3834"/>
      <c r="D54" s="1083">
        <f ca="1">C68</f>
        <v>8604</v>
      </c>
      <c r="E54" s="326" t="s">
        <v>1359</v>
      </c>
      <c r="F54" s="2545">
        <f>'数据-取费表'!B41</f>
        <v>5.6000000000000001E-2</v>
      </c>
      <c r="G54" s="2546"/>
      <c r="H54" s="2547"/>
      <c r="I54" s="1802"/>
      <c r="J54" s="2514">
        <v>3</v>
      </c>
      <c r="K54" s="3809" t="s">
        <v>1360</v>
      </c>
      <c r="L54" s="3809"/>
      <c r="M54" s="2516">
        <f t="shared" ca="1" si="0"/>
        <v>91311</v>
      </c>
      <c r="N54" s="2514" t="str">
        <f t="shared" si="0"/>
        <v>增值额×税（费）率</v>
      </c>
      <c r="O54" s="2518" t="str">
        <f t="shared" si="0"/>
        <v>免征</v>
      </c>
    </row>
    <row r="55" spans="1:35" ht="24" customHeight="1">
      <c r="A55" s="3869" t="s">
        <v>1361</v>
      </c>
      <c r="B55" s="3847"/>
      <c r="C55" s="3847"/>
      <c r="D55" s="2316">
        <f ca="1">IF(H55="个人住宅",0,ROUND(D45*I55,0))</f>
        <v>81</v>
      </c>
      <c r="E55" s="2326" t="s">
        <v>1362</v>
      </c>
      <c r="F55" s="2545" t="str">
        <f>IF(H55="正常",I55,"免征")</f>
        <v>免征</v>
      </c>
      <c r="G55" s="2546"/>
      <c r="H55" s="2541"/>
      <c r="I55" s="164">
        <f>'数据-取费表'!B49</f>
        <v>5.0000000000000001E-4</v>
      </c>
      <c r="J55" s="2514">
        <f>IF(H59="非个人房产","",4)</f>
        <v>4</v>
      </c>
      <c r="K55" s="3809" t="str">
        <f>IF(H59="非个人房产","——","个人所得税")</f>
        <v>个人所得税</v>
      </c>
      <c r="L55" s="3809"/>
      <c r="M55" s="2519">
        <f ca="1">D59</f>
        <v>1536</v>
      </c>
      <c r="N55" s="2032" t="str">
        <f>E59</f>
        <v>差额计税</v>
      </c>
      <c r="O55" s="2520">
        <f>F59</f>
        <v>0.01</v>
      </c>
    </row>
    <row r="56" spans="1:35" ht="24.75">
      <c r="A56" s="3869" t="s">
        <v>1363</v>
      </c>
      <c r="B56" s="3847"/>
      <c r="C56" s="3847"/>
      <c r="D56" s="2316">
        <f ca="1">IF(H56="个人住宅",D57,D58)</f>
        <v>91311</v>
      </c>
      <c r="E56" s="2326" t="s">
        <v>1364</v>
      </c>
      <c r="F56" s="2545" t="str">
        <f>IF(H56="正常",F58,"免征")</f>
        <v>免征</v>
      </c>
      <c r="G56" s="2548" t="s">
        <v>1365</v>
      </c>
      <c r="H56" s="2549"/>
      <c r="I56" s="1803"/>
      <c r="J56" s="2514" t="str">
        <f>IF(项目基本情况!K6="上海银行",IF(J55="",4,J55+1),"")</f>
        <v/>
      </c>
      <c r="K56" s="3790" t="str">
        <f>IF(项目基本情况!K6="上海银行","其他处置费用","")</f>
        <v/>
      </c>
      <c r="L56" s="3791"/>
      <c r="M56" s="2516" t="str">
        <f>IF(项目基本情况!K6="上海银行",M69,"")</f>
        <v/>
      </c>
      <c r="N56" s="3790" t="str">
        <f>IF(项目基本情况!K6="上海银行","包含处置中涉及的律师、诉讼、拍卖、评估等费用","")</f>
        <v/>
      </c>
      <c r="O56" s="3793"/>
    </row>
    <row r="57" spans="1:35" ht="12.75">
      <c r="A57" s="2327" t="s">
        <v>1341</v>
      </c>
      <c r="B57" s="3833" t="s">
        <v>1366</v>
      </c>
      <c r="C57" s="3834"/>
      <c r="D57" s="1585">
        <v>0</v>
      </c>
      <c r="E57" s="323" t="s">
        <v>1343</v>
      </c>
      <c r="F57" s="301"/>
      <c r="G57" s="2546"/>
      <c r="H57" s="2550"/>
      <c r="I57" s="1803"/>
      <c r="J57" s="3809">
        <f>IF(AND(J55="",J56=""),4,IF(项目基本情况!K6="上海银行",结果表!J56+1,结果表!J55+1))</f>
        <v>5</v>
      </c>
      <c r="K57" s="3809" t="s">
        <v>1367</v>
      </c>
      <c r="L57" s="2521" t="s">
        <v>1368</v>
      </c>
      <c r="M57" s="2522"/>
      <c r="N57" s="2523">
        <f ca="1">SUMIF(M52:M56,"&lt;9e307")</f>
        <v>92928</v>
      </c>
      <c r="O57" s="2524"/>
      <c r="P57" s="2680">
        <f ca="1">N57/M49</f>
        <v>0.57602618300831854</v>
      </c>
    </row>
    <row r="58" spans="1:35" ht="24.75">
      <c r="A58" s="2327" t="s">
        <v>1352</v>
      </c>
      <c r="B58" s="3833" t="s">
        <v>1369</v>
      </c>
      <c r="C58" s="3832"/>
      <c r="D58" s="2316">
        <f ca="1">IF(H58="转让取得",C81,C97)</f>
        <v>91311</v>
      </c>
      <c r="E58" s="2326" t="s">
        <v>1364</v>
      </c>
      <c r="F58" s="301" t="s">
        <v>28</v>
      </c>
      <c r="G58" s="2546"/>
      <c r="H58" s="2549"/>
      <c r="I58" s="1803"/>
      <c r="J58" s="3809"/>
      <c r="K58" s="3809"/>
      <c r="L58" s="2521" t="s">
        <v>1370</v>
      </c>
      <c r="M58" s="2525"/>
      <c r="N58" s="2526" t="str">
        <f ca="1">NUMBERSTRING(INT(N57*10000),2)&amp;"元整"</f>
        <v>玖亿贰仟玖佰贰拾捌万元整</v>
      </c>
      <c r="O58" s="2527"/>
    </row>
    <row r="59" spans="1:35" ht="24.75" thickBot="1">
      <c r="A59" s="3813" t="s">
        <v>1371</v>
      </c>
      <c r="B59" s="3814"/>
      <c r="C59" s="3814"/>
      <c r="D59" s="2551">
        <f ca="1">IF(H59="非个人房产","——",IF(H59="个人住宅（满五唯一有凭证）",0,IF(H59="个人其他（无凭证）",ROUND(D45*F59,0),ROUND(C67*F59,0))))</f>
        <v>1536</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6"/>
      <c r="I59" s="2305" t="s">
        <v>2136</v>
      </c>
      <c r="J59" s="3811">
        <f>J57+1</f>
        <v>6</v>
      </c>
      <c r="K59" s="3809" t="s">
        <v>1372</v>
      </c>
      <c r="L59" s="2514" t="s">
        <v>1368</v>
      </c>
      <c r="M59" s="2528"/>
      <c r="N59" s="2529">
        <f ca="1">M49-N57</f>
        <v>68398</v>
      </c>
      <c r="O59" s="2530"/>
    </row>
    <row r="60" spans="1:35" ht="12" customHeight="1">
      <c r="A60" s="1804"/>
      <c r="B60" s="1742"/>
      <c r="C60" s="1742"/>
      <c r="D60" s="1742"/>
      <c r="E60" s="1573"/>
      <c r="F60" s="1803"/>
      <c r="G60" s="1803"/>
      <c r="H60" s="1805"/>
      <c r="I60" s="128"/>
      <c r="J60" s="3812"/>
      <c r="K60" s="3809"/>
      <c r="L60" s="2521" t="s">
        <v>1370</v>
      </c>
      <c r="M60" s="2525"/>
      <c r="N60" s="2526" t="str">
        <f ca="1">NUMBERSTRING(INT(N59*10000),2)&amp;"元整"</f>
        <v>陆亿捌仟叁佰玖拾捌万元整</v>
      </c>
      <c r="O60" s="2527"/>
    </row>
    <row r="61" spans="1:35" ht="13.5" thickBot="1">
      <c r="A61" s="3868" t="s">
        <v>1373</v>
      </c>
      <c r="B61" s="3868"/>
      <c r="C61" s="3868"/>
      <c r="D61" s="3868"/>
      <c r="E61" s="3868"/>
      <c r="F61" s="1803"/>
      <c r="G61" s="1803"/>
      <c r="H61" s="1805"/>
      <c r="I61" s="128"/>
      <c r="J61" s="2514">
        <f>J59+1</f>
        <v>7</v>
      </c>
      <c r="K61" s="3809" t="s">
        <v>1374</v>
      </c>
      <c r="L61" s="3809"/>
      <c r="M61" s="2531"/>
      <c r="N61" s="2532">
        <f ca="1">ROUND(N59*10000/'数据-汇总表'!E3,0)</f>
        <v>3679</v>
      </c>
      <c r="O61" s="2533"/>
    </row>
    <row r="62" spans="1:35" ht="12.75">
      <c r="A62" s="3828" t="s">
        <v>1375</v>
      </c>
      <c r="B62" s="3829"/>
      <c r="C62" s="2013"/>
      <c r="D62" s="2013" t="s">
        <v>1376</v>
      </c>
      <c r="E62" s="165" t="s">
        <v>1377</v>
      </c>
      <c r="F62" s="1803"/>
      <c r="G62" s="1803"/>
      <c r="H62" s="1805"/>
      <c r="I62" s="128"/>
    </row>
    <row r="63" spans="1:35" ht="12.75">
      <c r="A63" s="172" t="s">
        <v>330</v>
      </c>
      <c r="B63" s="166" t="s">
        <v>1378</v>
      </c>
      <c r="C63" s="2555">
        <f ca="1">ROUND((C64+C65)/(1+'数据-取费表'!C42),0)</f>
        <v>153644</v>
      </c>
      <c r="D63" s="166"/>
      <c r="E63" s="167"/>
      <c r="F63" s="1803"/>
      <c r="G63" s="1803"/>
      <c r="H63" s="1805"/>
      <c r="I63" s="128"/>
      <c r="J63" s="3792" t="s">
        <v>1379</v>
      </c>
      <c r="K63" s="1327" t="s">
        <v>1380</v>
      </c>
      <c r="L63" s="1327">
        <f ca="1">IF(M49&gt;10000,M49*0.5%,IF(AND(M49&gt;1000,M49&lt;=10000),M49*1%,IF(AND(M49&gt;100,M49&lt;=1000),M49*3%,IF(AND(M49&gt;10,M49&lt;=100),M49*5%,M49*8%))))</f>
        <v>806.63</v>
      </c>
      <c r="M63" s="301">
        <f ca="1">ROUND(L63,1)</f>
        <v>806.6</v>
      </c>
      <c r="N63" s="2534"/>
      <c r="Z63" s="1747"/>
      <c r="AI63" s="1748"/>
    </row>
    <row r="64" spans="1:35" ht="14.25" customHeight="1">
      <c r="A64" s="168" t="s">
        <v>325</v>
      </c>
      <c r="B64" s="169" t="s">
        <v>1381</v>
      </c>
      <c r="C64" s="2556">
        <f ca="1">D45</f>
        <v>161326</v>
      </c>
      <c r="D64" s="169" t="s">
        <v>26</v>
      </c>
      <c r="E64" s="171"/>
      <c r="F64" s="1803"/>
      <c r="G64" s="1803"/>
      <c r="H64" s="1805"/>
      <c r="I64" s="128"/>
      <c r="J64" s="3792"/>
      <c r="K64" s="1327" t="s">
        <v>1382</v>
      </c>
      <c r="L64" s="1327">
        <f ca="1">IF(M49&gt;2000,M49*0.5%,IF(AND(M49&gt;1000,M49&lt;=2000),M49*0.6%,IF(AND(M49&gt;500,M49&lt;=1000),M49*0.7%,IF(AND(M49&gt;200,M49&lt;=500),M49*0.8%,IF(AND(M49&gt;100,M49&lt;=200),M49*0.9%,IF(AND(M49&gt;50,M49&lt;=100),M49*1%,IF(AND(M49&gt;20,M49&lt;=50),M49*1.5%,IF(AND(M49&gt;10,M49&lt;=20),M49*2%,IF(AND(M49&gt;1,M49&lt;=10),M49*2.5%)))))))))</f>
        <v>806.63</v>
      </c>
      <c r="M64" s="301">
        <f t="shared" ref="M64:M65" ca="1" si="1">ROUND(L64,1)</f>
        <v>806.6</v>
      </c>
      <c r="N64" s="2535" t="s">
        <v>1383</v>
      </c>
      <c r="Z64" s="1747"/>
      <c r="AI64" s="1748"/>
    </row>
    <row r="65" spans="1:35" ht="14.25" customHeight="1">
      <c r="A65" s="168" t="s">
        <v>326</v>
      </c>
      <c r="B65" s="169" t="s">
        <v>1384</v>
      </c>
      <c r="C65" s="2557"/>
      <c r="D65" s="169"/>
      <c r="E65" s="171"/>
      <c r="F65" s="1803"/>
      <c r="G65" s="1803"/>
      <c r="H65" s="1805"/>
      <c r="I65" s="128"/>
      <c r="J65" s="3792"/>
      <c r="K65" s="1327" t="s">
        <v>1385</v>
      </c>
      <c r="L65" s="1327">
        <f ca="1">IF(M49&gt;1000,M49*0.1%,IF(AND(M49&gt;500,M49&lt;=1000),M49*0.5%,IF(AND(M49&gt;50,M49&lt;=500),M49*1%,IF(AND(M49&gt;1,M49&lt;=50),M49*1.5%))))</f>
        <v>161.32599999999999</v>
      </c>
      <c r="M65" s="301">
        <f t="shared" ca="1" si="1"/>
        <v>161.30000000000001</v>
      </c>
      <c r="N65" s="2535" t="s">
        <v>1383</v>
      </c>
      <c r="Z65" s="1747"/>
      <c r="AI65" s="1748"/>
    </row>
    <row r="66" spans="1:35" ht="14.25" customHeight="1">
      <c r="A66" s="172" t="s">
        <v>327</v>
      </c>
      <c r="B66" s="173" t="s">
        <v>1386</v>
      </c>
      <c r="C66" s="2558"/>
      <c r="D66" s="173" t="s">
        <v>26</v>
      </c>
      <c r="E66" s="1333" t="s">
        <v>671</v>
      </c>
      <c r="F66" s="1803"/>
      <c r="G66" s="1803"/>
      <c r="H66" s="1805"/>
      <c r="I66" s="128"/>
      <c r="J66" s="3792"/>
      <c r="K66" s="1327" t="s">
        <v>1387</v>
      </c>
      <c r="L66" s="1327">
        <f ca="1">M49*0.5%</f>
        <v>806.63</v>
      </c>
      <c r="M66" s="301">
        <f ca="1">IF(L66&gt;0.5,0.5,ROUND(L66,0))</f>
        <v>0.5</v>
      </c>
      <c r="N66" s="2535" t="s">
        <v>1388</v>
      </c>
      <c r="Z66" s="1747"/>
      <c r="AI66" s="1748"/>
    </row>
    <row r="67" spans="1:35" ht="14.25" customHeight="1">
      <c r="A67" s="172" t="s">
        <v>328</v>
      </c>
      <c r="B67" s="173" t="s">
        <v>1389</v>
      </c>
      <c r="C67" s="2559">
        <f ca="1">C63-C66</f>
        <v>153644</v>
      </c>
      <c r="D67" s="169" t="s">
        <v>26</v>
      </c>
      <c r="E67" s="171"/>
      <c r="F67" s="1803"/>
      <c r="G67" s="1803"/>
      <c r="H67" s="1805"/>
      <c r="I67" s="128"/>
      <c r="J67" s="3792"/>
      <c r="K67" s="1327" t="s">
        <v>1390</v>
      </c>
      <c r="L67" s="1327">
        <f ca="1">IF(M49&gt;=10000,(8.25+(M49-10000)*0.01%),IF(AND(M49&gt;=8000,M49&lt;10000),(7.85+(M49-8000)*0.02%),IF(AND(M49&gt;=5000,M49&lt;8000),(6.65+(M49-5000)*0.04%),IF(AND(M49&gt;=2000,M49&lt;5000),(4.25+(PM49-2000)*0.08%),IF(AND(M49&gt;=1000,M49&lt;2000),(2.75+(M49-1000)*0.15%),IF(AND(M49&gt;=100,M49&lt;1000),(0.5+(M49-100)*0.25%),IF(AND(M49&gt;0,M49&lt;100),M49*0.5%)))))))</f>
        <v>23.3826</v>
      </c>
      <c r="M67" s="301">
        <f ca="1">ROUND(L67*0.9,1)</f>
        <v>21</v>
      </c>
      <c r="N67" s="2534"/>
      <c r="Z67" s="1747"/>
      <c r="AI67" s="1748"/>
    </row>
    <row r="68" spans="1:35" ht="14.25" customHeight="1" thickBot="1">
      <c r="A68" s="175" t="s">
        <v>329</v>
      </c>
      <c r="B68" s="176" t="s">
        <v>1391</v>
      </c>
      <c r="C68" s="2560">
        <f ca="1">IF(C67&lt;=0,0,ROUND(C67*D68,0))</f>
        <v>8604</v>
      </c>
      <c r="D68" s="2561">
        <f>'数据-取费表'!B41</f>
        <v>5.6000000000000001E-2</v>
      </c>
      <c r="E68" s="177"/>
      <c r="F68" s="1803"/>
      <c r="G68" s="1803"/>
      <c r="H68" s="1805"/>
      <c r="I68" s="128"/>
      <c r="J68" s="3792"/>
      <c r="K68" s="1327" t="s">
        <v>1392</v>
      </c>
      <c r="L68" s="1327">
        <f ca="1">IF(M49&gt;10000,M49*0.5%,IF(AND(M49&gt;5000,M49&lt;=10000),M49*1%,IF(AND(M49&gt;1000,M49&lt;=5000),M49*2%,IF(AND(M49&gt;200,M49&lt;=1000),M49*3%,M49*5%))))</f>
        <v>806.63</v>
      </c>
      <c r="M68" s="301">
        <f ca="1">ROUND(L68,1)</f>
        <v>806.6</v>
      </c>
      <c r="N68" s="2534"/>
      <c r="Z68" s="1747"/>
      <c r="AI68" s="1748"/>
    </row>
    <row r="69" spans="1:35" s="1767" customFormat="1" ht="16.5" customHeight="1">
      <c r="A69" s="1806"/>
      <c r="B69" s="1807"/>
      <c r="C69" s="1808"/>
      <c r="D69" s="1809"/>
      <c r="E69" s="1810"/>
      <c r="F69" s="1573"/>
      <c r="G69" s="1573"/>
      <c r="H69" s="1572"/>
      <c r="I69" s="1742"/>
      <c r="J69" s="3792"/>
      <c r="K69" s="1327" t="s">
        <v>1393</v>
      </c>
      <c r="L69" s="1327"/>
      <c r="M69" s="301">
        <f ca="1">ROUND(SUM(M63:M68),0)</f>
        <v>2603</v>
      </c>
      <c r="N69" s="2536">
        <f ca="1">M69/M49</f>
        <v>1.6135030931158027E-2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836" t="s">
        <v>1394</v>
      </c>
      <c r="B70" s="3837"/>
      <c r="C70" s="3837"/>
      <c r="D70" s="3837"/>
      <c r="E70" s="3837"/>
      <c r="F70" s="3837"/>
      <c r="G70" s="3837"/>
      <c r="H70" s="3837"/>
      <c r="I70" s="1811"/>
      <c r="J70" s="2681"/>
      <c r="K70" s="2681"/>
      <c r="L70" s="2681"/>
      <c r="M70" s="2681"/>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828" t="s">
        <v>1375</v>
      </c>
      <c r="B71" s="3829"/>
      <c r="C71" s="2013"/>
      <c r="D71" s="2013" t="s">
        <v>1376</v>
      </c>
      <c r="E71" s="178" t="s">
        <v>1377</v>
      </c>
      <c r="F71" s="179"/>
      <c r="G71" s="179"/>
      <c r="H71" s="180"/>
      <c r="I71" s="1815"/>
      <c r="J71" s="2681"/>
      <c r="K71" s="2681"/>
      <c r="L71" s="2681"/>
      <c r="M71" s="2681"/>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59">
        <f ca="1">ROUND(D45/(1+'数据-取费表'!C42),0)</f>
        <v>153644</v>
      </c>
      <c r="D72" s="169" t="s">
        <v>26</v>
      </c>
      <c r="E72" s="2323"/>
      <c r="F72" s="2322"/>
      <c r="G72" s="2322"/>
      <c r="H72" s="181"/>
      <c r="I72" s="1815"/>
      <c r="J72" s="2681"/>
      <c r="K72" s="2681"/>
      <c r="L72" s="2681"/>
      <c r="M72" s="2681"/>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59">
        <f ca="1">C74+C78</f>
        <v>922</v>
      </c>
      <c r="D73" s="169" t="s">
        <v>26</v>
      </c>
      <c r="E73" s="2323"/>
      <c r="F73" s="2322"/>
      <c r="G73" s="2322"/>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3"/>
      <c r="F74" s="2322"/>
      <c r="G74" s="2322"/>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2"/>
      <c r="D75" s="169" t="s">
        <v>26</v>
      </c>
      <c r="E75" s="183" t="s">
        <v>1399</v>
      </c>
      <c r="F75" s="2563"/>
      <c r="G75" s="183" t="s">
        <v>1400</v>
      </c>
      <c r="H75" s="2564"/>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5">
        <v>0.05</v>
      </c>
      <c r="E76" s="3833" t="s">
        <v>1402</v>
      </c>
      <c r="F76" s="3832"/>
      <c r="G76" s="3832"/>
      <c r="H76" s="383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66">
        <f>'数据-取费表'!B48+'数据-取费表'!B49</f>
        <v>3.0499999999999999E-2</v>
      </c>
      <c r="E77" s="2316" t="s">
        <v>1404</v>
      </c>
      <c r="F77" s="185"/>
      <c r="G77" s="1817"/>
      <c r="H77" s="2324"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67">
        <f ca="1">ROUND(D45*D78/(1+'数据-取费表'!C42),0)</f>
        <v>922</v>
      </c>
      <c r="D78" s="2568">
        <f>'数据-取费表'!B43</f>
        <v>6.000000000000001E-3</v>
      </c>
      <c r="E78" s="3825" t="s">
        <v>1406</v>
      </c>
      <c r="F78" s="3826"/>
      <c r="G78" s="3826"/>
      <c r="H78" s="382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59">
        <f ca="1">C72-C73</f>
        <v>152722</v>
      </c>
      <c r="D79" s="169" t="s">
        <v>26</v>
      </c>
      <c r="E79" s="2323"/>
      <c r="F79" s="2322"/>
      <c r="G79" s="2322"/>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69">
        <f ca="1">IF(C79&lt;=0,0,C79/C73)</f>
        <v>165.64208242950107</v>
      </c>
      <c r="D80" s="169"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0">
        <f ca="1">ROUND(IF(C79&lt;=0,0,IF(C80&gt;=200%,C79*60%-C73*35%,IF(C80&gt;=100%,C79*50%-C73*15%,IF(C80&gt;=50%,C79*40%-C73*5%,IF(C80&lt;50%,C79*30%,0))))),0)</f>
        <v>91311</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836" t="s">
        <v>1410</v>
      </c>
      <c r="B83" s="3837"/>
      <c r="C83" s="3837"/>
      <c r="D83" s="3837"/>
      <c r="E83" s="3837"/>
      <c r="F83" s="3837"/>
      <c r="G83" s="3837"/>
      <c r="H83" s="383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828" t="s">
        <v>1375</v>
      </c>
      <c r="B84" s="3829"/>
      <c r="C84" s="2013"/>
      <c r="D84" s="2013"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59">
        <f ca="1">ROUND(D45/(1+'数据-取费表'!C42),0)</f>
        <v>153644</v>
      </c>
      <c r="D85" s="169" t="s">
        <v>26</v>
      </c>
      <c r="E85" s="2323"/>
      <c r="F85" s="2322"/>
      <c r="G85" s="2322"/>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59">
        <f ca="1">IF(H88="仅含出让金",C87+C90+C91+C92+C93+C94,C87+C91+C92+C93+C94)</f>
        <v>922</v>
      </c>
      <c r="D86" s="2572"/>
      <c r="E86" s="2323"/>
      <c r="F86" s="2322"/>
      <c r="G86" s="2322"/>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67">
        <f>C88+C89</f>
        <v>0</v>
      </c>
      <c r="D87" s="2568"/>
      <c r="E87" s="2318"/>
      <c r="F87" s="2319"/>
      <c r="G87" s="2319"/>
      <c r="H87" s="2320"/>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3"/>
      <c r="D88" s="2568"/>
      <c r="E88" s="192" t="s">
        <v>1413</v>
      </c>
      <c r="F88" s="2319"/>
      <c r="G88" s="193" t="s">
        <v>1414</v>
      </c>
      <c r="H88" s="1819"/>
      <c r="I88" s="1816"/>
      <c r="J88" s="2512"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67">
        <f>ROUND(C88*D89,0)</f>
        <v>0</v>
      </c>
      <c r="D89" s="2568">
        <f>'数据-取费表'!B48+'数据-取费表'!B49</f>
        <v>3.0499999999999999E-2</v>
      </c>
      <c r="E89" s="192" t="s">
        <v>1415</v>
      </c>
      <c r="F89" s="2319"/>
      <c r="G89" s="2319"/>
      <c r="H89" s="2320"/>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3"/>
      <c r="D90" s="2568"/>
      <c r="E90" s="192" t="str">
        <f>IF(H88="-","土地取得成本中已包含该笔费用"," ")</f>
        <v xml:space="preserve"> </v>
      </c>
      <c r="F90" s="2319"/>
      <c r="G90" s="3794" t="s">
        <v>2128</v>
      </c>
      <c r="H90" s="3795"/>
      <c r="I90" s="1816"/>
      <c r="J90" s="2512"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67">
        <f>IF(H91="——",成本法!C33,I91)</f>
        <v>0</v>
      </c>
      <c r="D91" s="2568"/>
      <c r="E91" s="3825" t="s">
        <v>1419</v>
      </c>
      <c r="F91" s="3826"/>
      <c r="G91" s="382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67">
        <f>ROUND((C87+C90+C91)*D92,0)</f>
        <v>0</v>
      </c>
      <c r="D92" s="2574"/>
      <c r="E92" s="3825" t="s">
        <v>1422</v>
      </c>
      <c r="F92" s="3826"/>
      <c r="G92" s="3826"/>
      <c r="H92" s="3827"/>
      <c r="I92" s="1816"/>
      <c r="J92" s="2513"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67">
        <f ca="1">ROUND(D45*D93/(1+'数据-取费表'!C42),0)</f>
        <v>922</v>
      </c>
      <c r="D93" s="2568">
        <f>'数据-取费表'!B43</f>
        <v>6.000000000000001E-3</v>
      </c>
      <c r="E93" s="3825" t="s">
        <v>1406</v>
      </c>
      <c r="F93" s="3826"/>
      <c r="G93" s="3826"/>
      <c r="H93" s="382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3">
        <f>ROUND((C87+C90+C91)*D94,0)</f>
        <v>0</v>
      </c>
      <c r="D94" s="2568">
        <v>0.2</v>
      </c>
      <c r="E94" s="3870" t="s">
        <v>1426</v>
      </c>
      <c r="F94" s="3871"/>
      <c r="G94" s="3871"/>
      <c r="H94" s="387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59">
        <f ca="1">ROUND(C85-C86,0)</f>
        <v>152722</v>
      </c>
      <c r="D95" s="169" t="s">
        <v>26</v>
      </c>
      <c r="E95" s="2323"/>
      <c r="F95" s="2322"/>
      <c r="G95" s="2322"/>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69">
        <f ca="1">IF(C95&lt;=0,0,C95/C86)</f>
        <v>165.64208242950107</v>
      </c>
      <c r="D96" s="169"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0">
        <f ca="1">ROUND(IF(C95&lt;=0,0,IF(C96&gt;=200%,C95*60%-C86*35%,IF(C96&gt;=100%,C95*50%-C86*15%,IF(C96&gt;=50%,C95*40%-C86*5%,IF(C96&lt;50%,C95*30%,0))))),0)</f>
        <v>91311</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775" t="s">
        <v>1428</v>
      </c>
      <c r="B100" s="3776"/>
      <c r="C100" s="3776"/>
      <c r="D100" s="3810"/>
      <c r="E100" s="3776" t="s">
        <v>1429</v>
      </c>
      <c r="F100" s="3776"/>
      <c r="G100" s="3776"/>
      <c r="H100" s="3810"/>
      <c r="I100" s="128"/>
    </row>
    <row r="101" spans="1:35" ht="18.75" customHeight="1">
      <c r="A101" s="3818" t="s">
        <v>1430</v>
      </c>
      <c r="B101" s="3819"/>
      <c r="C101" s="2576" t="str">
        <f>C4</f>
        <v>成本法</v>
      </c>
      <c r="D101" s="2577" t="str">
        <f>D4</f>
        <v>假设开发法</v>
      </c>
      <c r="E101" s="3788" t="s">
        <v>1431</v>
      </c>
      <c r="F101" s="3789"/>
      <c r="G101" s="1822" t="s">
        <v>1432</v>
      </c>
      <c r="H101" s="2586">
        <f ca="1">H118</f>
        <v>161326</v>
      </c>
      <c r="I101" s="128"/>
    </row>
    <row r="102" spans="1:35" ht="18.75" customHeight="1">
      <c r="A102" s="3820" t="s">
        <v>1433</v>
      </c>
      <c r="B102" s="2575" t="s">
        <v>1432</v>
      </c>
      <c r="C102" s="2576">
        <f ca="1">IF(D32="楼面单价",ROUND(C19,0),C19)</f>
        <v>189980</v>
      </c>
      <c r="D102" s="2577">
        <f ca="1">IF(D32="楼面单价",ROUND(D19,0),D19)</f>
        <v>137882</v>
      </c>
      <c r="E102" s="3788"/>
      <c r="F102" s="3789"/>
      <c r="G102" s="1822" t="s">
        <v>1434</v>
      </c>
      <c r="H102" s="2546">
        <f ca="1">I118</f>
        <v>8677</v>
      </c>
      <c r="I102" s="128"/>
    </row>
    <row r="103" spans="1:35" ht="42.75" customHeight="1">
      <c r="A103" s="3820"/>
      <c r="B103" s="2575" t="s">
        <v>1434</v>
      </c>
      <c r="C103" s="2578">
        <f ca="1">C20</f>
        <v>10218</v>
      </c>
      <c r="D103" s="2579">
        <f ca="1">D20</f>
        <v>7416</v>
      </c>
      <c r="E103" s="3781" t="s">
        <v>1435</v>
      </c>
      <c r="F103" s="3782"/>
      <c r="G103" s="1823" t="s">
        <v>1436</v>
      </c>
      <c r="H103" s="2586">
        <f>IF(D36="正常操作",H104+H105+H106,H105+H106)</f>
        <v>0</v>
      </c>
      <c r="I103" s="128"/>
    </row>
    <row r="104" spans="1:35" ht="18.75" customHeight="1">
      <c r="A104" s="3820" t="s">
        <v>1437</v>
      </c>
      <c r="B104" s="2580" t="s">
        <v>1432</v>
      </c>
      <c r="C104" s="2581">
        <f ca="1">H118</f>
        <v>161326</v>
      </c>
      <c r="D104" s="2582"/>
      <c r="E104" s="1669" t="s">
        <v>1438</v>
      </c>
      <c r="F104" s="1661"/>
      <c r="G104" s="1823" t="s">
        <v>1436</v>
      </c>
      <c r="H104" s="2587">
        <f>IF(D36="同一抵押权人同一抵押物续贷",C36&amp;"（续贷，未扣减，详见特别提示）",C36)</f>
        <v>0</v>
      </c>
      <c r="I104" s="128"/>
    </row>
    <row r="105" spans="1:35" ht="18.75" customHeight="1" thickBot="1">
      <c r="A105" s="3830"/>
      <c r="B105" s="2583" t="s">
        <v>1434</v>
      </c>
      <c r="C105" s="2584">
        <f ca="1">I118</f>
        <v>8677</v>
      </c>
      <c r="D105" s="2585"/>
      <c r="E105" s="1669" t="s">
        <v>1439</v>
      </c>
      <c r="F105" s="1661"/>
      <c r="G105" s="1823" t="s">
        <v>1436</v>
      </c>
      <c r="H105" s="2588">
        <f>C37</f>
        <v>0</v>
      </c>
      <c r="I105" s="128"/>
    </row>
    <row r="106" spans="1:35" ht="18.75" customHeight="1">
      <c r="A106" s="1742" t="s">
        <v>1440</v>
      </c>
      <c r="B106" s="1742"/>
      <c r="C106" s="1742"/>
      <c r="D106" s="1742"/>
      <c r="E106" s="1824" t="s">
        <v>1441</v>
      </c>
      <c r="F106" s="1661"/>
      <c r="G106" s="1823" t="s">
        <v>1436</v>
      </c>
      <c r="H106" s="2588">
        <f>C38</f>
        <v>0</v>
      </c>
      <c r="I106" s="128"/>
    </row>
    <row r="107" spans="1:35" ht="18.75" customHeight="1">
      <c r="A107" s="128"/>
      <c r="B107" s="128"/>
      <c r="C107" s="128"/>
      <c r="D107" s="128"/>
      <c r="E107" s="3821" t="str">
        <f>IF(项目基本情况!E8="已注销","——","3.房地产抵押价值")</f>
        <v>3.房地产抵押价值</v>
      </c>
      <c r="F107" s="3789"/>
      <c r="G107" s="1822" t="s">
        <v>1432</v>
      </c>
      <c r="H107" s="2586">
        <f ca="1">IF(E107="——","——",H101-H103)</f>
        <v>161326</v>
      </c>
      <c r="I107" s="128"/>
    </row>
    <row r="108" spans="1:35" ht="18.75" customHeight="1">
      <c r="A108" s="128"/>
      <c r="B108" s="128"/>
      <c r="C108" s="128"/>
      <c r="D108" s="128"/>
      <c r="E108" s="3821"/>
      <c r="F108" s="3789"/>
      <c r="G108" s="1822" t="s">
        <v>1434</v>
      </c>
      <c r="H108" s="2546">
        <f ca="1">IF(H107=H101,H102,ROUND(H107*10000/'数据-汇总表'!E3,0))</f>
        <v>8677</v>
      </c>
      <c r="I108" s="128"/>
    </row>
    <row r="109" spans="1:35" ht="18.75" customHeight="1">
      <c r="A109" s="128"/>
      <c r="B109" s="128"/>
      <c r="C109" s="128"/>
      <c r="D109" s="128"/>
      <c r="E109" s="3821" t="str">
        <f>IF(项目基本情况!E8="已注销及未注销","4.抵押担保权已注销时的房地产抵押价值",IF(项目基本情况!E8="已注销","3.抵押担保权已注销时的房地产抵押价值","——"))</f>
        <v>——</v>
      </c>
      <c r="F109" s="3789"/>
      <c r="G109" s="1822" t="s">
        <v>1432</v>
      </c>
      <c r="H109" s="2589" t="str">
        <f>IF(E109="——","——",H101-H105-H106)</f>
        <v>——</v>
      </c>
      <c r="I109" s="128"/>
    </row>
    <row r="110" spans="1:35" ht="18.75" customHeight="1">
      <c r="A110" s="128"/>
      <c r="B110" s="128"/>
      <c r="C110" s="128"/>
      <c r="D110" s="128"/>
      <c r="E110" s="3821"/>
      <c r="F110" s="3789"/>
      <c r="G110" s="1822" t="s">
        <v>1434</v>
      </c>
      <c r="H110" s="2546" t="str">
        <f>IF(H109="——","——",ROUND(H109*10000/'数据-汇总表'!E3,0))</f>
        <v>——</v>
      </c>
      <c r="I110" s="128"/>
    </row>
    <row r="111" spans="1:35" ht="18.75" customHeight="1">
      <c r="A111" s="128"/>
      <c r="B111" s="128"/>
      <c r="C111" s="128"/>
      <c r="D111" s="128"/>
      <c r="E111" s="3822" t="str">
        <f>IF(项目基本情况!E9="抵押净值",IF(OR(项目基本情况!E8="已注销",项目基本情况!E8="房地产抵押价值"),"4.抵押净值","5.抵押净值"),"——")</f>
        <v>——</v>
      </c>
      <c r="F111" s="3808"/>
      <c r="G111" s="1822" t="s">
        <v>1432</v>
      </c>
      <c r="H111" s="2586" t="str">
        <f>IF(E111="——","——",N59)</f>
        <v>——</v>
      </c>
      <c r="I111" s="128"/>
    </row>
    <row r="112" spans="1:35" ht="18.75" customHeight="1" thickBot="1">
      <c r="A112" s="128"/>
      <c r="B112" s="128"/>
      <c r="C112" s="128"/>
      <c r="D112" s="128"/>
      <c r="E112" s="3823"/>
      <c r="F112" s="3824"/>
      <c r="G112" s="1825" t="s">
        <v>1434</v>
      </c>
      <c r="H112" s="2590" t="str">
        <f>IF(E111="——","——",N61)</f>
        <v>——</v>
      </c>
      <c r="I112" s="128"/>
    </row>
    <row r="113" spans="1:27" ht="18.75" customHeight="1">
      <c r="A113" s="128"/>
      <c r="B113" s="128"/>
      <c r="C113" s="128"/>
      <c r="D113" s="128"/>
      <c r="E113" s="3831" t="s">
        <v>1440</v>
      </c>
      <c r="F113" s="3831"/>
      <c r="G113" s="3831"/>
      <c r="H113" s="3831"/>
      <c r="I113" s="128"/>
    </row>
    <row r="114" spans="1:27" ht="3.75" customHeight="1">
      <c r="A114" s="1742"/>
      <c r="B114" s="1742"/>
      <c r="C114" s="1742"/>
      <c r="D114" s="1742"/>
      <c r="E114" s="1804"/>
      <c r="F114" s="1804"/>
      <c r="G114" s="1804"/>
      <c r="H114" s="1804"/>
      <c r="I114" s="1742"/>
    </row>
    <row r="115" spans="1:27" ht="18.75" customHeight="1">
      <c r="A115" s="3839" t="s">
        <v>1442</v>
      </c>
      <c r="B115" s="3840"/>
      <c r="C115" s="3840"/>
      <c r="D115" s="3840"/>
      <c r="E115" s="3840"/>
      <c r="F115" s="3840"/>
      <c r="G115" s="3840"/>
      <c r="H115" s="3840"/>
      <c r="I115" s="3841"/>
    </row>
    <row r="116" spans="1:27" ht="27" customHeight="1">
      <c r="A116" s="3796" t="s">
        <v>1443</v>
      </c>
      <c r="B116" s="3800" t="s">
        <v>1444</v>
      </c>
      <c r="C116" s="3800" t="s">
        <v>1445</v>
      </c>
      <c r="D116" s="3806" t="s">
        <v>1446</v>
      </c>
      <c r="E116" s="3807"/>
      <c r="F116" s="3838" t="s">
        <v>1447</v>
      </c>
      <c r="G116" s="3838"/>
      <c r="H116" s="3796" t="s">
        <v>1448</v>
      </c>
      <c r="I116" s="3796"/>
    </row>
    <row r="117" spans="1:27" ht="18.75" customHeight="1">
      <c r="A117" s="3796"/>
      <c r="B117" s="3801"/>
      <c r="C117" s="3801"/>
      <c r="D117" s="2321" t="s">
        <v>1449</v>
      </c>
      <c r="E117" s="2321" t="s">
        <v>1450</v>
      </c>
      <c r="F117" s="2321" t="s">
        <v>1449</v>
      </c>
      <c r="G117" s="2321" t="s">
        <v>1451</v>
      </c>
      <c r="H117" s="2321" t="s">
        <v>1449</v>
      </c>
      <c r="I117" s="2321" t="s">
        <v>1451</v>
      </c>
    </row>
    <row r="118" spans="1:27" ht="24.75" customHeight="1">
      <c r="A118" s="2591" t="str">
        <f>项目基本情况!S2</f>
        <v>河南省郑州市经开区房地产</v>
      </c>
      <c r="B118" s="2321">
        <f>M18</f>
        <v>185933.89999999997</v>
      </c>
      <c r="C118" s="2321">
        <f>M19</f>
        <v>61753.05</v>
      </c>
      <c r="D118" s="2321">
        <f ca="1">ROUND(IF(D32="总价",C34,E118*B118/10000),0)</f>
        <v>113896</v>
      </c>
      <c r="E118" s="2321">
        <f ca="1">ROUND(IF(C33="自定义",IF(D32="楼面单价",C34,D118*10000/B118),I118-G118),0)</f>
        <v>6126</v>
      </c>
      <c r="F118" s="2321">
        <f ca="1">ROUND(IF(D32="总价",C35,G118*B118/10000),0)</f>
        <v>47430</v>
      </c>
      <c r="G118" s="2321">
        <f ca="1">ROUND(IF(D32="楼面单价",C35,F118*10000/B118),0)</f>
        <v>2551</v>
      </c>
      <c r="H118" s="2321">
        <f ca="1">ROUND(IF(D32="总价",C32,I118*B118/10000),0)</f>
        <v>161326</v>
      </c>
      <c r="I118" s="2321">
        <f ca="1">ROUND(IF(D32="楼面单价",C32,H118*10000/B118),0)</f>
        <v>8677</v>
      </c>
    </row>
    <row r="119" spans="1:27" ht="18.75" customHeight="1">
      <c r="A119" s="3796" t="s">
        <v>1452</v>
      </c>
      <c r="B119" s="3796"/>
      <c r="C119" s="3796"/>
      <c r="D119" s="3802" t="str">
        <f ca="1">NUMBERSTRING(INT(D118*10000),2)&amp;"元整"</f>
        <v>壹拾壹亿叁仟捌佰玖拾陆万元整</v>
      </c>
      <c r="E119" s="3803"/>
      <c r="F119" s="3802" t="str">
        <f ca="1">NUMBERSTRING(INT(F118*10000),2)&amp;"元整"</f>
        <v>肆亿柒仟肆佰叁拾万元整</v>
      </c>
      <c r="G119" s="3803"/>
      <c r="H119" s="3802" t="str">
        <f ca="1">NUMBERSTRING(INT(H118*10000),2)&amp;"元整"</f>
        <v>壹拾陆亿壹仟叁佰贰拾陆万元整</v>
      </c>
      <c r="I119" s="3803"/>
    </row>
    <row r="120" spans="1:27" ht="18.75" customHeight="1">
      <c r="A120" s="3797" t="str">
        <f>IF(项目基本情况!B9="房地产市场价值","",MID(E103,3,LEN(E103)-2))</f>
        <v>估价师知悉的法定优先受偿款</v>
      </c>
      <c r="B120" s="3798"/>
      <c r="C120" s="3799"/>
      <c r="D120" s="3797">
        <f>H103</f>
        <v>0</v>
      </c>
      <c r="E120" s="3798"/>
      <c r="F120" s="3798"/>
      <c r="G120" s="3798"/>
      <c r="H120" s="3798"/>
      <c r="I120" s="379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802" t="s">
        <v>1452</v>
      </c>
      <c r="B121" s="3804"/>
      <c r="C121" s="3803"/>
      <c r="D121" s="3802" t="str">
        <f>IF(D120=0,"零元整",NUMBERSTRING(INT(D120*10000),2)&amp;"元整")</f>
        <v>零元整</v>
      </c>
      <c r="E121" s="3804"/>
      <c r="F121" s="3804"/>
      <c r="G121" s="3804"/>
      <c r="H121" s="3804"/>
      <c r="I121" s="3803"/>
      <c r="AA121" s="724"/>
    </row>
    <row r="122" spans="1:27" ht="18.75" customHeight="1">
      <c r="A122" s="3808" t="str">
        <f>IF(项目基本情况!B9="房地产市场价值","",MID(E107,3,LEN(E107)-2))</f>
        <v>房地产抵押价值</v>
      </c>
      <c r="B122" s="3808"/>
      <c r="C122" s="3808"/>
      <c r="D122" s="3797">
        <f ca="1">H107</f>
        <v>161326</v>
      </c>
      <c r="E122" s="3798"/>
      <c r="F122" s="3798"/>
      <c r="G122" s="3798"/>
      <c r="H122" s="3798"/>
      <c r="I122" s="3799"/>
      <c r="AA122" s="724"/>
    </row>
    <row r="123" spans="1:27" ht="18.75" customHeight="1">
      <c r="A123" s="3796" t="s">
        <v>1452</v>
      </c>
      <c r="B123" s="3796"/>
      <c r="C123" s="3796"/>
      <c r="D123" s="3802" t="str">
        <f ca="1">NUMBERSTRING(INT(D122*10000),2)&amp;"元整"</f>
        <v>壹拾陆亿壹仟叁佰贰拾陆万元整</v>
      </c>
      <c r="E123" s="3804"/>
      <c r="F123" s="3804"/>
      <c r="G123" s="3804"/>
      <c r="H123" s="3804"/>
      <c r="I123" s="3803"/>
      <c r="AA123" s="724"/>
    </row>
    <row r="124" spans="1:27" ht="18.75" customHeight="1">
      <c r="A124" s="3808" t="str">
        <f>IF(项目基本情况!B9="房地产市场价值","",MID(E109,3,LEN(E109)-2))</f>
        <v/>
      </c>
      <c r="B124" s="3808"/>
      <c r="C124" s="3808"/>
      <c r="D124" s="3797" t="str">
        <f>H109</f>
        <v>——</v>
      </c>
      <c r="E124" s="3798"/>
      <c r="F124" s="3798"/>
      <c r="G124" s="3798"/>
      <c r="H124" s="3798"/>
      <c r="I124" s="3799"/>
      <c r="AA124" s="724"/>
    </row>
    <row r="125" spans="1:27" ht="18.75" customHeight="1">
      <c r="A125" s="3796" t="s">
        <v>1452</v>
      </c>
      <c r="B125" s="3796"/>
      <c r="C125" s="3796"/>
      <c r="D125" s="3802" t="e">
        <f>NUMBERSTRING(INT(D124*10000),2)&amp;"元整"</f>
        <v>#VALUE!</v>
      </c>
      <c r="E125" s="3804"/>
      <c r="F125" s="3804"/>
      <c r="G125" s="3804"/>
      <c r="H125" s="3804"/>
      <c r="I125" s="3803"/>
      <c r="AA125" s="724"/>
    </row>
    <row r="126" spans="1:27" ht="18.75" customHeight="1">
      <c r="A126" s="3808" t="str">
        <f>IF(项目基本情况!B9="房地产市场价值","",MID(E111,3,LEN(E111)-2))</f>
        <v/>
      </c>
      <c r="B126" s="3808"/>
      <c r="C126" s="3808"/>
      <c r="D126" s="3797" t="str">
        <f>H111</f>
        <v>——</v>
      </c>
      <c r="E126" s="3798"/>
      <c r="F126" s="3798"/>
      <c r="G126" s="3798"/>
      <c r="H126" s="3798"/>
      <c r="I126" s="3799"/>
      <c r="AA126" s="724"/>
    </row>
    <row r="127" spans="1:27" ht="18.75" customHeight="1">
      <c r="A127" s="3796" t="s">
        <v>1452</v>
      </c>
      <c r="B127" s="3796"/>
      <c r="C127" s="3796"/>
      <c r="D127" s="3802" t="e">
        <f>NUMBERSTRING(INT(D126*10000),2)&amp;"元整"</f>
        <v>#VALUE!</v>
      </c>
      <c r="E127" s="3804"/>
      <c r="F127" s="3804"/>
      <c r="G127" s="3804"/>
      <c r="H127" s="3804"/>
      <c r="I127" s="3803"/>
      <c r="AA127" s="724"/>
    </row>
    <row r="128" spans="1:27" ht="21.75" customHeight="1">
      <c r="A128" s="3805" t="s">
        <v>1453</v>
      </c>
      <c r="B128" s="3805"/>
      <c r="C128" s="3805"/>
      <c r="D128" s="3805"/>
      <c r="E128" s="3805"/>
      <c r="F128" s="3805"/>
      <c r="G128" s="3805"/>
      <c r="H128" s="3805"/>
      <c r="I128" s="3805"/>
      <c r="AA128" s="724"/>
    </row>
    <row r="129" spans="1:35" ht="21.75" customHeight="1">
      <c r="A129" s="1826" t="s">
        <v>1454</v>
      </c>
      <c r="B129" s="1827"/>
      <c r="C129" s="1828" t="s">
        <v>1455</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1456</v>
      </c>
      <c r="G135" s="1843"/>
      <c r="H135" s="1843"/>
      <c r="I135" s="1844" t="s">
        <v>1457</v>
      </c>
    </row>
    <row r="136" spans="1:35" ht="21.75" customHeight="1">
      <c r="A136" s="724"/>
      <c r="B136" s="1845"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1459</v>
      </c>
    </row>
    <row r="139" spans="1:35" ht="21.75" customHeight="1">
      <c r="A139" s="724"/>
      <c r="B139" s="1845" t="s">
        <v>1460</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1459</v>
      </c>
    </row>
    <row r="142" spans="1:35" ht="21.75" customHeight="1">
      <c r="A142" s="724"/>
      <c r="B142" s="1845"/>
      <c r="C142" s="1846"/>
      <c r="D142" s="1847"/>
      <c r="E142" s="1847"/>
      <c r="F142" s="1736"/>
      <c r="G142" s="724"/>
      <c r="H142" s="724"/>
      <c r="I142" s="724"/>
    </row>
    <row r="143" spans="1:35" s="129"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133800</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f>C30</f>
        <v>0</v>
      </c>
      <c r="C2" s="1991" t="s">
        <v>1935</v>
      </c>
      <c r="D2" s="1992" t="s">
        <v>1936</v>
      </c>
      <c r="E2" s="3408" t="s">
        <v>673</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Ⅲ—09</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f t="shared" ref="T2:T16" si="0">ROUND($C$5*$C$22*$C$23*$C$24*S2*$C$28,0)</f>
        <v>35838</v>
      </c>
      <c r="U2" s="1208">
        <f>Sheet1!F8</f>
        <v>0</v>
      </c>
      <c r="V2" s="3347">
        <f>ROUND(T2*U2/10000,0)</f>
        <v>0</v>
      </c>
      <c r="W2" s="1211"/>
      <c r="X2" s="1211"/>
      <c r="Y2" s="1211"/>
      <c r="Z2" s="1211"/>
      <c r="AA2" s="1211"/>
      <c r="AB2" s="1211"/>
      <c r="AC2" s="1212"/>
      <c r="AD2" s="1213"/>
      <c r="AE2" s="1213"/>
      <c r="AF2" s="1213"/>
      <c r="AG2" s="1213"/>
      <c r="AH2" s="1213"/>
      <c r="AI2" s="1213"/>
      <c r="AJ2" s="1214"/>
    </row>
    <row r="3" spans="1:36" ht="15.75">
      <c r="A3" s="202" t="s">
        <v>1940</v>
      </c>
      <c r="B3" s="203">
        <f>ROUND(B2*10000/D1,0)</f>
        <v>0</v>
      </c>
      <c r="C3" s="1991" t="s">
        <v>1941</v>
      </c>
      <c r="D3" s="1992" t="s">
        <v>1942</v>
      </c>
      <c r="E3" s="3406" t="s">
        <v>2438</v>
      </c>
      <c r="F3" s="1996" t="s">
        <v>3388</v>
      </c>
      <c r="G3" s="748">
        <f>IF(F3="宗地容积率",'数据-汇总表'!I4,IF(F3="估价对象容积率",'数据-汇总表'!I6,'数据-汇总表'!I7))</f>
        <v>2.64</v>
      </c>
      <c r="H3" s="169" t="s">
        <v>1943</v>
      </c>
      <c r="I3" s="771">
        <v>1</v>
      </c>
      <c r="J3" s="1994" t="s">
        <v>1944</v>
      </c>
      <c r="K3" s="1115"/>
      <c r="L3" s="1995" t="s">
        <v>1945</v>
      </c>
      <c r="M3" s="860">
        <f>SUMPRODUCT((区片价!B30:B54=I2)*(区片价!C3:G3=E2)*(区片价!C30:G54))</f>
        <v>23120</v>
      </c>
      <c r="N3" s="862">
        <f>SUMPRODUCT((因素修正幅度!B30:B54=I2)*(因素修正幅度!C3:G3=E2)*(因素修正幅度!C30:G54))</f>
        <v>9.7000000000000003E-2</v>
      </c>
      <c r="O3" s="1115"/>
      <c r="P3" s="1115"/>
      <c r="Q3" s="1115"/>
      <c r="R3" s="1207">
        <v>2</v>
      </c>
      <c r="S3" s="3347">
        <f>ROUND(SUMPRODUCT((B106:B110=R3)*(C105:N105=G2)*(C106:N110)),4)</f>
        <v>1.1838</v>
      </c>
      <c r="T3" s="3347">
        <f t="shared" si="0"/>
        <v>28248</v>
      </c>
      <c r="U3" s="1208">
        <f>Sheet1!F9</f>
        <v>0</v>
      </c>
      <c r="V3" s="3347">
        <f t="shared" ref="V3:V16" si="1">ROUND(T3*U3/10000,0)</f>
        <v>0</v>
      </c>
      <c r="W3" s="1211"/>
      <c r="X3" s="1211"/>
      <c r="Y3" s="1211"/>
      <c r="Z3" s="1211"/>
      <c r="AA3" s="1211"/>
      <c r="AB3" s="1211"/>
      <c r="AC3" s="1212"/>
      <c r="AD3" s="1213"/>
      <c r="AE3" s="1213"/>
      <c r="AF3" s="1213"/>
      <c r="AG3" s="1213"/>
      <c r="AH3" s="1213"/>
      <c r="AI3" s="1213"/>
      <c r="AJ3" s="1214"/>
    </row>
    <row r="4" spans="1:36" ht="15.75">
      <c r="A4" s="3882"/>
      <c r="B4" s="3883"/>
      <c r="C4" s="3883"/>
      <c r="D4" s="3884"/>
      <c r="E4" s="3884"/>
      <c r="F4" s="3884"/>
      <c r="G4" s="3884"/>
      <c r="H4" s="3884"/>
      <c r="I4" s="3884"/>
      <c r="J4" s="3885"/>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f t="shared" si="0"/>
        <v>23874</v>
      </c>
      <c r="U4" s="1208"/>
      <c r="V4" s="3347">
        <f t="shared" si="1"/>
        <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23100</v>
      </c>
      <c r="D5" s="1334">
        <f>ROUND(C6*C17+C20,0)</f>
        <v>23100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f t="shared" si="0"/>
        <v>21056</v>
      </c>
      <c r="U5" s="1208"/>
      <c r="V5" s="3347">
        <f t="shared" si="1"/>
        <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23120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f t="shared" si="0"/>
        <v>20235</v>
      </c>
      <c r="U6" s="1208"/>
      <c r="V6" s="3347">
        <f t="shared" si="1"/>
        <v>0</v>
      </c>
      <c r="W6" s="1211"/>
      <c r="X6" s="1211"/>
      <c r="Y6" s="1211"/>
      <c r="Z6" s="1211"/>
      <c r="AA6" s="1211"/>
      <c r="AB6" s="1211"/>
      <c r="AC6" s="2003"/>
      <c r="AD6" s="2004"/>
      <c r="AE6" s="2004"/>
      <c r="AF6" s="2004"/>
      <c r="AG6" s="2004"/>
      <c r="AH6" s="2004"/>
      <c r="AI6" s="2004"/>
      <c r="AJ6" s="2005"/>
    </row>
    <row r="7" spans="1:36" ht="24.75" thickBot="1">
      <c r="A7" s="3290" t="s">
        <v>3240</v>
      </c>
      <c r="B7" s="2013"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f t="shared" si="0"/>
        <v>0</v>
      </c>
      <c r="U7" s="1208"/>
      <c r="V7" s="3347">
        <f t="shared" si="1"/>
        <v>0</v>
      </c>
      <c r="W7" s="1353"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f t="shared" si="0"/>
        <v>0</v>
      </c>
      <c r="U8" s="1208"/>
      <c r="V8" s="3347">
        <f t="shared" si="1"/>
        <v>0</v>
      </c>
      <c r="W8" s="3879" t="s">
        <v>1960</v>
      </c>
      <c r="X8" s="388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f t="shared" si="0"/>
        <v>0</v>
      </c>
      <c r="U9" s="1208"/>
      <c r="V9" s="3347">
        <f t="shared" si="1"/>
        <v>0</v>
      </c>
      <c r="W9" s="3881"/>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f t="shared" si="0"/>
        <v>0</v>
      </c>
      <c r="U10" s="1208"/>
      <c r="V10" s="3347">
        <f t="shared" si="1"/>
        <v>0</v>
      </c>
      <c r="W10" s="3881"/>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f t="shared" si="0"/>
        <v>0</v>
      </c>
      <c r="U11" s="1208"/>
      <c r="V11" s="3347">
        <f t="shared" si="1"/>
        <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f t="shared" si="0"/>
        <v>0</v>
      </c>
      <c r="U12" s="1208"/>
      <c r="V12" s="3347">
        <f t="shared" si="1"/>
        <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f t="shared" si="0"/>
        <v>0</v>
      </c>
      <c r="U13" s="1208"/>
      <c r="V13" s="3347">
        <f t="shared" si="1"/>
        <v>0</v>
      </c>
      <c r="W13" s="1211"/>
      <c r="X13" s="1211"/>
      <c r="Y13" s="1211"/>
      <c r="Z13" s="1211"/>
      <c r="AA13" s="1211"/>
      <c r="AB13" s="1211"/>
      <c r="AC13" s="1212"/>
      <c r="AD13" s="2779"/>
      <c r="AE13" s="2779"/>
      <c r="AF13" s="2779"/>
      <c r="AG13" s="2779"/>
      <c r="AH13" s="2779"/>
      <c r="AI13" s="2779"/>
      <c r="AJ13" s="2780"/>
    </row>
    <row r="14" spans="1:36" ht="15">
      <c r="A14" s="3284"/>
      <c r="B14" s="2032"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f t="shared" si="0"/>
        <v>0</v>
      </c>
      <c r="U14" s="1208"/>
      <c r="V14" s="3347">
        <f t="shared" si="1"/>
        <v>0</v>
      </c>
      <c r="W14" s="1211"/>
      <c r="X14" s="1211"/>
      <c r="Y14" s="1211"/>
      <c r="Z14" s="1211"/>
      <c r="AA14" s="1211"/>
      <c r="AB14" s="1211"/>
      <c r="AC14" s="1212"/>
      <c r="AD14" s="2779"/>
      <c r="AE14" s="2779"/>
      <c r="AF14" s="2779"/>
      <c r="AG14" s="2779"/>
      <c r="AH14" s="2779"/>
      <c r="AI14" s="2779"/>
      <c r="AJ14" s="2780"/>
    </row>
    <row r="15" spans="1:36" ht="15">
      <c r="A15" s="3284"/>
      <c r="B15" s="2034"/>
      <c r="C15" s="2035"/>
      <c r="D15" s="2036"/>
      <c r="E15" s="2037"/>
      <c r="F15" s="3299" t="s">
        <v>3247</v>
      </c>
      <c r="G15" s="3300"/>
      <c r="H15" s="3301"/>
      <c r="I15" s="3302"/>
      <c r="J15" s="3303"/>
      <c r="K15" s="1115"/>
      <c r="L15" s="1115"/>
      <c r="M15" s="1115"/>
      <c r="N15" s="1115"/>
      <c r="O15" s="1115"/>
      <c r="P15" s="1115"/>
      <c r="Q15" s="1115"/>
      <c r="R15" s="1207">
        <v>14</v>
      </c>
      <c r="S15" s="1208"/>
      <c r="T15" s="3347">
        <f t="shared" si="0"/>
        <v>0</v>
      </c>
      <c r="U15" s="1208"/>
      <c r="V15" s="3347">
        <f t="shared" si="1"/>
        <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f t="shared" si="0"/>
        <v>0</v>
      </c>
      <c r="U16" s="1208"/>
      <c r="V16" s="3347">
        <f t="shared" si="1"/>
        <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2996"/>
      <c r="C18" s="3314"/>
      <c r="D18" s="3309" t="s">
        <v>3251</v>
      </c>
      <c r="E18" s="3315"/>
      <c r="F18" s="3310" t="s">
        <v>3254</v>
      </c>
      <c r="G18" s="3314">
        <f>ROUND(1-(1/(POWER(1+G24,E18))),4)</f>
        <v>0</v>
      </c>
      <c r="H18" s="3310" t="s">
        <v>3256</v>
      </c>
      <c r="I18" s="3314">
        <f>ROUND(1-(1/(POWER(1+G24,J24))),4)</f>
        <v>0.88249999999999995</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886" t="s">
        <v>3257</v>
      </c>
      <c r="B20" s="166" t="s">
        <v>1994</v>
      </c>
      <c r="C20" s="3311">
        <f>ROUND(IF(F21="与级别开发程度一致",0,(G21-E21)/C21),0)</f>
        <v>-20</v>
      </c>
      <c r="D20" s="3327" t="s">
        <v>1998</v>
      </c>
      <c r="E20" s="3328"/>
      <c r="F20" s="3892" t="s">
        <v>1995</v>
      </c>
      <c r="G20" s="3893"/>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887"/>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6" t="s">
        <v>2002</v>
      </c>
      <c r="E23" s="757">
        <v>44197</v>
      </c>
      <c r="F23" s="2046" t="s">
        <v>2003</v>
      </c>
      <c r="G23" s="758">
        <f>'数据-取费表'!B2</f>
        <v>44999</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f>ROUND(POWER(1+G24,J24-I24)*(POWER(1+G24,I24)-1)/(POWER(1+G24,J24)-1),4)</f>
        <v>0.97709999999999997</v>
      </c>
      <c r="D24" s="2052" t="s">
        <v>2007</v>
      </c>
      <c r="E24" s="1330">
        <f>存贷款利率!E22/100</f>
        <v>4.3499999999999997E-2</v>
      </c>
      <c r="F24" s="2052" t="s">
        <v>1999</v>
      </c>
      <c r="G24" s="764">
        <f>SUMIF(M30:Q30,E2,M33:Q33)</f>
        <v>5.5E-2</v>
      </c>
      <c r="H24" s="2052" t="s">
        <v>2008</v>
      </c>
      <c r="I24" s="765">
        <f>SUMIF('数据-取费表'!C6:C15,E2,'数据-取费表'!F6:F15)/COUNTIF('数据-取费表'!C6:C15,E2)</f>
        <v>37.04</v>
      </c>
      <c r="J24" s="766">
        <f>IF(E2="住宅",70,IF(E2="商业",40,50))</f>
        <v>40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3393</v>
      </c>
      <c r="C25" s="767">
        <f>IF(B25="容积率修正",IF(G3&lt;10,D26,J26),C27)</f>
        <v>1.5019</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1347">
        <f>IF(E26=G26,F26,IF(G3&lt;10,ROUND(F26+(H26-F26)*(G3-E26)/(G26-E26),4),"——"))</f>
        <v>0.99119999999999997</v>
      </c>
      <c r="E26" s="748">
        <f>ROUNDDOWN(G3,1)</f>
        <v>2.6</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48">
        <f>ROUNDUP(G3,1)</f>
        <v>2.7</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1.5019</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1.0313000000000001</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f>E34+SUM(I37:I42)</f>
        <v>0</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f>ROUND(C5*C22*C23*C24*C25*C28,0)</f>
        <v>35838</v>
      </c>
      <c r="D33" s="2090">
        <f>'数据-汇总表'!F19</f>
        <v>133800</v>
      </c>
      <c r="E33" s="769">
        <f>ROUND(C33*D33/10000,0)</f>
        <v>479512</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#DIV/0!</v>
      </c>
      <c r="D34" s="2095"/>
      <c r="E34" s="769">
        <f>ROUND(IF(B25="楼层修正",SUM(V2:V16)*M40,C34*D34/10000),0)</f>
        <v>0</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890"/>
      <c r="B37" s="2105" t="s">
        <v>2036</v>
      </c>
      <c r="C37" s="174">
        <f>ROUND(D5*C22*C23*C24*C28*F37,0)</f>
        <v>14317</v>
      </c>
      <c r="D37" s="2090"/>
      <c r="E37" s="170">
        <f>ROUND(C37*D37/10000,0)</f>
        <v>0</v>
      </c>
      <c r="F37" s="170">
        <f>SUMIF(修正!A57:A68,G2,修正!B57:B68)</f>
        <v>0.6</v>
      </c>
      <c r="G37" s="170">
        <f>ROUND(IF(E2="工业",C37*$M$42,C37*$M$41),0)</f>
        <v>3579</v>
      </c>
      <c r="H37" s="170">
        <f>D37</f>
        <v>0</v>
      </c>
      <c r="I37" s="170">
        <f>ROUND(G37*H37/10000,0)</f>
        <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891"/>
      <c r="B38" s="2033" t="s">
        <v>2037</v>
      </c>
      <c r="C38" s="174">
        <f>ROUND(D5*C22*C23*C24*C28*F38,0)</f>
        <v>7159</v>
      </c>
      <c r="D38" s="2090"/>
      <c r="E38" s="170">
        <f t="shared" ref="E38:E42" si="4">ROUND(C38*D38/10000,0)</f>
        <v>0</v>
      </c>
      <c r="F38" s="170">
        <f>SUMIF(修正!A57:A68,G2,修正!C57:C68)</f>
        <v>0.3</v>
      </c>
      <c r="G38" s="170">
        <f>ROUND(IF(E2="工业",C38*$M$42,C38*$M$41),0)</f>
        <v>1790</v>
      </c>
      <c r="H38" s="170">
        <f t="shared" ref="H38:H42" si="5">D38</f>
        <v>0</v>
      </c>
      <c r="I38" s="170">
        <f t="shared" ref="I38:I42" si="6">ROUND(G38*H38/10000,0)</f>
        <v>0</v>
      </c>
      <c r="J38" s="299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891"/>
      <c r="B39" s="2033" t="s">
        <v>3262</v>
      </c>
      <c r="C39" s="174">
        <f>ROUND(D5*C22*C23*C24*C28*F39,0)</f>
        <v>5965</v>
      </c>
      <c r="D39" s="2090"/>
      <c r="E39" s="170">
        <f t="shared" si="4"/>
        <v>0</v>
      </c>
      <c r="F39" s="170">
        <f>SUMIF(修正!A57:A68,G2,修正!D57:D68)</f>
        <v>0.25</v>
      </c>
      <c r="G39" s="170">
        <f>ROUND(IF(E2="工业",C39*$M$42,C39*$M$41),0)</f>
        <v>1491</v>
      </c>
      <c r="H39" s="170">
        <f t="shared" si="5"/>
        <v>0</v>
      </c>
      <c r="I39" s="170">
        <f t="shared" si="6"/>
        <v>0</v>
      </c>
      <c r="J39" s="299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f>ROUND(D5*C22*C23*C24*C28*F40,0)</f>
        <v>5965</v>
      </c>
      <c r="D40" s="2090"/>
      <c r="E40" s="170">
        <f t="shared" si="4"/>
        <v>0</v>
      </c>
      <c r="F40" s="174">
        <f>SUMIF(修正!A57:A68,G2,修正!E57:E68)</f>
        <v>0.25</v>
      </c>
      <c r="G40" s="170">
        <f>ROUND(IF(E2="工业",C40*$M$42,C40*$M$41),0)</f>
        <v>1491</v>
      </c>
      <c r="H40" s="170">
        <f t="shared" si="5"/>
        <v>0</v>
      </c>
      <c r="I40" s="170">
        <f t="shared" si="6"/>
        <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f>IF(E2="商业",SUMIF(L1:L12,G2,N1:N12),"——")</f>
        <v>9.7000000000000003E-2</v>
      </c>
      <c r="G50" s="1059">
        <v>1.4500000000000001E-2</v>
      </c>
      <c r="H50" s="1062">
        <f t="shared" ref="H50:H58" si="8">IFERROR(ROUNDDOWN($F$50*I50/2,4),"——")</f>
        <v>1.4500000000000001E-2</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3392</v>
      </c>
      <c r="D51" s="1061">
        <f t="shared" si="7"/>
        <v>0</v>
      </c>
      <c r="E51" s="741"/>
      <c r="F51" s="1809"/>
      <c r="G51" s="1059">
        <v>1.06E-2</v>
      </c>
      <c r="H51" s="1062">
        <f t="shared" si="8"/>
        <v>1.06E-2</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f t="shared" si="8"/>
        <v>5.7999999999999996E-3</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f t="shared" si="8"/>
        <v>2.3999999999999998E-3</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f t="shared" si="8"/>
        <v>3.8E-3</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f t="shared" si="8"/>
        <v>2.3999999999999998E-3</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f t="shared" si="8"/>
        <v>2.3999999999999998E-3</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f t="shared" si="8"/>
        <v>3.8E-3</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f t="shared" si="8"/>
        <v>2.3999999999999998E-3</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0</v>
      </c>
      <c r="E61" s="740">
        <f>ROUND(SUM(D61:D69),4)</f>
        <v>0</v>
      </c>
      <c r="F61" s="1809" t="str">
        <f>IF(E2="办公",SUMIF(L1:L12,G2,N1:N12),"——")</f>
        <v>——</v>
      </c>
      <c r="G61" s="1059"/>
      <c r="H61" s="1062" t="str">
        <f t="shared" ref="H61:H69" si="13">IFERROR(ROUNDDOWN($F$61*I61/2,4),"——")</f>
        <v>——</v>
      </c>
      <c r="I61" s="335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c r="H62" s="1062" t="str">
        <f t="shared" si="13"/>
        <v>——</v>
      </c>
      <c r="I62" s="335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0</v>
      </c>
      <c r="E63" s="741"/>
      <c r="F63" s="1809"/>
      <c r="G63" s="1059"/>
      <c r="H63" s="1062" t="str">
        <f t="shared" si="13"/>
        <v>——</v>
      </c>
      <c r="I63" s="335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0</v>
      </c>
      <c r="E64" s="741"/>
      <c r="F64" s="1809"/>
      <c r="G64" s="1059"/>
      <c r="H64" s="1062" t="str">
        <f t="shared" si="13"/>
        <v>——</v>
      </c>
      <c r="I64" s="335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c r="H65" s="1062" t="str">
        <f t="shared" si="13"/>
        <v>——</v>
      </c>
      <c r="I65" s="335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0</v>
      </c>
      <c r="E66" s="741"/>
      <c r="F66" s="1809"/>
      <c r="G66" s="1059"/>
      <c r="H66" s="1062" t="str">
        <f t="shared" si="13"/>
        <v>——</v>
      </c>
      <c r="I66" s="335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0</v>
      </c>
      <c r="E67" s="741"/>
      <c r="F67" s="1809"/>
      <c r="G67" s="1059"/>
      <c r="H67" s="1062" t="str">
        <f t="shared" si="13"/>
        <v>——</v>
      </c>
      <c r="I67" s="335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0</v>
      </c>
      <c r="E68" s="741"/>
      <c r="F68" s="1809"/>
      <c r="G68" s="1059"/>
      <c r="H68" s="1062" t="str">
        <f t="shared" si="13"/>
        <v>——</v>
      </c>
      <c r="I68" s="335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c r="H69" s="1062" t="str">
        <f t="shared" si="13"/>
        <v>——</v>
      </c>
      <c r="I69" s="335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3273</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3274</v>
      </c>
      <c r="B92" s="3352"/>
      <c r="C92" s="3352" t="s">
        <v>3283</v>
      </c>
      <c r="D92" s="3352" t="s">
        <v>3284</v>
      </c>
      <c r="E92" s="3334" t="s">
        <v>3285</v>
      </c>
      <c r="F92" s="3367" t="s">
        <v>3286</v>
      </c>
      <c r="G92" s="3352" t="s">
        <v>3287</v>
      </c>
      <c r="H92" s="3374" t="s">
        <v>3290</v>
      </c>
      <c r="I92" s="3352" t="s">
        <v>3291</v>
      </c>
      <c r="J92" s="3375" t="s">
        <v>3292</v>
      </c>
      <c r="K92" s="3375" t="s">
        <v>3293</v>
      </c>
      <c r="L92" s="3375" t="s">
        <v>3294</v>
      </c>
      <c r="M92" s="3375" t="s">
        <v>3295</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3276</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3277</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3278</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3279</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3280</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3281</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3282</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888" t="s">
        <v>3297</v>
      </c>
      <c r="B103" s="3888"/>
      <c r="C103" s="3888"/>
      <c r="D103" s="3888"/>
      <c r="E103" s="3888"/>
      <c r="F103" s="3888"/>
      <c r="G103" s="3888"/>
      <c r="H103" s="3888"/>
      <c r="I103" s="3888"/>
      <c r="J103" s="3888"/>
      <c r="K103" s="3376"/>
      <c r="L103" s="3376"/>
      <c r="M103" s="3376"/>
      <c r="N103" s="3376"/>
    </row>
    <row r="104" spans="1:14">
      <c r="A104" s="3889" t="s">
        <v>3298</v>
      </c>
      <c r="B104" s="3889" t="s">
        <v>3299</v>
      </c>
      <c r="C104" s="3377" t="s">
        <v>3300</v>
      </c>
      <c r="D104" s="3378"/>
      <c r="E104" s="3378"/>
      <c r="F104" s="3378"/>
      <c r="G104" s="3378"/>
      <c r="H104" s="3378"/>
      <c r="I104" s="3378"/>
      <c r="J104" s="3379"/>
      <c r="K104" s="3380"/>
      <c r="L104" s="3380"/>
      <c r="M104" s="3380"/>
      <c r="N104" s="3380"/>
    </row>
    <row r="105" spans="1:14">
      <c r="A105" s="3889"/>
      <c r="B105" s="3889"/>
      <c r="C105" s="3381" t="s">
        <v>3301</v>
      </c>
      <c r="D105" s="3381" t="s">
        <v>3302</v>
      </c>
      <c r="E105" s="3381" t="s">
        <v>3303</v>
      </c>
      <c r="F105" s="3381" t="s">
        <v>3304</v>
      </c>
      <c r="G105" s="3381" t="s">
        <v>3305</v>
      </c>
      <c r="H105" s="3381" t="s">
        <v>3306</v>
      </c>
      <c r="I105" s="3381" t="s">
        <v>3307</v>
      </c>
      <c r="J105" s="3381" t="s">
        <v>3308</v>
      </c>
      <c r="K105" s="3381" t="s">
        <v>3309</v>
      </c>
      <c r="L105" s="3381" t="s">
        <v>3310</v>
      </c>
      <c r="M105" s="3381" t="s">
        <v>3311</v>
      </c>
      <c r="N105" s="3381" t="s">
        <v>3312</v>
      </c>
    </row>
    <row r="106" spans="1:14">
      <c r="A106" s="3875" t="s">
        <v>3313</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876"/>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876"/>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876"/>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876"/>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876"/>
      <c r="B111" s="3381" t="s">
        <v>3271</v>
      </c>
      <c r="C111" s="3382">
        <f>$I$3</f>
        <v>1</v>
      </c>
      <c r="D111" s="3382">
        <f t="shared" ref="D111:M111" si="32">$I$3</f>
        <v>1</v>
      </c>
      <c r="E111" s="3382">
        <f t="shared" si="32"/>
        <v>1</v>
      </c>
      <c r="F111" s="3382">
        <f t="shared" si="32"/>
        <v>1</v>
      </c>
      <c r="G111" s="3382">
        <f t="shared" si="32"/>
        <v>1</v>
      </c>
      <c r="H111" s="3382">
        <f t="shared" si="32"/>
        <v>1</v>
      </c>
      <c r="I111" s="3382">
        <f t="shared" si="32"/>
        <v>1</v>
      </c>
      <c r="J111" s="3382">
        <f t="shared" si="32"/>
        <v>1</v>
      </c>
      <c r="K111" s="3382">
        <f t="shared" si="32"/>
        <v>1</v>
      </c>
      <c r="L111" s="3382">
        <f t="shared" si="32"/>
        <v>1</v>
      </c>
      <c r="M111" s="3382">
        <f t="shared" si="32"/>
        <v>1</v>
      </c>
      <c r="N111" s="3382">
        <f>$I$3</f>
        <v>1</v>
      </c>
    </row>
    <row r="112" spans="1:14">
      <c r="A112" s="3877"/>
      <c r="B112" s="3381">
        <v>6</v>
      </c>
      <c r="C112" s="3374">
        <f>(-0.5556*(C111^2)-0.2719*C111+8944)*(10^(-4))</f>
        <v>0.89431725000000006</v>
      </c>
      <c r="D112" s="3374">
        <f>(-0.5556*(D111^2)-0.2719*D111+8944)*(10^(-4))</f>
        <v>0.89431725000000006</v>
      </c>
      <c r="E112" s="3374">
        <f>(-0.7912*(E111^2)-11.3794*E111+8482)*(10^(-4))</f>
        <v>0.84698294000000007</v>
      </c>
      <c r="F112" s="3374">
        <f t="shared" ref="F112:I112" si="33">(-0.7912*(F111^2)-11.3794*F111+8482)*(10^(-4))</f>
        <v>0.84698294000000007</v>
      </c>
      <c r="G112" s="3374">
        <f t="shared" si="33"/>
        <v>0.84698294000000007</v>
      </c>
      <c r="H112" s="3374">
        <f t="shared" si="33"/>
        <v>0.84698294000000007</v>
      </c>
      <c r="I112" s="3374">
        <f t="shared" si="33"/>
        <v>0.84698294000000007</v>
      </c>
      <c r="J112" s="3374">
        <f>(-0.989*(J111^2)-63.78*J111+7771)*(10^(-4))</f>
        <v>0.77062310000000001</v>
      </c>
      <c r="K112" s="3374">
        <f t="shared" ref="K112:N112" si="34">(-0.989*(K111^2)-63.78*K111+7771)*(10^(-4))</f>
        <v>0.77062310000000001</v>
      </c>
      <c r="L112" s="3374">
        <f t="shared" si="34"/>
        <v>0.77062310000000001</v>
      </c>
      <c r="M112" s="3374">
        <f t="shared" si="34"/>
        <v>0.77062310000000001</v>
      </c>
      <c r="N112" s="3374">
        <f t="shared" si="34"/>
        <v>0.77062310000000001</v>
      </c>
    </row>
    <row r="113" spans="1:14">
      <c r="A113" s="3878" t="s">
        <v>3314</v>
      </c>
      <c r="B113" s="3878"/>
      <c r="C113" s="3878"/>
      <c r="D113" s="3878"/>
      <c r="E113" s="3878"/>
      <c r="F113" s="3878"/>
      <c r="G113" s="3878"/>
      <c r="H113" s="3878"/>
      <c r="I113" s="3878"/>
      <c r="J113" s="3878"/>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0.91200000000000003</v>
      </c>
      <c r="E116" s="1992" t="s">
        <v>3317</v>
      </c>
      <c r="F116" s="3388" t="str">
        <f>E2</f>
        <v>商业</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3332</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3333</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180212.11</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t="e">
        <f>C30</f>
        <v>#DIV/0!</v>
      </c>
      <c r="C2" s="1991" t="s">
        <v>1935</v>
      </c>
      <c r="D2" s="1992" t="s">
        <v>1936</v>
      </c>
      <c r="E2" s="3408" t="s">
        <v>21</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Ⅲ—07</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t="e">
        <f t="shared" ref="T2:T16" si="0">ROUND($C$5*$C$22*$C$23*$C$24*S2*$C$28,0)</f>
        <v>#DIV/0!</v>
      </c>
      <c r="U2" s="1208">
        <f>Sheet1!F8</f>
        <v>0</v>
      </c>
      <c r="V2" s="3347" t="e">
        <f>ROUND(T2*U2/10000,0)</f>
        <v>#DIV/0!</v>
      </c>
      <c r="W2" s="1211"/>
      <c r="X2" s="1211"/>
      <c r="Y2" s="1211"/>
      <c r="Z2" s="1211"/>
      <c r="AA2" s="1211"/>
      <c r="AB2" s="1211"/>
      <c r="AC2" s="1212"/>
      <c r="AD2" s="1213"/>
      <c r="AE2" s="1213"/>
      <c r="AF2" s="1213"/>
      <c r="AG2" s="1213"/>
      <c r="AH2" s="1213"/>
      <c r="AI2" s="1213"/>
      <c r="AJ2" s="1214"/>
    </row>
    <row r="3" spans="1:36" ht="15.75">
      <c r="A3" s="202" t="s">
        <v>1940</v>
      </c>
      <c r="B3" s="203" t="e">
        <f>ROUND(B2*10000/D1,0)</f>
        <v>#DIV/0!</v>
      </c>
      <c r="C3" s="1991" t="s">
        <v>1941</v>
      </c>
      <c r="D3" s="1992" t="s">
        <v>1942</v>
      </c>
      <c r="E3" s="3406" t="s">
        <v>3394</v>
      </c>
      <c r="F3" s="1996" t="s">
        <v>3388</v>
      </c>
      <c r="G3" s="748">
        <f>IF(F3="宗地容积率",'数据-汇总表'!I4,IF(F3="估价对象容积率",'数据-汇总表'!I6,'数据-汇总表'!I7))</f>
        <v>2.64</v>
      </c>
      <c r="H3" s="169" t="s">
        <v>1943</v>
      </c>
      <c r="I3" s="771"/>
      <c r="J3" s="1994" t="s">
        <v>1944</v>
      </c>
      <c r="K3" s="1115"/>
      <c r="L3" s="1995" t="s">
        <v>1945</v>
      </c>
      <c r="M3" s="860">
        <f>SUMPRODUCT((区片价!B30:B54=I2)*(区片价!C3:G3=E2)*(区片价!C30:G54))</f>
        <v>23020</v>
      </c>
      <c r="N3" s="862">
        <f>SUMPRODUCT((因素修正幅度!B30:B54=I2)*(因素修正幅度!C3:G3=E2)*(因素修正幅度!C30:G54))</f>
        <v>9.7000000000000003E-2</v>
      </c>
      <c r="O3" s="1115"/>
      <c r="P3" s="1115"/>
      <c r="Q3" s="1115"/>
      <c r="R3" s="1207">
        <v>2</v>
      </c>
      <c r="S3" s="3347">
        <f>ROUND(SUMPRODUCT((B106:B110=R3)*(C105:N105=G2)*(C106:N110)),4)</f>
        <v>1.1838</v>
      </c>
      <c r="T3" s="3347" t="e">
        <f t="shared" si="0"/>
        <v>#DIV/0!</v>
      </c>
      <c r="U3" s="1208">
        <f>Sheet1!F9</f>
        <v>0</v>
      </c>
      <c r="V3" s="3347" t="e">
        <f t="shared" ref="V3:V16" si="1">ROUND(T3*U3/10000,0)</f>
        <v>#DIV/0!</v>
      </c>
      <c r="W3" s="1211"/>
      <c r="X3" s="1211"/>
      <c r="Y3" s="1211"/>
      <c r="Z3" s="1211"/>
      <c r="AA3" s="1211"/>
      <c r="AB3" s="1211"/>
      <c r="AC3" s="1212"/>
      <c r="AD3" s="1213"/>
      <c r="AE3" s="1213"/>
      <c r="AF3" s="1213"/>
      <c r="AG3" s="1213"/>
      <c r="AH3" s="1213"/>
      <c r="AI3" s="1213"/>
      <c r="AJ3" s="1214"/>
    </row>
    <row r="4" spans="1:36" ht="15.75">
      <c r="A4" s="3882"/>
      <c r="B4" s="3883"/>
      <c r="C4" s="3883"/>
      <c r="D4" s="3884"/>
      <c r="E4" s="3884"/>
      <c r="F4" s="3884"/>
      <c r="G4" s="3884"/>
      <c r="H4" s="3884"/>
      <c r="I4" s="3884"/>
      <c r="J4" s="3885"/>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t="e">
        <f t="shared" si="0"/>
        <v>#DIV/0!</v>
      </c>
      <c r="U4" s="1208"/>
      <c r="V4" s="3347" t="e">
        <f t="shared" si="1"/>
        <v>#DIV/0!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23000</v>
      </c>
      <c r="D5" s="1334">
        <f>ROUND(C6*C17+C20,0)</f>
        <v>23000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t="e">
        <f t="shared" si="0"/>
        <v>#DIV/0!</v>
      </c>
      <c r="U5" s="1208"/>
      <c r="V5" s="3347" t="e">
        <f t="shared" si="1"/>
        <v>#DIV/0!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23020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t="e">
        <f t="shared" si="0"/>
        <v>#DIV/0!</v>
      </c>
      <c r="U6" s="1208"/>
      <c r="V6" s="3347" t="e">
        <f t="shared" si="1"/>
        <v>#DIV/0!</v>
      </c>
      <c r="W6" s="1211"/>
      <c r="X6" s="1211"/>
      <c r="Y6" s="1211"/>
      <c r="Z6" s="1211"/>
      <c r="AA6" s="1211"/>
      <c r="AB6" s="1211"/>
      <c r="AC6" s="2003"/>
      <c r="AD6" s="2004"/>
      <c r="AE6" s="2004"/>
      <c r="AF6" s="2004"/>
      <c r="AG6" s="2004"/>
      <c r="AH6" s="2004"/>
      <c r="AI6" s="2004"/>
      <c r="AJ6" s="2005"/>
    </row>
    <row r="7" spans="1:36" ht="24.75" thickBot="1">
      <c r="A7" s="3290" t="s">
        <v>3240</v>
      </c>
      <c r="B7" s="3441"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t="e">
        <f t="shared" si="0"/>
        <v>#DIV/0!</v>
      </c>
      <c r="U7" s="1208"/>
      <c r="V7" s="3347" t="e">
        <f t="shared" si="1"/>
        <v>#DIV/0!</v>
      </c>
      <c r="W7" s="3454"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t="e">
        <f t="shared" si="0"/>
        <v>#DIV/0!</v>
      </c>
      <c r="U8" s="1208"/>
      <c r="V8" s="3347" t="e">
        <f t="shared" si="1"/>
        <v>#DIV/0!</v>
      </c>
      <c r="W8" s="3879" t="s">
        <v>1960</v>
      </c>
      <c r="X8" s="388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t="e">
        <f t="shared" si="0"/>
        <v>#DIV/0!</v>
      </c>
      <c r="U9" s="1208"/>
      <c r="V9" s="3347" t="e">
        <f t="shared" si="1"/>
        <v>#DIV/0!</v>
      </c>
      <c r="W9" s="3881"/>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t="e">
        <f t="shared" si="0"/>
        <v>#DIV/0!</v>
      </c>
      <c r="U10" s="1208"/>
      <c r="V10" s="3347" t="e">
        <f t="shared" si="1"/>
        <v>#DIV/0!</v>
      </c>
      <c r="W10" s="3881"/>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t="e">
        <f t="shared" si="0"/>
        <v>#DIV/0!</v>
      </c>
      <c r="U11" s="1208"/>
      <c r="V11" s="3347" t="e">
        <f t="shared" si="1"/>
        <v>#DIV/0!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v>1</v>
      </c>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t="e">
        <f t="shared" si="0"/>
        <v>#DIV/0!</v>
      </c>
      <c r="U12" s="1208"/>
      <c r="V12" s="3347" t="e">
        <f t="shared" si="1"/>
        <v>#DIV/0!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t="e">
        <f t="shared" si="0"/>
        <v>#DIV/0!</v>
      </c>
      <c r="U13" s="1208"/>
      <c r="V13" s="3347" t="e">
        <f t="shared" si="1"/>
        <v>#DIV/0!</v>
      </c>
      <c r="W13" s="1211"/>
      <c r="X13" s="1211"/>
      <c r="Y13" s="1211"/>
      <c r="Z13" s="1211"/>
      <c r="AA13" s="1211"/>
      <c r="AB13" s="1211"/>
      <c r="AC13" s="1212"/>
      <c r="AD13" s="2779"/>
      <c r="AE13" s="2779"/>
      <c r="AF13" s="2779"/>
      <c r="AG13" s="2779"/>
      <c r="AH13" s="2779"/>
      <c r="AI13" s="2779"/>
      <c r="AJ13" s="2780"/>
    </row>
    <row r="14" spans="1:36" ht="15">
      <c r="A14" s="3284"/>
      <c r="B14" s="3445"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t="e">
        <f t="shared" si="0"/>
        <v>#DIV/0!</v>
      </c>
      <c r="U14" s="1208"/>
      <c r="V14" s="3347" t="e">
        <f t="shared" si="1"/>
        <v>#DIV/0!</v>
      </c>
      <c r="W14" s="1211"/>
      <c r="X14" s="1211"/>
      <c r="Y14" s="1211"/>
      <c r="Z14" s="1211"/>
      <c r="AA14" s="1211"/>
      <c r="AB14" s="1211"/>
      <c r="AC14" s="1212"/>
      <c r="AD14" s="2779"/>
      <c r="AE14" s="2779"/>
      <c r="AF14" s="2779"/>
      <c r="AG14" s="2779"/>
      <c r="AH14" s="2779"/>
      <c r="AI14" s="2779"/>
      <c r="AJ14" s="2780"/>
    </row>
    <row r="15" spans="1:36" ht="15">
      <c r="A15" s="3284"/>
      <c r="B15" s="3446"/>
      <c r="C15" s="2035"/>
      <c r="D15" s="2036"/>
      <c r="E15" s="2037"/>
      <c r="F15" s="3299" t="s">
        <v>3247</v>
      </c>
      <c r="G15" s="3300"/>
      <c r="H15" s="3301"/>
      <c r="I15" s="3302"/>
      <c r="J15" s="3303"/>
      <c r="K15" s="1115"/>
      <c r="L15" s="1115"/>
      <c r="M15" s="1115"/>
      <c r="N15" s="1115"/>
      <c r="O15" s="1115"/>
      <c r="P15" s="1115"/>
      <c r="Q15" s="1115"/>
      <c r="R15" s="1207">
        <v>14</v>
      </c>
      <c r="S15" s="1208"/>
      <c r="T15" s="3347" t="e">
        <f t="shared" si="0"/>
        <v>#DIV/0!</v>
      </c>
      <c r="U15" s="1208"/>
      <c r="V15" s="3347" t="e">
        <f t="shared" si="1"/>
        <v>#DIV/0!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t="e">
        <f t="shared" si="0"/>
        <v>#DIV/0!</v>
      </c>
      <c r="U16" s="1208"/>
      <c r="V16" s="3347" t="e">
        <f t="shared" si="1"/>
        <v>#DIV/0!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3444"/>
      <c r="C18" s="3314"/>
      <c r="D18" s="3309" t="s">
        <v>3251</v>
      </c>
      <c r="E18" s="3315"/>
      <c r="F18" s="3310" t="s">
        <v>3254</v>
      </c>
      <c r="G18" s="3314">
        <f>ROUND(1-(1/(POWER(1+G24,E18))),4)</f>
        <v>0</v>
      </c>
      <c r="H18" s="3310" t="s">
        <v>3256</v>
      </c>
      <c r="I18" s="3314">
        <f>ROUND(1-(1/(POWER(1+G24,J24))),4)</f>
        <v>0.93120000000000003</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886" t="s">
        <v>3257</v>
      </c>
      <c r="B20" s="166" t="s">
        <v>1994</v>
      </c>
      <c r="C20" s="3311">
        <f>ROUND(IF(F21="与级别开发程度一致",0,(G21-E21)/C21),0)</f>
        <v>-20</v>
      </c>
      <c r="D20" s="3327" t="s">
        <v>1998</v>
      </c>
      <c r="E20" s="3328"/>
      <c r="F20" s="3892" t="s">
        <v>1995</v>
      </c>
      <c r="G20" s="3893"/>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887"/>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46" t="s">
        <v>2002</v>
      </c>
      <c r="E23" s="757">
        <v>44197</v>
      </c>
      <c r="F23" s="2046" t="s">
        <v>2003</v>
      </c>
      <c r="G23" s="758">
        <f>'数据-取费表'!B2</f>
        <v>44999</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t="e">
        <f>ROUND(POWER(1+G24,J24-I24)*(POWER(1+G24,I24)-1)/(POWER(1+G24,J24)-1),4)</f>
        <v>#DIV/0!</v>
      </c>
      <c r="D24" s="2052" t="s">
        <v>2007</v>
      </c>
      <c r="E24" s="1330">
        <f>存贷款利率!E22/100</f>
        <v>4.3499999999999997E-2</v>
      </c>
      <c r="F24" s="2052" t="s">
        <v>1999</v>
      </c>
      <c r="G24" s="764">
        <f>SUMIF(M30:Q30,E2,M33:Q33)</f>
        <v>5.5E-2</v>
      </c>
      <c r="H24" s="2052" t="s">
        <v>2008</v>
      </c>
      <c r="I24" s="765" t="e">
        <f>SUMIF('数据-取费表'!C6:C15,E2,'数据-取费表'!F6:F15)/COUNTIF('数据-取费表'!C6:C15,E2)</f>
        <v>#DIV/0!</v>
      </c>
      <c r="J24" s="766">
        <f>IF(E2="住宅",70,IF(E2="商业",40,50))</f>
        <v>50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3338</v>
      </c>
      <c r="C25" s="3450">
        <f>IF(B25="容积率修正",IF(G3&lt;10,D26,J26),C27)</f>
        <v>0.98839999999999995</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3449">
        <f>IF(E26=G26,F26,IF(G3&lt;10,ROUND(F26+(H26-F26)*(G3-E26)/(G26-E26),4),"——"))</f>
        <v>0.98839999999999995</v>
      </c>
      <c r="E26" s="748">
        <f>ROUNDDOWN(G3,1)</f>
        <v>2.6</v>
      </c>
      <c r="F26" s="34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48">
        <f>ROUNDUP(G3,1)</f>
        <v>2.7</v>
      </c>
      <c r="H26" s="34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0</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1.0299</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#DIV/0!</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#DIV/0!</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t="e">
        <f>ROUND(C5*C22*C23*C24*C25*C28,0)</f>
        <v>#DIV/0!</v>
      </c>
      <c r="D33" s="2090">
        <f>'数据-基础表'!K14</f>
        <v>180212.11</v>
      </c>
      <c r="E33" s="769" t="e">
        <f>ROUND(C33*D33/10000,0)</f>
        <v>#DIV/0!</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#DIV/0!</v>
      </c>
      <c r="D34" s="2095"/>
      <c r="E34" s="769" t="e">
        <f>ROUND(IF(B25="楼层修正",SUM(V2:V16)*M40,C34*D34/10000),0)</f>
        <v>#DIV/0!</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890"/>
      <c r="B37" s="2105" t="s">
        <v>2036</v>
      </c>
      <c r="C37" s="174" t="e">
        <f>ROUND(D5*C22*C23*C24*C28*F37,0)</f>
        <v>#DIV/0!</v>
      </c>
      <c r="D37" s="2090"/>
      <c r="E37" s="170" t="e">
        <f>ROUND(C37*D37/10000,0)</f>
        <v>#DIV/0!</v>
      </c>
      <c r="F37" s="170">
        <f>SUMIF(修正!A57:A68,G2,修正!B57:B68)</f>
        <v>0.6</v>
      </c>
      <c r="G37" s="170" t="e">
        <f>ROUND(IF(E2="工业",C37*$M$42,C37*$M$41),0)</f>
        <v>#DIV/0!</v>
      </c>
      <c r="H37" s="170">
        <f>D37</f>
        <v>0</v>
      </c>
      <c r="I37" s="170" t="e">
        <f>ROUND(G37*H37/10000,0)</f>
        <v>#DIV/0!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891"/>
      <c r="B38" s="2033" t="s">
        <v>2037</v>
      </c>
      <c r="C38" s="174" t="e">
        <f>ROUND(D5*C22*C23*C24*C28*F38,0)</f>
        <v>#DIV/0!</v>
      </c>
      <c r="D38" s="2090"/>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45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891"/>
      <c r="B39" s="2033" t="s">
        <v>3262</v>
      </c>
      <c r="C39" s="174" t="e">
        <f>ROUND(D5*C22*C23*C24*C28*F39,0)</f>
        <v>#DIV/0!</v>
      </c>
      <c r="D39" s="2090"/>
      <c r="E39" s="170" t="e">
        <f t="shared" si="4"/>
        <v>#DIV/0!</v>
      </c>
      <c r="F39" s="170">
        <f>SUMIF(修正!A57:A68,G2,修正!D57:D68)</f>
        <v>0.25</v>
      </c>
      <c r="G39" s="170" t="e">
        <f>ROUND(IF(E2="工业",C39*$M$42,C39*$M$41),0)</f>
        <v>#DIV/0!</v>
      </c>
      <c r="H39" s="170">
        <f t="shared" si="5"/>
        <v>0</v>
      </c>
      <c r="I39" s="170" t="e">
        <f t="shared" si="6"/>
        <v>#DIV/0!</v>
      </c>
      <c r="J39" s="345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t="e">
        <f>ROUND(D5*C22*C23*C24*C28*F40,0)</f>
        <v>#DIV/0!</v>
      </c>
      <c r="D40" s="2090"/>
      <c r="E40" s="170" t="e">
        <f t="shared" si="4"/>
        <v>#DIV/0!</v>
      </c>
      <c r="F40" s="174">
        <f>SUMIF(修正!A57:A68,G2,修正!E57:E68)</f>
        <v>0.25</v>
      </c>
      <c r="G40" s="170" t="e">
        <f>ROUND(IF(E2="工业",C40*$M$42,C40*$M$41),0)</f>
        <v>#DIV/0!</v>
      </c>
      <c r="H40" s="170">
        <f t="shared" si="5"/>
        <v>0</v>
      </c>
      <c r="I40" s="170" t="e">
        <f t="shared" si="6"/>
        <v>#DIV/0!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t="str">
        <f>IF(E2="商业",SUMIF(L1:L12,G2,N1:N12),"——")</f>
        <v>——</v>
      </c>
      <c r="G50" s="1059">
        <v>1.4500000000000001E-2</v>
      </c>
      <c r="H50" s="1062" t="str">
        <f t="shared" ref="H50:H58" si="8">IFERROR(ROUNDDOWN($F$50*I50/2,4),"——")</f>
        <v>——</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3391</v>
      </c>
      <c r="D51" s="1061">
        <f t="shared" si="7"/>
        <v>0</v>
      </c>
      <c r="E51" s="741"/>
      <c r="F51" s="1809"/>
      <c r="G51" s="1059">
        <v>1.06E-2</v>
      </c>
      <c r="H51" s="1062" t="str">
        <f t="shared" si="8"/>
        <v>——</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t="str">
        <f t="shared" si="8"/>
        <v>——</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t="str">
        <f t="shared" si="8"/>
        <v>——</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t="str">
        <f t="shared" si="8"/>
        <v>——</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t="str">
        <f t="shared" si="8"/>
        <v>——</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t="str">
        <f t="shared" si="8"/>
        <v>——</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t="str">
        <f t="shared" si="8"/>
        <v>——</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t="str">
        <f t="shared" si="8"/>
        <v>——</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1.0299</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1.21E-2</v>
      </c>
      <c r="E61" s="740">
        <f>ROUND(SUM(D61:D69),4)</f>
        <v>2.9899999999999999E-2</v>
      </c>
      <c r="F61" s="1809">
        <f>IF(E2="办公",SUMIF(L1:L12,G2,N1:N12),"——")</f>
        <v>9.7000000000000003E-2</v>
      </c>
      <c r="G61" s="1059">
        <v>1.21E-2</v>
      </c>
      <c r="H61" s="1062">
        <f t="shared" ref="H61:H69" si="13">IFERROR(ROUNDDOWN($F$61*I61/2,4),"——")</f>
        <v>1.21E-2</v>
      </c>
      <c r="I61" s="3353">
        <v>0.25</v>
      </c>
      <c r="J61" s="1060">
        <f t="shared" ref="J61:J69" si="14">K61+$G61</f>
        <v>2.4199999999999999E-2</v>
      </c>
      <c r="K61" s="1060">
        <f t="shared" ref="K61:K69" si="15">$L61+$G61</f>
        <v>1.21E-2</v>
      </c>
      <c r="L61" s="1060">
        <v>0</v>
      </c>
      <c r="M61" s="1060">
        <f t="shared" ref="M61:N69" si="16">L61-$G61</f>
        <v>-1.21E-2</v>
      </c>
      <c r="N61" s="1060">
        <f t="shared" si="16"/>
        <v>-2.4199999999999999E-2</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v>1.26E-2</v>
      </c>
      <c r="H62" s="1062">
        <f t="shared" si="13"/>
        <v>1.26E-2</v>
      </c>
      <c r="I62" s="3353">
        <v>0.26</v>
      </c>
      <c r="J62" s="1060">
        <f t="shared" si="14"/>
        <v>2.52E-2</v>
      </c>
      <c r="K62" s="1060">
        <f t="shared" si="15"/>
        <v>1.26E-2</v>
      </c>
      <c r="L62" s="1060">
        <v>0</v>
      </c>
      <c r="M62" s="1060">
        <f t="shared" si="16"/>
        <v>-1.26E-2</v>
      </c>
      <c r="N62" s="1060">
        <f t="shared" si="16"/>
        <v>-2.52E-2</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5.3E-3</v>
      </c>
      <c r="E63" s="741"/>
      <c r="F63" s="1809"/>
      <c r="G63" s="1059">
        <v>5.3E-3</v>
      </c>
      <c r="H63" s="1062">
        <f t="shared" si="13"/>
        <v>5.3E-3</v>
      </c>
      <c r="I63" s="3353">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2.3999999999999998E-3</v>
      </c>
      <c r="E64" s="741"/>
      <c r="F64" s="1809"/>
      <c r="G64" s="1059">
        <v>2.3999999999999998E-3</v>
      </c>
      <c r="H64" s="1062">
        <f t="shared" si="13"/>
        <v>2.3999999999999998E-3</v>
      </c>
      <c r="I64" s="3353">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v>2.3999999999999998E-3</v>
      </c>
      <c r="H65" s="1062">
        <f t="shared" si="13"/>
        <v>2.3999999999999998E-3</v>
      </c>
      <c r="I65" s="3353">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2.8999999999999998E-3</v>
      </c>
      <c r="E66" s="741"/>
      <c r="F66" s="1809"/>
      <c r="G66" s="1059">
        <v>2.8999999999999998E-3</v>
      </c>
      <c r="H66" s="1062">
        <f t="shared" si="13"/>
        <v>2.8999999999999998E-3</v>
      </c>
      <c r="I66" s="3353">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2.8999999999999998E-3</v>
      </c>
      <c r="E67" s="741"/>
      <c r="F67" s="1809"/>
      <c r="G67" s="1059">
        <v>2.8999999999999998E-3</v>
      </c>
      <c r="H67" s="1062">
        <f t="shared" si="13"/>
        <v>2.8999999999999998E-3</v>
      </c>
      <c r="I67" s="3353">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4.3E-3</v>
      </c>
      <c r="E68" s="741"/>
      <c r="F68" s="1809"/>
      <c r="G68" s="1059">
        <v>4.3E-3</v>
      </c>
      <c r="H68" s="1062">
        <f t="shared" si="13"/>
        <v>4.3E-3</v>
      </c>
      <c r="I68" s="3353">
        <v>0.09</v>
      </c>
      <c r="J68" s="1060">
        <f t="shared" si="14"/>
        <v>8.6E-3</v>
      </c>
      <c r="K68" s="1060">
        <f t="shared" si="15"/>
        <v>4.3E-3</v>
      </c>
      <c r="L68" s="1060">
        <v>0</v>
      </c>
      <c r="M68" s="1060">
        <f t="shared" si="16"/>
        <v>-4.3E-3</v>
      </c>
      <c r="N68" s="1060">
        <f t="shared" si="16"/>
        <v>-8.6E-3</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v>3.3E-3</v>
      </c>
      <c r="H69" s="1062">
        <f t="shared" si="13"/>
        <v>3.3E-3</v>
      </c>
      <c r="I69" s="3354">
        <v>7.0000000000000007E-2</v>
      </c>
      <c r="J69" s="1060">
        <f t="shared" si="14"/>
        <v>6.6E-3</v>
      </c>
      <c r="K69" s="1060">
        <f t="shared" si="15"/>
        <v>3.3E-3</v>
      </c>
      <c r="L69" s="1060">
        <v>0</v>
      </c>
      <c r="M69" s="1060">
        <f t="shared" si="16"/>
        <v>-3.3E-3</v>
      </c>
      <c r="N69" s="1060">
        <f t="shared" si="16"/>
        <v>-6.6E-3</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3272</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2044</v>
      </c>
      <c r="B92" s="3352"/>
      <c r="C92" s="3352" t="s">
        <v>2046</v>
      </c>
      <c r="D92" s="3352" t="s">
        <v>2047</v>
      </c>
      <c r="E92" s="3334" t="s">
        <v>2048</v>
      </c>
      <c r="F92" s="3367" t="s">
        <v>3286</v>
      </c>
      <c r="G92" s="3352" t="s">
        <v>2084</v>
      </c>
      <c r="H92" s="3374" t="s">
        <v>3290</v>
      </c>
      <c r="I92" s="3352" t="s">
        <v>2051</v>
      </c>
      <c r="J92" s="3375" t="s">
        <v>3292</v>
      </c>
      <c r="K92" s="3375" t="s">
        <v>3293</v>
      </c>
      <c r="L92" s="3375" t="s">
        <v>1723</v>
      </c>
      <c r="M92" s="3375" t="s">
        <v>1724</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2053</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2054</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2056</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2057</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2059</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2060</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2061</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888" t="s">
        <v>3297</v>
      </c>
      <c r="B103" s="3888"/>
      <c r="C103" s="3888"/>
      <c r="D103" s="3888"/>
      <c r="E103" s="3888"/>
      <c r="F103" s="3888"/>
      <c r="G103" s="3888"/>
      <c r="H103" s="3888"/>
      <c r="I103" s="3888"/>
      <c r="J103" s="3888"/>
      <c r="K103" s="3455"/>
      <c r="L103" s="3455"/>
      <c r="M103" s="3455"/>
      <c r="N103" s="3455"/>
    </row>
    <row r="104" spans="1:14">
      <c r="A104" s="3889" t="s">
        <v>3298</v>
      </c>
      <c r="B104" s="3889" t="s">
        <v>3299</v>
      </c>
      <c r="C104" s="3377" t="s">
        <v>3300</v>
      </c>
      <c r="D104" s="3378"/>
      <c r="E104" s="3378"/>
      <c r="F104" s="3378"/>
      <c r="G104" s="3378"/>
      <c r="H104" s="3378"/>
      <c r="I104" s="3378"/>
      <c r="J104" s="3379"/>
      <c r="K104" s="3380"/>
      <c r="L104" s="3380"/>
      <c r="M104" s="3380"/>
      <c r="N104" s="3380"/>
    </row>
    <row r="105" spans="1:14">
      <c r="A105" s="3889"/>
      <c r="B105" s="3889"/>
      <c r="C105" s="3456" t="s">
        <v>3301</v>
      </c>
      <c r="D105" s="3456" t="s">
        <v>1962</v>
      </c>
      <c r="E105" s="3456" t="s">
        <v>1963</v>
      </c>
      <c r="F105" s="3456" t="s">
        <v>3304</v>
      </c>
      <c r="G105" s="3456" t="s">
        <v>1965</v>
      </c>
      <c r="H105" s="3456" t="s">
        <v>3306</v>
      </c>
      <c r="I105" s="3456" t="s">
        <v>1967</v>
      </c>
      <c r="J105" s="3456" t="s">
        <v>3308</v>
      </c>
      <c r="K105" s="3456" t="s">
        <v>3309</v>
      </c>
      <c r="L105" s="3456" t="s">
        <v>1970</v>
      </c>
      <c r="M105" s="3456" t="s">
        <v>3311</v>
      </c>
      <c r="N105" s="3456" t="s">
        <v>1972</v>
      </c>
    </row>
    <row r="106" spans="1:14">
      <c r="A106" s="3875" t="s">
        <v>3313</v>
      </c>
      <c r="B106" s="3456">
        <v>1</v>
      </c>
      <c r="C106" s="3456">
        <v>1.5206</v>
      </c>
      <c r="D106" s="3456">
        <v>1.5206</v>
      </c>
      <c r="E106" s="3456">
        <v>1.5019</v>
      </c>
      <c r="F106" s="3456">
        <v>1.5019</v>
      </c>
      <c r="G106" s="3456">
        <v>1.5019</v>
      </c>
      <c r="H106" s="3456">
        <v>1.5019</v>
      </c>
      <c r="I106" s="3456">
        <v>1.5019</v>
      </c>
      <c r="J106" s="3456">
        <v>1.5418000000000001</v>
      </c>
      <c r="K106" s="3456">
        <v>1.5418000000000001</v>
      </c>
      <c r="L106" s="3456">
        <v>1.5418000000000001</v>
      </c>
      <c r="M106" s="3456">
        <v>1.5418000000000001</v>
      </c>
      <c r="N106" s="3456">
        <v>1.5418000000000001</v>
      </c>
    </row>
    <row r="107" spans="1:14">
      <c r="A107" s="3876"/>
      <c r="B107" s="3456">
        <v>2</v>
      </c>
      <c r="C107" s="3456">
        <v>1.2072000000000001</v>
      </c>
      <c r="D107" s="3456">
        <v>1.2072000000000001</v>
      </c>
      <c r="E107" s="3456">
        <v>1.1838</v>
      </c>
      <c r="F107" s="3456">
        <v>1.1838</v>
      </c>
      <c r="G107" s="3456">
        <v>1.1838</v>
      </c>
      <c r="H107" s="3456">
        <v>1.1838</v>
      </c>
      <c r="I107" s="3456">
        <v>1.1838</v>
      </c>
      <c r="J107" s="3456">
        <v>1.1883999999999999</v>
      </c>
      <c r="K107" s="3456">
        <v>1.1883999999999999</v>
      </c>
      <c r="L107" s="3456">
        <v>1.1883999999999999</v>
      </c>
      <c r="M107" s="3456">
        <v>1.1883999999999999</v>
      </c>
      <c r="N107" s="3456">
        <v>1.1883999999999999</v>
      </c>
    </row>
    <row r="108" spans="1:14">
      <c r="A108" s="3876"/>
      <c r="B108" s="3456">
        <v>3</v>
      </c>
      <c r="C108" s="3456">
        <v>1.0430999999999999</v>
      </c>
      <c r="D108" s="3456">
        <v>1.0430999999999999</v>
      </c>
      <c r="E108" s="3456">
        <v>1.0004999999999999</v>
      </c>
      <c r="F108" s="3456">
        <v>1.0004999999999999</v>
      </c>
      <c r="G108" s="3456">
        <v>1.0004999999999999</v>
      </c>
      <c r="H108" s="3456">
        <v>1.0004999999999999</v>
      </c>
      <c r="I108" s="3456">
        <v>1.0004999999999999</v>
      </c>
      <c r="J108" s="3456">
        <v>0.96940000000000004</v>
      </c>
      <c r="K108" s="3456">
        <v>0.96940000000000004</v>
      </c>
      <c r="L108" s="3456">
        <v>0.96940000000000004</v>
      </c>
      <c r="M108" s="3456">
        <v>0.96940000000000004</v>
      </c>
      <c r="N108" s="3456">
        <v>0.96940000000000004</v>
      </c>
    </row>
    <row r="109" spans="1:14">
      <c r="A109" s="3876"/>
      <c r="B109" s="3456">
        <v>4</v>
      </c>
      <c r="C109" s="3456">
        <v>0.94389999999999996</v>
      </c>
      <c r="D109" s="3456">
        <v>0.94389999999999996</v>
      </c>
      <c r="E109" s="3456">
        <v>0.88239999999999996</v>
      </c>
      <c r="F109" s="3456">
        <v>0.88239999999999996</v>
      </c>
      <c r="G109" s="3456">
        <v>0.88239999999999996</v>
      </c>
      <c r="H109" s="3456">
        <v>0.88239999999999996</v>
      </c>
      <c r="I109" s="3456">
        <v>0.88239999999999996</v>
      </c>
      <c r="J109" s="3456">
        <v>0.82299999999999995</v>
      </c>
      <c r="K109" s="3456">
        <v>0.82299999999999995</v>
      </c>
      <c r="L109" s="3456">
        <v>0.82299999999999995</v>
      </c>
      <c r="M109" s="3456">
        <v>0.82299999999999995</v>
      </c>
      <c r="N109" s="3456">
        <v>0.82299999999999995</v>
      </c>
    </row>
    <row r="110" spans="1:14">
      <c r="A110" s="3876"/>
      <c r="B110" s="3456">
        <v>5</v>
      </c>
      <c r="C110" s="3456">
        <v>0.89959999999999996</v>
      </c>
      <c r="D110" s="3456">
        <v>0.89959999999999996</v>
      </c>
      <c r="E110" s="3456">
        <v>0.84799999999999998</v>
      </c>
      <c r="F110" s="3456">
        <v>0.84799999999999998</v>
      </c>
      <c r="G110" s="3456">
        <v>0.84799999999999998</v>
      </c>
      <c r="H110" s="3456">
        <v>0.84799999999999998</v>
      </c>
      <c r="I110" s="3456">
        <v>0.84799999999999998</v>
      </c>
      <c r="J110" s="3456">
        <v>0.74980000000000002</v>
      </c>
      <c r="K110" s="3456">
        <v>0.74980000000000002</v>
      </c>
      <c r="L110" s="3456">
        <v>0.74980000000000002</v>
      </c>
      <c r="M110" s="3456">
        <v>0.74980000000000002</v>
      </c>
      <c r="N110" s="3456">
        <v>0.74980000000000002</v>
      </c>
    </row>
    <row r="111" spans="1:14">
      <c r="A111" s="3876"/>
      <c r="B111" s="3456" t="s">
        <v>3271</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877"/>
      <c r="B112" s="3456">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878" t="s">
        <v>3314</v>
      </c>
      <c r="B113" s="3878"/>
      <c r="C113" s="3878"/>
      <c r="D113" s="3878"/>
      <c r="E113" s="3878"/>
      <c r="F113" s="3878"/>
      <c r="G113" s="3878"/>
      <c r="H113" s="3878"/>
      <c r="I113" s="3878"/>
      <c r="J113" s="3878"/>
      <c r="K113" s="3453"/>
      <c r="L113" s="3453"/>
      <c r="M113" s="3453"/>
      <c r="N113" s="345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0.90400000000000003</v>
      </c>
      <c r="E116" s="1992" t="s">
        <v>1936</v>
      </c>
      <c r="F116" s="3388" t="str">
        <f>E2</f>
        <v>办公</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1991</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1992</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39"/>
      <c r="C1" s="2139"/>
      <c r="D1" s="2139"/>
      <c r="E1" s="2139"/>
      <c r="F1" s="2783"/>
      <c r="G1" s="2783"/>
      <c r="H1" s="2783"/>
      <c r="I1" s="2783"/>
      <c r="J1" s="2783"/>
      <c r="K1" s="2783"/>
      <c r="L1" s="2783"/>
      <c r="M1" s="2783"/>
      <c r="N1" s="2783"/>
      <c r="O1" s="2783"/>
      <c r="P1" s="2783"/>
    </row>
    <row r="2" spans="1:16" ht="15.75">
      <c r="A2" s="2137" t="s">
        <v>2073</v>
      </c>
      <c r="B2" s="2593" t="e">
        <f ca="1">SUMIF(B6:B13,"&lt;&gt;#ref!",B6:B13)</f>
        <v>#DIV/0!</v>
      </c>
      <c r="C2" s="2137" t="s">
        <v>2074</v>
      </c>
      <c r="D2" s="2137" t="s">
        <v>2075</v>
      </c>
      <c r="E2" s="2603">
        <f ca="1">SUMIF(E6:E13,"&lt;&gt;#ref!",E6:E13)</f>
        <v>180212.11</v>
      </c>
      <c r="F2" s="2783"/>
      <c r="G2" s="2783"/>
      <c r="H2" s="2783"/>
      <c r="I2" s="2783"/>
      <c r="J2" s="2783"/>
      <c r="K2" s="2783"/>
      <c r="L2" s="2783"/>
      <c r="M2" s="2783"/>
      <c r="N2" s="2783"/>
      <c r="O2" s="2783"/>
      <c r="P2" s="2783"/>
    </row>
    <row r="3" spans="1:16" ht="15.75">
      <c r="A3" s="2137" t="s">
        <v>2076</v>
      </c>
      <c r="B3" s="2593" t="e">
        <f ca="1">ROUND(B2*10000/E2,0)</f>
        <v>#DIV/0!</v>
      </c>
      <c r="C3" s="2137" t="s">
        <v>2081</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8"/>
      <c r="D5" s="2783"/>
      <c r="E5" s="2602" t="s">
        <v>2079</v>
      </c>
      <c r="F5" s="2783"/>
      <c r="G5" s="2783"/>
      <c r="H5" s="2783"/>
      <c r="I5" s="2783"/>
      <c r="J5" s="2783"/>
      <c r="K5" s="2783"/>
      <c r="L5" s="2783"/>
      <c r="M5" s="2783"/>
      <c r="N5" s="2783"/>
      <c r="O5" s="2783"/>
      <c r="P5" s="2783"/>
    </row>
    <row r="6" spans="1:16" ht="15.75">
      <c r="A6" s="2600" t="s">
        <v>3404</v>
      </c>
      <c r="B6" s="2593">
        <f>基准地价修正!V2+基准地价修正!V3</f>
        <v>0</v>
      </c>
      <c r="C6" s="2137" t="s">
        <v>2074</v>
      </c>
      <c r="D6" s="2783"/>
      <c r="E6" s="2603">
        <f ca="1">SUMIF(INDIRECT("'"&amp;A6&amp;"'"&amp;"!C:C"),"建筑面积",INDIRECT("'"&amp;A6&amp;"'"&amp;"!D:D"))</f>
        <v>0</v>
      </c>
      <c r="F6" s="2783"/>
      <c r="G6" s="2783"/>
      <c r="H6" s="2783"/>
      <c r="I6" s="2783"/>
      <c r="J6" s="2783"/>
      <c r="K6" s="2783"/>
      <c r="L6" s="2783"/>
      <c r="M6" s="2783"/>
      <c r="N6" s="2783"/>
      <c r="O6" s="2783"/>
      <c r="P6" s="2783"/>
    </row>
    <row r="7" spans="1:16" ht="15.75">
      <c r="A7" s="2600" t="s">
        <v>3395</v>
      </c>
      <c r="B7" s="2593" t="e">
        <f ca="1">SUMIF(INDIRECT("'"&amp;A7&amp;"'"&amp;"!A:A"),"总价",INDIRECT("'"&amp;A7&amp;"'"&amp;"!B:B"))</f>
        <v>#DIV/0!</v>
      </c>
      <c r="C7" s="2137" t="s">
        <v>2074</v>
      </c>
      <c r="D7" s="2783"/>
      <c r="E7" s="2603">
        <f t="shared" ref="E7:E13" ca="1" si="0">SUMIF(INDIRECT("'"&amp;A7&amp;"'"&amp;"!C:C"),"建筑面积",INDIRECT("'"&amp;A7&amp;"'"&amp;"!D:D"))</f>
        <v>180212.11</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7"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7"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7"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7"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7"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7"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I59" sqref="I5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f>F65</f>
        <v>98148</v>
      </c>
      <c r="C2" s="903"/>
      <c r="D2" s="903"/>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c r="AD2" s="350"/>
    </row>
    <row r="3" spans="1:30" s="351" customFormat="1" ht="28.5" customHeight="1" thickBot="1">
      <c r="A3" s="202" t="s">
        <v>1464</v>
      </c>
      <c r="B3" s="557">
        <f>ROUND(IF(D3="",B2*10000/'数据-汇总表'!E3,B2*10000/D3),0)</f>
        <v>5279</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30" ht="15">
      <c r="A4" s="354" t="s">
        <v>1769</v>
      </c>
      <c r="B4" s="355"/>
      <c r="C4" s="3912" t="s">
        <v>1770</v>
      </c>
      <c r="D4" s="3913"/>
      <c r="E4" s="3914" t="s">
        <v>1771</v>
      </c>
      <c r="F4" s="3915"/>
      <c r="G4" s="3912" t="s">
        <v>1772</v>
      </c>
      <c r="H4" s="3913"/>
      <c r="I4" s="3912" t="s">
        <v>1773</v>
      </c>
      <c r="J4" s="3913"/>
      <c r="K4" s="558" t="s">
        <v>1774</v>
      </c>
      <c r="L4" s="2705"/>
      <c r="M4" s="2706"/>
      <c r="N4" s="2706"/>
      <c r="O4" s="2706"/>
      <c r="P4" s="3916" t="s">
        <v>1775</v>
      </c>
      <c r="Q4" s="3917"/>
      <c r="R4" s="3899" t="s">
        <v>1771</v>
      </c>
      <c r="S4" s="3900"/>
      <c r="T4" s="3899" t="s">
        <v>1772</v>
      </c>
      <c r="U4" s="3900"/>
      <c r="V4" s="3924" t="s">
        <v>1773</v>
      </c>
      <c r="W4" s="3924"/>
      <c r="X4" s="1350"/>
      <c r="Y4" s="3899" t="s">
        <v>1775</v>
      </c>
      <c r="Z4" s="3900"/>
      <c r="AA4" s="3894" t="s">
        <v>1771</v>
      </c>
      <c r="AB4" s="3895" t="s">
        <v>1772</v>
      </c>
      <c r="AC4" s="3894" t="s">
        <v>1773</v>
      </c>
    </row>
    <row r="5" spans="1:30" ht="15">
      <c r="A5" s="357"/>
      <c r="B5" s="358"/>
      <c r="C5" s="3905" t="s">
        <v>1673</v>
      </c>
      <c r="D5" s="3906"/>
      <c r="E5" s="3903" t="str">
        <f>土案!A2</f>
        <v>经开第十三大街西、经南十一路南</v>
      </c>
      <c r="F5" s="3904"/>
      <c r="G5" s="3905" t="str">
        <f>土案!A3</f>
        <v>经开第十四大街以东、经南十三路以南、经开第十五大街以西、经南十四路以北</v>
      </c>
      <c r="H5" s="3906"/>
      <c r="I5" s="3905" t="str">
        <f>土案!A12</f>
        <v>经南十二路以北、经开第十八大街以东</v>
      </c>
      <c r="J5" s="3906"/>
      <c r="K5" s="558"/>
      <c r="L5" s="2705"/>
      <c r="M5" s="2706"/>
      <c r="N5" s="2706"/>
      <c r="O5" s="2706"/>
      <c r="P5" s="3918"/>
      <c r="Q5" s="3919"/>
      <c r="R5" s="3901"/>
      <c r="S5" s="3902"/>
      <c r="T5" s="3901"/>
      <c r="U5" s="3902"/>
      <c r="V5" s="3924"/>
      <c r="W5" s="3924"/>
      <c r="X5" s="1350"/>
      <c r="Y5" s="3901"/>
      <c r="Z5" s="3902"/>
      <c r="AA5" s="3895"/>
      <c r="AB5" s="3895"/>
      <c r="AC5" s="3895"/>
    </row>
    <row r="6" spans="1:30" ht="15.75" thickBot="1">
      <c r="A6" s="359"/>
      <c r="B6" s="360"/>
      <c r="C6" s="3907" t="s">
        <v>1677</v>
      </c>
      <c r="D6" s="3908"/>
      <c r="E6" s="3909" t="s">
        <v>1677</v>
      </c>
      <c r="F6" s="3910"/>
      <c r="G6" s="3907" t="s">
        <v>1677</v>
      </c>
      <c r="H6" s="3908"/>
      <c r="I6" s="3907" t="s">
        <v>1677</v>
      </c>
      <c r="J6" s="3908"/>
      <c r="K6" s="558" t="s">
        <v>1678</v>
      </c>
      <c r="L6" s="2705"/>
      <c r="M6" s="2706"/>
      <c r="N6" s="2706"/>
      <c r="O6" s="2706"/>
      <c r="P6" s="3920"/>
      <c r="Q6" s="3921"/>
      <c r="R6" s="3901"/>
      <c r="S6" s="3902"/>
      <c r="T6" s="3922"/>
      <c r="U6" s="3923"/>
      <c r="V6" s="3924"/>
      <c r="W6" s="3924"/>
      <c r="X6" s="1350"/>
      <c r="Y6" s="3922"/>
      <c r="Z6" s="3923"/>
      <c r="AA6" s="3896"/>
      <c r="AB6" s="3896"/>
      <c r="AC6" s="3896"/>
    </row>
    <row r="7" spans="1:30" s="107" customFormat="1" ht="15.75" thickBot="1">
      <c r="A7" s="361" t="s">
        <v>1679</v>
      </c>
      <c r="B7" s="362"/>
      <c r="C7" s="363">
        <f>'数据-取费表'!B2</f>
        <v>44999</v>
      </c>
      <c r="D7" s="364">
        <v>100</v>
      </c>
      <c r="E7" s="365">
        <f>土案!L2</f>
        <v>44825.000497685185</v>
      </c>
      <c r="F7" s="366">
        <f>SUMIF(69:69,YEAR(E7)&amp;"-"&amp;INT((MONTH(E7)+2)/3),70:70)</f>
        <v>99.800000000000011</v>
      </c>
      <c r="G7" s="1966">
        <f>土案!L3</f>
        <v>44825.000497685185</v>
      </c>
      <c r="H7" s="364">
        <f>SUMIF(69:69,YEAR(G7)&amp;"-"&amp;INT((MONTH(G7)+2)/3),70:70)</f>
        <v>99.800000000000011</v>
      </c>
      <c r="I7" s="1966">
        <f>土案!L12</f>
        <v>43874.000497685185</v>
      </c>
      <c r="J7" s="364">
        <f>SUMIF(69:69,YEAR(I7)&amp;"-"&amp;INT((MONTH(I7)+2)/3),70:70)</f>
        <v>98.800000000000068</v>
      </c>
      <c r="K7" s="559"/>
      <c r="L7" s="2707"/>
      <c r="M7" s="2708"/>
      <c r="N7" s="2708"/>
      <c r="O7" s="2708"/>
      <c r="P7" s="3897" t="s">
        <v>1680</v>
      </c>
      <c r="Q7" s="3925"/>
      <c r="R7" s="700" t="s">
        <v>14</v>
      </c>
      <c r="S7" s="701">
        <f t="shared" ref="S7:S15" si="0">F7</f>
        <v>99.800000000000011</v>
      </c>
      <c r="T7" s="700" t="s">
        <v>14</v>
      </c>
      <c r="U7" s="701">
        <f t="shared" ref="U7:U15" si="1">H7</f>
        <v>99.800000000000011</v>
      </c>
      <c r="V7" s="700" t="s">
        <v>14</v>
      </c>
      <c r="W7" s="701">
        <f t="shared" ref="W7:W15" si="2">J7</f>
        <v>98.800000000000068</v>
      </c>
      <c r="X7" s="702"/>
      <c r="Y7" s="3897" t="s">
        <v>1680</v>
      </c>
      <c r="Z7" s="3898"/>
      <c r="AA7" s="703">
        <f>D7/F7</f>
        <v>1.002004008016032</v>
      </c>
      <c r="AB7" s="703">
        <f>D7/H7</f>
        <v>1.002004008016032</v>
      </c>
      <c r="AC7" s="703">
        <f>D7/J7</f>
        <v>1.0121457489878536</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07"/>
      <c r="M8" s="2708"/>
      <c r="N8" s="2708"/>
      <c r="O8" s="2708"/>
      <c r="P8" s="3897" t="s">
        <v>1683</v>
      </c>
      <c r="Q8" s="3898"/>
      <c r="R8" s="700" t="s">
        <v>14</v>
      </c>
      <c r="S8" s="701">
        <f t="shared" si="0"/>
        <v>100</v>
      </c>
      <c r="T8" s="700" t="s">
        <v>14</v>
      </c>
      <c r="U8" s="701">
        <f t="shared" si="1"/>
        <v>100</v>
      </c>
      <c r="V8" s="700" t="s">
        <v>14</v>
      </c>
      <c r="W8" s="701">
        <f t="shared" si="2"/>
        <v>100</v>
      </c>
      <c r="X8" s="702"/>
      <c r="Y8" s="3897" t="s">
        <v>1683</v>
      </c>
      <c r="Z8" s="3898"/>
      <c r="AA8" s="703">
        <f t="shared" ref="AA8:AA45" si="3">D8/F8</f>
        <v>1</v>
      </c>
      <c r="AB8" s="703">
        <f t="shared" ref="AB8:AB45" si="4">D8/H8</f>
        <v>1</v>
      </c>
      <c r="AC8" s="703">
        <f t="shared" ref="AC8:AC45" si="5">D8/J8</f>
        <v>1</v>
      </c>
    </row>
    <row r="9" spans="1:30" s="107" customFormat="1">
      <c r="A9" s="368" t="s">
        <v>1684</v>
      </c>
      <c r="B9" s="63" t="s">
        <v>1685</v>
      </c>
      <c r="C9" s="1969" t="s">
        <v>3782</v>
      </c>
      <c r="D9" s="125">
        <v>100</v>
      </c>
      <c r="E9" s="1969" t="s">
        <v>3782</v>
      </c>
      <c r="F9" s="125">
        <f>SUMIF(74:74,E9,75:75)-SUMIF(74:74,C9,75:75)+100</f>
        <v>100</v>
      </c>
      <c r="G9" s="1969" t="s">
        <v>3782</v>
      </c>
      <c r="H9" s="125">
        <f>SUMIF(74:74,G9,75:75)-SUMIF(74:74,C9,75:75)+100</f>
        <v>100</v>
      </c>
      <c r="I9" s="1969" t="s">
        <v>3782</v>
      </c>
      <c r="J9" s="125">
        <f>SUMIF(74:74,I9,75:75)-SUMIF(74:74,C9,75:75)+100</f>
        <v>100</v>
      </c>
      <c r="K9" s="559"/>
      <c r="L9" s="2707"/>
      <c r="M9" s="2708"/>
      <c r="N9" s="2708"/>
      <c r="O9" s="2762"/>
      <c r="P9" s="3911"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101</v>
      </c>
      <c r="G10" s="413"/>
      <c r="H10" s="126">
        <f>ROUND(100/'数据-取费表'!G16,0)</f>
        <v>101</v>
      </c>
      <c r="I10" s="413"/>
      <c r="J10" s="126">
        <f>ROUND(100/'数据-取费表'!G16,0)</f>
        <v>101</v>
      </c>
      <c r="K10" s="619"/>
      <c r="L10" s="2709"/>
      <c r="M10" s="2710"/>
      <c r="N10" s="2710"/>
      <c r="O10" s="2763"/>
      <c r="P10" s="3911"/>
      <c r="Q10" s="1338" t="str">
        <f t="shared" si="6"/>
        <v>土地使用年限（年）</v>
      </c>
      <c r="R10" s="700" t="s">
        <v>14</v>
      </c>
      <c r="S10" s="701">
        <f t="shared" si="0"/>
        <v>101</v>
      </c>
      <c r="T10" s="700" t="s">
        <v>14</v>
      </c>
      <c r="U10" s="701">
        <f t="shared" si="1"/>
        <v>101</v>
      </c>
      <c r="V10" s="700" t="s">
        <v>14</v>
      </c>
      <c r="W10" s="701">
        <f t="shared" si="2"/>
        <v>101</v>
      </c>
      <c r="X10" s="702"/>
      <c r="Y10" s="3851"/>
      <c r="Z10" s="52" t="str">
        <f t="shared" si="7"/>
        <v>土地使用年限（年）</v>
      </c>
      <c r="AA10" s="703">
        <f t="shared" si="3"/>
        <v>0.99009900990099009</v>
      </c>
      <c r="AB10" s="703">
        <f t="shared" si="4"/>
        <v>0.99009900990099009</v>
      </c>
      <c r="AC10" s="703">
        <f t="shared" si="5"/>
        <v>0.99009900990099009</v>
      </c>
    </row>
    <row r="11" spans="1:30" ht="15">
      <c r="A11" s="378"/>
      <c r="B11" s="374" t="s">
        <v>1689</v>
      </c>
      <c r="C11" s="379">
        <v>2.5</v>
      </c>
      <c r="D11" s="126">
        <v>100</v>
      </c>
      <c r="E11" s="379">
        <v>2</v>
      </c>
      <c r="F11" s="126">
        <f>LOOKUP(E11,79:79,80:80)-LOOKUP(C11,79:79,80:80)+100</f>
        <v>105</v>
      </c>
      <c r="G11" s="380">
        <v>2.5</v>
      </c>
      <c r="H11" s="126">
        <f>LOOKUP(G11,79:79,80:80)-LOOKUP(C11,79:79,80:80)+100</f>
        <v>100</v>
      </c>
      <c r="I11" s="379">
        <v>2.5</v>
      </c>
      <c r="J11" s="126">
        <f>LOOKUP(I11,79:79,80:80)-LOOKUP(C11,79:79,80:80)+100</f>
        <v>100</v>
      </c>
      <c r="K11" s="620">
        <v>5</v>
      </c>
      <c r="L11" s="2711"/>
      <c r="M11" s="2706"/>
      <c r="N11" s="2706"/>
      <c r="O11" s="2764"/>
      <c r="P11" s="3911"/>
      <c r="Q11" s="1338" t="str">
        <f t="shared" si="6"/>
        <v>容积率</v>
      </c>
      <c r="R11" s="700" t="s">
        <v>14</v>
      </c>
      <c r="S11" s="701">
        <f t="shared" si="0"/>
        <v>105</v>
      </c>
      <c r="T11" s="700" t="s">
        <v>14</v>
      </c>
      <c r="U11" s="701">
        <f t="shared" si="1"/>
        <v>100</v>
      </c>
      <c r="V11" s="700" t="s">
        <v>14</v>
      </c>
      <c r="W11" s="701">
        <f t="shared" si="2"/>
        <v>100</v>
      </c>
      <c r="X11" s="702"/>
      <c r="Y11" s="3851"/>
      <c r="Z11" s="52" t="str">
        <f t="shared" si="7"/>
        <v>容积率</v>
      </c>
      <c r="AA11" s="703">
        <f t="shared" si="3"/>
        <v>0.95238095238095233</v>
      </c>
      <c r="AB11" s="703">
        <f t="shared" si="4"/>
        <v>1</v>
      </c>
      <c r="AC11" s="703">
        <f t="shared" si="5"/>
        <v>1</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9"/>
      <c r="L12" s="2707"/>
      <c r="M12" s="2708"/>
      <c r="N12" s="2708"/>
      <c r="O12" s="2762"/>
      <c r="P12" s="3911"/>
      <c r="Q12" s="1338" t="str">
        <f t="shared" si="6"/>
        <v>配建</v>
      </c>
      <c r="R12" s="700" t="s">
        <v>14</v>
      </c>
      <c r="S12" s="701">
        <f t="shared" si="0"/>
        <v>100</v>
      </c>
      <c r="T12" s="700" t="s">
        <v>14</v>
      </c>
      <c r="U12" s="701">
        <f t="shared" si="1"/>
        <v>100</v>
      </c>
      <c r="V12" s="700" t="s">
        <v>14</v>
      </c>
      <c r="W12" s="701">
        <f t="shared" si="2"/>
        <v>100</v>
      </c>
      <c r="X12" s="702"/>
      <c r="Y12" s="3851"/>
      <c r="Z12" s="52" t="str">
        <f t="shared" si="7"/>
        <v>配建</v>
      </c>
      <c r="AA12" s="703">
        <f>D12/F12</f>
        <v>1</v>
      </c>
      <c r="AB12" s="703">
        <f>D12/H12</f>
        <v>1</v>
      </c>
      <c r="AC12" s="703">
        <f>D12/J12</f>
        <v>1</v>
      </c>
    </row>
    <row r="13" spans="1:30" ht="15">
      <c r="A13" s="378"/>
      <c r="B13" s="1887">
        <v>111</v>
      </c>
      <c r="C13" s="384"/>
      <c r="D13" s="385">
        <v>100</v>
      </c>
      <c r="E13" s="497"/>
      <c r="F13" s="126">
        <f>SUMIF(83:83,E13,84:84)-SUMIF(83:83,C13,84:84)+100</f>
        <v>100</v>
      </c>
      <c r="G13" s="621"/>
      <c r="H13" s="385">
        <f>SUMIF(83:83,G13,84:84)-SUMIF(83:83,C13,84:84)+100</f>
        <v>100</v>
      </c>
      <c r="I13" s="621"/>
      <c r="J13" s="385">
        <f>SUMIF(83:83,I13,84:84)-SUMIF(83:83,C13,84:84)+100</f>
        <v>100</v>
      </c>
      <c r="K13" s="619"/>
      <c r="L13" s="2712"/>
      <c r="M13" s="2706"/>
      <c r="N13" s="2706"/>
      <c r="O13" s="2764"/>
      <c r="P13" s="3911"/>
      <c r="Q13" s="1338">
        <f t="shared" si="6"/>
        <v>111</v>
      </c>
      <c r="R13" s="700" t="s">
        <v>14</v>
      </c>
      <c r="S13" s="701">
        <f t="shared" si="0"/>
        <v>100</v>
      </c>
      <c r="T13" s="700" t="s">
        <v>14</v>
      </c>
      <c r="U13" s="701">
        <f t="shared" si="1"/>
        <v>100</v>
      </c>
      <c r="V13" s="700" t="s">
        <v>14</v>
      </c>
      <c r="W13" s="701">
        <f t="shared" si="2"/>
        <v>100</v>
      </c>
      <c r="X13" s="702"/>
      <c r="Y13" s="3851"/>
      <c r="Z13" s="52">
        <f t="shared" si="7"/>
        <v>111</v>
      </c>
      <c r="AA13" s="703">
        <f>D13/F13</f>
        <v>1</v>
      </c>
      <c r="AB13" s="703">
        <f>D13/H13</f>
        <v>1</v>
      </c>
      <c r="AC13" s="703">
        <f>D13/J13</f>
        <v>1</v>
      </c>
    </row>
    <row r="14" spans="1:30" ht="15.75" thickBot="1">
      <c r="A14" s="386"/>
      <c r="B14" s="1889">
        <v>111</v>
      </c>
      <c r="C14" s="387"/>
      <c r="D14" s="388">
        <v>100</v>
      </c>
      <c r="E14" s="497"/>
      <c r="F14" s="388">
        <f>SUMIF(85:85,E14,86:86)-SUMIF(85:85,C14,86:86)+100</f>
        <v>100</v>
      </c>
      <c r="G14" s="621"/>
      <c r="H14" s="388">
        <f>SUMIF(85:85,G14,86:86)-SUMIF(85:85,C14,86:86)+100</f>
        <v>100</v>
      </c>
      <c r="I14" s="621"/>
      <c r="J14" s="388">
        <f>SUMIF(85:85,I14,86:86)-SUMIF(85:85,C14,86:86)+100</f>
        <v>100</v>
      </c>
      <c r="K14" s="619"/>
      <c r="L14" s="2712"/>
      <c r="M14" s="2706"/>
      <c r="N14" s="2706"/>
      <c r="O14" s="2764"/>
      <c r="P14" s="3911"/>
      <c r="Q14" s="1338">
        <f t="shared" si="6"/>
        <v>111</v>
      </c>
      <c r="R14" s="700" t="s">
        <v>14</v>
      </c>
      <c r="S14" s="701">
        <f t="shared" si="0"/>
        <v>100</v>
      </c>
      <c r="T14" s="700" t="s">
        <v>14</v>
      </c>
      <c r="U14" s="701">
        <f t="shared" si="1"/>
        <v>100</v>
      </c>
      <c r="V14" s="700" t="s">
        <v>14</v>
      </c>
      <c r="W14" s="701">
        <f t="shared" si="2"/>
        <v>100</v>
      </c>
      <c r="X14" s="702"/>
      <c r="Y14" s="3851"/>
      <c r="Z14" s="52">
        <f t="shared" si="7"/>
        <v>111</v>
      </c>
      <c r="AA14" s="703">
        <f>D14/F14</f>
        <v>1</v>
      </c>
      <c r="AB14" s="703">
        <f>D14/H14</f>
        <v>1</v>
      </c>
      <c r="AC14" s="703">
        <f>D14/J14</f>
        <v>1</v>
      </c>
    </row>
    <row r="15" spans="1:30" ht="99.75">
      <c r="A15" s="390" t="s">
        <v>1690</v>
      </c>
      <c r="B15" s="61" t="s">
        <v>1257</v>
      </c>
      <c r="C15" s="1890"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97</v>
      </c>
      <c r="I15" s="394"/>
      <c r="J15" s="391">
        <f>SUMIF(87:87,I16,88:88)-SUMIF(87:87,C16,88:88)+100</f>
        <v>100</v>
      </c>
      <c r="K15" s="620">
        <v>3</v>
      </c>
      <c r="L15" s="2712"/>
      <c r="M15" s="2706"/>
      <c r="N15" s="2706"/>
      <c r="O15" s="2764"/>
      <c r="P15" s="3926" t="s">
        <v>1691</v>
      </c>
      <c r="Q15" s="1347" t="str">
        <f t="shared" si="6"/>
        <v>居住社区成熟度</v>
      </c>
      <c r="R15" s="704" t="s">
        <v>14</v>
      </c>
      <c r="S15" s="705">
        <f t="shared" si="0"/>
        <v>100</v>
      </c>
      <c r="T15" s="704" t="s">
        <v>14</v>
      </c>
      <c r="U15" s="705">
        <f t="shared" si="1"/>
        <v>97</v>
      </c>
      <c r="V15" s="704" t="s">
        <v>14</v>
      </c>
      <c r="W15" s="705">
        <f t="shared" si="2"/>
        <v>100</v>
      </c>
      <c r="X15" s="1350"/>
      <c r="Y15" s="3926" t="s">
        <v>1691</v>
      </c>
      <c r="Z15" s="1351" t="str">
        <f t="shared" si="7"/>
        <v>居住社区成熟度</v>
      </c>
      <c r="AA15" s="1348">
        <f t="shared" si="3"/>
        <v>1</v>
      </c>
      <c r="AB15" s="1348">
        <f t="shared" si="4"/>
        <v>1.0309278350515463</v>
      </c>
      <c r="AC15" s="1348">
        <f t="shared" si="5"/>
        <v>1</v>
      </c>
    </row>
    <row r="16" spans="1:30" ht="15">
      <c r="A16" s="378"/>
      <c r="B16" s="396"/>
      <c r="C16" s="397" t="s">
        <v>3392</v>
      </c>
      <c r="D16" s="398"/>
      <c r="E16" s="397" t="s">
        <v>3392</v>
      </c>
      <c r="F16" s="398"/>
      <c r="G16" s="397" t="s">
        <v>3804</v>
      </c>
      <c r="H16" s="400"/>
      <c r="I16" s="397" t="s">
        <v>3392</v>
      </c>
      <c r="J16" s="398"/>
      <c r="K16" s="619"/>
      <c r="L16" s="2712"/>
      <c r="M16" s="2706"/>
      <c r="N16" s="2706"/>
      <c r="O16" s="2764"/>
      <c r="P16" s="3927"/>
      <c r="Q16" s="1347"/>
      <c r="R16" s="704"/>
      <c r="S16" s="705"/>
      <c r="T16" s="704"/>
      <c r="U16" s="705"/>
      <c r="V16" s="704"/>
      <c r="W16" s="705"/>
      <c r="X16" s="1350"/>
      <c r="Y16" s="3927"/>
      <c r="Z16" s="1351"/>
      <c r="AA16" s="1348">
        <v>1</v>
      </c>
      <c r="AB16" s="1348">
        <v>1</v>
      </c>
      <c r="AC16" s="1348">
        <v>1</v>
      </c>
    </row>
    <row r="17" spans="1:29" ht="71.25">
      <c r="A17" s="378"/>
      <c r="B17" s="401" t="s">
        <v>1777</v>
      </c>
      <c r="C17" s="1947" t="str">
        <f>估价对象房地状况!C16</f>
        <v>估价对象位于XX商圈，周边商业氛围成熟，人流量大，商业繁华度一般</v>
      </c>
      <c r="D17" s="400">
        <v>100</v>
      </c>
      <c r="E17" s="402"/>
      <c r="F17" s="400">
        <f>SUMIF(89:89,E18,90:90)-SUMIF(89:89,C18,90:90)+100</f>
        <v>100</v>
      </c>
      <c r="G17" s="402"/>
      <c r="H17" s="405">
        <f>SUMIF(89:89,G18,90:90)-SUMIF(89:89,C18,90:90)+100</f>
        <v>100</v>
      </c>
      <c r="I17" s="404"/>
      <c r="J17" s="405">
        <f>SUMIF(89:89,I18,90:90)-SUMIF(89:89,C18,90:90)+100</f>
        <v>100</v>
      </c>
      <c r="K17" s="620">
        <v>3</v>
      </c>
      <c r="L17" s="2712"/>
      <c r="M17" s="2706"/>
      <c r="N17" s="2706"/>
      <c r="O17" s="2764"/>
      <c r="P17" s="3927"/>
      <c r="Q17" s="1347" t="str">
        <f>B17</f>
        <v>商业繁华度</v>
      </c>
      <c r="R17" s="704" t="s">
        <v>14</v>
      </c>
      <c r="S17" s="705">
        <f>F17</f>
        <v>100</v>
      </c>
      <c r="T17" s="704" t="s">
        <v>14</v>
      </c>
      <c r="U17" s="705">
        <f>H17</f>
        <v>100</v>
      </c>
      <c r="V17" s="704" t="s">
        <v>14</v>
      </c>
      <c r="W17" s="705">
        <f>J17</f>
        <v>100</v>
      </c>
      <c r="X17" s="1350"/>
      <c r="Y17" s="3927"/>
      <c r="Z17" s="1351" t="str">
        <f>Q17</f>
        <v>商业繁华度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619"/>
      <c r="L18" s="2712"/>
      <c r="M18" s="2706"/>
      <c r="N18" s="2706"/>
      <c r="O18" s="2764"/>
      <c r="P18" s="3927"/>
      <c r="Q18" s="1347"/>
      <c r="R18" s="704"/>
      <c r="S18" s="705"/>
      <c r="T18" s="704"/>
      <c r="U18" s="705"/>
      <c r="V18" s="704"/>
      <c r="W18" s="705"/>
      <c r="X18" s="1350"/>
      <c r="Y18" s="3927"/>
      <c r="Z18" s="1351"/>
      <c r="AA18" s="1348">
        <v>1</v>
      </c>
      <c r="AB18" s="1348">
        <v>1</v>
      </c>
      <c r="AC18" s="1348">
        <v>1</v>
      </c>
    </row>
    <row r="19" spans="1:29" ht="15" hidden="1">
      <c r="A19" s="378"/>
      <c r="B19" s="401" t="s">
        <v>1811</v>
      </c>
      <c r="C19" s="1947">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12"/>
      <c r="M19" s="2706"/>
      <c r="N19" s="2706"/>
      <c r="O19" s="2764"/>
      <c r="P19" s="3927"/>
      <c r="Q19" s="1347" t="str">
        <f>B19</f>
        <v>办公集聚程度</v>
      </c>
      <c r="R19" s="704" t="s">
        <v>14</v>
      </c>
      <c r="S19" s="705">
        <f>F19</f>
        <v>100</v>
      </c>
      <c r="T19" s="704" t="s">
        <v>14</v>
      </c>
      <c r="U19" s="705">
        <f>H19</f>
        <v>100</v>
      </c>
      <c r="V19" s="704" t="s">
        <v>14</v>
      </c>
      <c r="W19" s="705">
        <f>J19</f>
        <v>100</v>
      </c>
      <c r="X19" s="1350"/>
      <c r="Y19" s="3927"/>
      <c r="Z19" s="1351" t="str">
        <f>Q19</f>
        <v>办公集聚程度</v>
      </c>
      <c r="AA19" s="1348">
        <f t="shared" si="3"/>
        <v>1</v>
      </c>
      <c r="AB19" s="1348">
        <f t="shared" si="4"/>
        <v>1</v>
      </c>
      <c r="AC19" s="1348">
        <f t="shared" si="5"/>
        <v>1</v>
      </c>
    </row>
    <row r="20" spans="1:29" ht="15" hidden="1">
      <c r="A20" s="378"/>
      <c r="B20" s="406"/>
      <c r="C20" s="397"/>
      <c r="D20" s="398"/>
      <c r="E20" s="1892"/>
      <c r="F20" s="398"/>
      <c r="G20" s="1892"/>
      <c r="H20" s="398"/>
      <c r="I20" s="1891"/>
      <c r="J20" s="398"/>
      <c r="K20" s="619"/>
      <c r="L20" s="2712"/>
      <c r="M20" s="2706"/>
      <c r="N20" s="2706"/>
      <c r="O20" s="2764"/>
      <c r="P20" s="3927"/>
      <c r="Q20" s="1347"/>
      <c r="R20" s="704"/>
      <c r="S20" s="705"/>
      <c r="T20" s="704"/>
      <c r="U20" s="705"/>
      <c r="V20" s="704"/>
      <c r="W20" s="705"/>
      <c r="X20" s="1350"/>
      <c r="Y20" s="3927"/>
      <c r="Z20" s="1351"/>
      <c r="AA20" s="1348">
        <v>1</v>
      </c>
      <c r="AB20" s="1348">
        <v>1</v>
      </c>
      <c r="AC20" s="1348">
        <v>1</v>
      </c>
    </row>
    <row r="21" spans="1:29" ht="85.5">
      <c r="A21" s="378"/>
      <c r="B21" s="401" t="s">
        <v>1833</v>
      </c>
      <c r="C21" s="1894" t="str">
        <f>估价对象房地状况!C18</f>
        <v>估价对象周边道路状况、公共交通通达情况、停车便捷程度，综合评价交通便捷度一般</v>
      </c>
      <c r="D21" s="400">
        <v>100</v>
      </c>
      <c r="E21" s="402"/>
      <c r="F21" s="405">
        <f>SUMIF(93:93,E22,94:94)-SUMIF(93:93,C22,94:94)+100</f>
        <v>100</v>
      </c>
      <c r="G21" s="402"/>
      <c r="H21" s="400">
        <f>SUMIF(93:93,G22,94:94)-SUMIF(93:93,C22,94:94)+100</f>
        <v>100</v>
      </c>
      <c r="I21" s="404"/>
      <c r="J21" s="400">
        <f>SUMIF(93:93,I22,94:94)-SUMIF(93:93,C22,94:94)+100</f>
        <v>100</v>
      </c>
      <c r="K21" s="620">
        <v>3</v>
      </c>
      <c r="L21" s="2712"/>
      <c r="M21" s="2706"/>
      <c r="N21" s="2706"/>
      <c r="O21" s="2764"/>
      <c r="P21" s="3927"/>
      <c r="Q21" s="1347" t="str">
        <f>B21</f>
        <v>交通便捷度</v>
      </c>
      <c r="R21" s="704" t="s">
        <v>14</v>
      </c>
      <c r="S21" s="705">
        <f>F21</f>
        <v>100</v>
      </c>
      <c r="T21" s="704" t="s">
        <v>14</v>
      </c>
      <c r="U21" s="705">
        <f>H21</f>
        <v>100</v>
      </c>
      <c r="V21" s="704" t="s">
        <v>14</v>
      </c>
      <c r="W21" s="705">
        <f>J21</f>
        <v>100</v>
      </c>
      <c r="X21" s="1350"/>
      <c r="Y21" s="3927"/>
      <c r="Z21" s="1351" t="str">
        <f>Q21</f>
        <v>交通便捷度</v>
      </c>
      <c r="AA21" s="1348">
        <f t="shared" si="3"/>
        <v>1</v>
      </c>
      <c r="AB21" s="1348">
        <f t="shared" si="4"/>
        <v>1</v>
      </c>
      <c r="AC21" s="1348">
        <f t="shared" si="5"/>
        <v>1</v>
      </c>
    </row>
    <row r="22" spans="1:29" ht="15">
      <c r="A22" s="378"/>
      <c r="B22" s="1127"/>
      <c r="C22" s="397" t="s">
        <v>3392</v>
      </c>
      <c r="D22" s="400"/>
      <c r="E22" s="397" t="s">
        <v>3392</v>
      </c>
      <c r="F22" s="398"/>
      <c r="G22" s="397" t="s">
        <v>3392</v>
      </c>
      <c r="H22" s="398"/>
      <c r="I22" s="397" t="s">
        <v>3392</v>
      </c>
      <c r="J22" s="398"/>
      <c r="K22" s="619"/>
      <c r="L22" s="2712"/>
      <c r="M22" s="2706"/>
      <c r="N22" s="2706"/>
      <c r="O22" s="2764"/>
      <c r="P22" s="3927"/>
      <c r="Q22" s="1347"/>
      <c r="R22" s="704"/>
      <c r="S22" s="705"/>
      <c r="T22" s="704"/>
      <c r="U22" s="705"/>
      <c r="V22" s="704"/>
      <c r="W22" s="705"/>
      <c r="X22" s="1350"/>
      <c r="Y22" s="3927"/>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2"/>
      <c r="M23" s="2706"/>
      <c r="N23" s="2706"/>
      <c r="O23" s="2764"/>
      <c r="P23" s="3927"/>
      <c r="Q23" s="1347" t="str">
        <f t="shared" ref="Q23:Q37" si="8">B23</f>
        <v>区域土地利用方向</v>
      </c>
      <c r="R23" s="704" t="s">
        <v>14</v>
      </c>
      <c r="S23" s="705">
        <f>F23</f>
        <v>100</v>
      </c>
      <c r="T23" s="704" t="s">
        <v>14</v>
      </c>
      <c r="U23" s="705">
        <f>H23</f>
        <v>100</v>
      </c>
      <c r="V23" s="704" t="s">
        <v>14</v>
      </c>
      <c r="W23" s="705">
        <f>J23</f>
        <v>100</v>
      </c>
      <c r="X23" s="1350"/>
      <c r="Y23" s="3927"/>
      <c r="Z23" s="1351" t="str">
        <f>Q23</f>
        <v>区域土地利用方向</v>
      </c>
      <c r="AA23" s="1348">
        <f t="shared" si="3"/>
        <v>1</v>
      </c>
      <c r="AB23" s="1348">
        <f t="shared" si="4"/>
        <v>1</v>
      </c>
      <c r="AC23" s="1348">
        <f t="shared" si="5"/>
        <v>1</v>
      </c>
    </row>
    <row r="24" spans="1:29" ht="15">
      <c r="A24" s="357"/>
      <c r="B24" s="406"/>
      <c r="C24" s="564" t="s">
        <v>3391</v>
      </c>
      <c r="D24" s="398"/>
      <c r="E24" s="564" t="s">
        <v>3391</v>
      </c>
      <c r="F24" s="398"/>
      <c r="G24" s="564" t="s">
        <v>3391</v>
      </c>
      <c r="H24" s="398"/>
      <c r="I24" s="564" t="s">
        <v>3391</v>
      </c>
      <c r="J24" s="398"/>
      <c r="K24" s="736"/>
      <c r="L24" s="2712"/>
      <c r="M24" s="2706"/>
      <c r="N24" s="2706"/>
      <c r="O24" s="2764"/>
      <c r="P24" s="3927"/>
      <c r="Q24" s="1347"/>
      <c r="R24" s="704"/>
      <c r="S24" s="705"/>
      <c r="T24" s="704"/>
      <c r="U24" s="705"/>
      <c r="V24" s="704"/>
      <c r="W24" s="705"/>
      <c r="X24" s="1350"/>
      <c r="Y24" s="3927"/>
      <c r="Z24" s="1351"/>
      <c r="AA24" s="1348"/>
      <c r="AB24" s="1348"/>
      <c r="AC24" s="1348"/>
    </row>
    <row r="25" spans="1:29" ht="57">
      <c r="A25" s="357"/>
      <c r="B25" s="1127" t="s">
        <v>1872</v>
      </c>
      <c r="C25" s="1947"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3</v>
      </c>
      <c r="L25" s="2712"/>
      <c r="M25" s="2706"/>
      <c r="N25" s="2706"/>
      <c r="O25" s="2764"/>
      <c r="P25" s="3927"/>
      <c r="Q25" s="1347" t="str">
        <f t="shared" si="8"/>
        <v>自然及人文环境状况</v>
      </c>
      <c r="R25" s="704" t="s">
        <v>14</v>
      </c>
      <c r="S25" s="705">
        <f>F25</f>
        <v>100</v>
      </c>
      <c r="T25" s="704" t="s">
        <v>14</v>
      </c>
      <c r="U25" s="705">
        <f>H25</f>
        <v>100</v>
      </c>
      <c r="V25" s="704" t="s">
        <v>14</v>
      </c>
      <c r="W25" s="705">
        <f>J25</f>
        <v>100</v>
      </c>
      <c r="X25" s="1350"/>
      <c r="Y25" s="3927"/>
      <c r="Z25" s="1351" t="str">
        <f>Q25</f>
        <v>自然及人文环境状况</v>
      </c>
      <c r="AA25" s="1348">
        <f t="shared" si="3"/>
        <v>1</v>
      </c>
      <c r="AB25" s="1348">
        <f t="shared" si="4"/>
        <v>1</v>
      </c>
      <c r="AC25" s="1348">
        <f t="shared" si="5"/>
        <v>1</v>
      </c>
    </row>
    <row r="26" spans="1:29" ht="15">
      <c r="A26" s="357"/>
      <c r="B26" s="406"/>
      <c r="C26" s="397" t="s">
        <v>3392</v>
      </c>
      <c r="D26" s="398"/>
      <c r="E26" s="397" t="s">
        <v>3392</v>
      </c>
      <c r="F26" s="398"/>
      <c r="G26" s="397" t="s">
        <v>3392</v>
      </c>
      <c r="H26" s="398"/>
      <c r="I26" s="397" t="s">
        <v>3392</v>
      </c>
      <c r="J26" s="398"/>
      <c r="K26" s="619"/>
      <c r="L26" s="2712"/>
      <c r="M26" s="2706"/>
      <c r="N26" s="2706"/>
      <c r="O26" s="2764"/>
      <c r="P26" s="3927"/>
      <c r="Q26" s="1347"/>
      <c r="R26" s="704"/>
      <c r="S26" s="705"/>
      <c r="T26" s="704"/>
      <c r="U26" s="705"/>
      <c r="V26" s="704"/>
      <c r="W26" s="705"/>
      <c r="X26" s="1350"/>
      <c r="Y26" s="3927"/>
      <c r="Z26" s="1351"/>
      <c r="AA26" s="1348">
        <v>1</v>
      </c>
      <c r="AB26" s="1348">
        <v>1</v>
      </c>
      <c r="AC26" s="1348">
        <v>1</v>
      </c>
    </row>
    <row r="27" spans="1:29" s="107" customFormat="1" ht="42.75">
      <c r="A27" s="596"/>
      <c r="B27" s="1127" t="s">
        <v>1778</v>
      </c>
      <c r="C27" s="1894" t="str">
        <f>估价对象房地状况!C21</f>
        <v>估价对象所在区域公共配套设施齐备情况一般</v>
      </c>
      <c r="D27" s="400">
        <v>100</v>
      </c>
      <c r="E27" s="402"/>
      <c r="F27" s="400">
        <f>SUMIF(99:99,E28,100:100)-SUMIF(99:99,C28,100:100)+100</f>
        <v>100</v>
      </c>
      <c r="G27" s="402"/>
      <c r="H27" s="400">
        <f>SUMIF(99:99,G28,100:100)-SUMIF(99:99,C28,100:100)+100</f>
        <v>100</v>
      </c>
      <c r="I27" s="404"/>
      <c r="J27" s="400">
        <f>SUMIF(99:99,I28,100:100)-SUMIF(99:99,C28,100:100)+100</f>
        <v>100</v>
      </c>
      <c r="K27" s="620">
        <v>2</v>
      </c>
      <c r="L27" s="2707"/>
      <c r="M27" s="2708"/>
      <c r="N27" s="2708"/>
      <c r="O27" s="2762"/>
      <c r="P27" s="3927"/>
      <c r="Q27" s="1338" t="str">
        <f t="shared" si="8"/>
        <v>公共配套设施</v>
      </c>
      <c r="R27" s="700" t="s">
        <v>14</v>
      </c>
      <c r="S27" s="701">
        <f>F27</f>
        <v>100</v>
      </c>
      <c r="T27" s="700" t="s">
        <v>14</v>
      </c>
      <c r="U27" s="701">
        <f>H27</f>
        <v>100</v>
      </c>
      <c r="V27" s="700" t="s">
        <v>14</v>
      </c>
      <c r="W27" s="701">
        <f>J27</f>
        <v>100</v>
      </c>
      <c r="X27" s="702"/>
      <c r="Y27" s="3927"/>
      <c r="Z27" s="52" t="str">
        <f>Q27</f>
        <v>公共配套设施</v>
      </c>
      <c r="AA27" s="1348">
        <f>D27/F27</f>
        <v>1</v>
      </c>
      <c r="AB27" s="1348">
        <f>D27/H27</f>
        <v>1</v>
      </c>
      <c r="AC27" s="1348">
        <f>D27/J27</f>
        <v>1</v>
      </c>
    </row>
    <row r="28" spans="1:29" s="107" customFormat="1" ht="15">
      <c r="A28" s="596"/>
      <c r="B28" s="406"/>
      <c r="C28" s="1970" t="s">
        <v>3392</v>
      </c>
      <c r="D28" s="398"/>
      <c r="E28" s="1970" t="s">
        <v>3392</v>
      </c>
      <c r="F28" s="398"/>
      <c r="G28" s="1970" t="s">
        <v>3392</v>
      </c>
      <c r="H28" s="398"/>
      <c r="I28" s="1970" t="s">
        <v>3392</v>
      </c>
      <c r="J28" s="398"/>
      <c r="K28" s="619"/>
      <c r="L28" s="2707"/>
      <c r="M28" s="2708"/>
      <c r="N28" s="2708"/>
      <c r="O28" s="2762"/>
      <c r="P28" s="3927"/>
      <c r="Q28" s="1338"/>
      <c r="R28" s="700"/>
      <c r="S28" s="701"/>
      <c r="T28" s="700"/>
      <c r="U28" s="701"/>
      <c r="V28" s="700"/>
      <c r="W28" s="701"/>
      <c r="X28" s="702"/>
      <c r="Y28" s="3927"/>
      <c r="Z28" s="52"/>
      <c r="AA28" s="1348">
        <v>1</v>
      </c>
      <c r="AB28" s="1348">
        <v>1</v>
      </c>
      <c r="AC28" s="1348">
        <v>1</v>
      </c>
    </row>
    <row r="29" spans="1:29" s="107" customFormat="1" ht="28.5">
      <c r="A29" s="596"/>
      <c r="B29" s="1127" t="s">
        <v>1779</v>
      </c>
      <c r="C29" s="1894"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07"/>
      <c r="M29" s="2708"/>
      <c r="N29" s="2708"/>
      <c r="O29" s="2762"/>
      <c r="P29" s="3927"/>
      <c r="Q29" s="1338" t="str">
        <f t="shared" ref="Q29" si="9">B29</f>
        <v>基础设施水平</v>
      </c>
      <c r="R29" s="700" t="s">
        <v>14</v>
      </c>
      <c r="S29" s="701">
        <f>F29</f>
        <v>100</v>
      </c>
      <c r="T29" s="700" t="s">
        <v>14</v>
      </c>
      <c r="U29" s="701">
        <f>H29</f>
        <v>100</v>
      </c>
      <c r="V29" s="700" t="s">
        <v>14</v>
      </c>
      <c r="W29" s="701">
        <f>J29</f>
        <v>100</v>
      </c>
      <c r="X29" s="702"/>
      <c r="Y29" s="3927"/>
      <c r="Z29" s="52" t="str">
        <f>Q29</f>
        <v>基础设施水平</v>
      </c>
      <c r="AA29" s="1348">
        <f>D29/F29</f>
        <v>1</v>
      </c>
      <c r="AB29" s="1348">
        <f>D29/H29</f>
        <v>1</v>
      </c>
      <c r="AC29" s="1348">
        <f>D29/J29</f>
        <v>1</v>
      </c>
    </row>
    <row r="30" spans="1:29" s="107" customFormat="1" ht="15">
      <c r="A30" s="596"/>
      <c r="B30" s="406"/>
      <c r="C30" s="1970" t="s">
        <v>3814</v>
      </c>
      <c r="D30" s="398"/>
      <c r="E30" s="1970" t="s">
        <v>3814</v>
      </c>
      <c r="F30" s="398"/>
      <c r="G30" s="1970" t="s">
        <v>3814</v>
      </c>
      <c r="H30" s="398"/>
      <c r="I30" s="1970" t="s">
        <v>3814</v>
      </c>
      <c r="J30" s="398"/>
      <c r="K30" s="619"/>
      <c r="L30" s="2707"/>
      <c r="M30" s="2708"/>
      <c r="N30" s="2708"/>
      <c r="O30" s="2762"/>
      <c r="P30" s="3927"/>
      <c r="Q30" s="1338"/>
      <c r="R30" s="700"/>
      <c r="S30" s="701"/>
      <c r="T30" s="700"/>
      <c r="U30" s="701"/>
      <c r="V30" s="700"/>
      <c r="W30" s="701"/>
      <c r="X30" s="702"/>
      <c r="Y30" s="3927"/>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2"/>
      <c r="M31" s="2706"/>
      <c r="N31" s="2706"/>
      <c r="O31" s="2764"/>
      <c r="P31" s="3927"/>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927"/>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2"/>
      <c r="M32" s="2706"/>
      <c r="N32" s="2706"/>
      <c r="O32" s="2764"/>
      <c r="P32" s="3927"/>
      <c r="Q32" s="1347" t="str">
        <f t="shared" si="8"/>
        <v>毗邻道路的类型与等级</v>
      </c>
      <c r="R32" s="704" t="s">
        <v>14</v>
      </c>
      <c r="S32" s="705">
        <f t="shared" si="10"/>
        <v>100</v>
      </c>
      <c r="T32" s="704" t="s">
        <v>14</v>
      </c>
      <c r="U32" s="705">
        <f t="shared" si="11"/>
        <v>100</v>
      </c>
      <c r="V32" s="704" t="s">
        <v>14</v>
      </c>
      <c r="W32" s="705">
        <f t="shared" si="12"/>
        <v>100</v>
      </c>
      <c r="X32" s="1350"/>
      <c r="Y32" s="3927"/>
      <c r="Z32" s="1351" t="str">
        <f t="shared" si="13"/>
        <v>毗邻道路的类型与等级</v>
      </c>
      <c r="AA32" s="1348">
        <f t="shared" si="3"/>
        <v>1</v>
      </c>
      <c r="AB32" s="1348">
        <f t="shared" si="4"/>
        <v>1</v>
      </c>
      <c r="AC32" s="1348">
        <f t="shared" si="5"/>
        <v>1</v>
      </c>
    </row>
    <row r="33" spans="1:29" ht="15">
      <c r="A33" s="378"/>
      <c r="B33" s="406"/>
      <c r="C33" s="397"/>
      <c r="D33" s="398"/>
      <c r="E33" s="1898"/>
      <c r="F33" s="398"/>
      <c r="G33" s="1898"/>
      <c r="H33" s="398"/>
      <c r="I33" s="397"/>
      <c r="J33" s="398"/>
      <c r="K33" s="561"/>
      <c r="L33" s="2712"/>
      <c r="M33" s="2706"/>
      <c r="N33" s="2706"/>
      <c r="O33" s="2764"/>
      <c r="P33" s="3927"/>
      <c r="Q33" s="1347"/>
      <c r="R33" s="704"/>
      <c r="S33" s="705"/>
      <c r="T33" s="704"/>
      <c r="U33" s="705"/>
      <c r="V33" s="704"/>
      <c r="W33" s="705"/>
      <c r="X33" s="1350"/>
      <c r="Y33" s="3927"/>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2"/>
      <c r="M34" s="2706"/>
      <c r="N34" s="2706"/>
      <c r="O34" s="2764"/>
      <c r="P34" s="3927"/>
      <c r="Q34" s="1347" t="str">
        <f t="shared" si="8"/>
        <v>土地级别</v>
      </c>
      <c r="R34" s="704" t="s">
        <v>14</v>
      </c>
      <c r="S34" s="705">
        <f t="shared" si="10"/>
        <v>100</v>
      </c>
      <c r="T34" s="704" t="s">
        <v>14</v>
      </c>
      <c r="U34" s="705">
        <f t="shared" si="11"/>
        <v>100</v>
      </c>
      <c r="V34" s="704" t="s">
        <v>14</v>
      </c>
      <c r="W34" s="705">
        <f t="shared" si="12"/>
        <v>100</v>
      </c>
      <c r="X34" s="1350"/>
      <c r="Y34" s="3927"/>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2"/>
      <c r="M35" s="2706"/>
      <c r="N35" s="2706"/>
      <c r="O35" s="2764"/>
      <c r="P35" s="3927"/>
      <c r="Q35" s="1347">
        <f t="shared" si="8"/>
        <v>111</v>
      </c>
      <c r="R35" s="704" t="s">
        <v>14</v>
      </c>
      <c r="S35" s="705">
        <f t="shared" si="10"/>
        <v>100</v>
      </c>
      <c r="T35" s="704" t="s">
        <v>14</v>
      </c>
      <c r="U35" s="705">
        <f t="shared" si="11"/>
        <v>100</v>
      </c>
      <c r="V35" s="704" t="s">
        <v>14</v>
      </c>
      <c r="W35" s="705">
        <f t="shared" si="12"/>
        <v>100</v>
      </c>
      <c r="X35" s="1350"/>
      <c r="Y35" s="3927"/>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2"/>
      <c r="M36" s="2706"/>
      <c r="N36" s="2706"/>
      <c r="O36" s="2764"/>
      <c r="P36" s="3928" t="s">
        <v>1696</v>
      </c>
      <c r="Q36" s="1347">
        <f t="shared" si="8"/>
        <v>111</v>
      </c>
      <c r="R36" s="704" t="s">
        <v>14</v>
      </c>
      <c r="S36" s="705">
        <f t="shared" si="10"/>
        <v>100</v>
      </c>
      <c r="T36" s="704" t="s">
        <v>14</v>
      </c>
      <c r="U36" s="705">
        <f t="shared" si="11"/>
        <v>100</v>
      </c>
      <c r="V36" s="704" t="s">
        <v>14</v>
      </c>
      <c r="W36" s="705">
        <f t="shared" si="12"/>
        <v>100</v>
      </c>
      <c r="X36" s="1350"/>
      <c r="Y36" s="3929"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1"/>
      <c r="M37" s="2713"/>
      <c r="N37" s="2713"/>
      <c r="O37" s="2765"/>
      <c r="P37" s="3929"/>
      <c r="Q37" s="1347">
        <f t="shared" si="8"/>
        <v>111</v>
      </c>
      <c r="R37" s="707" t="s">
        <v>14</v>
      </c>
      <c r="S37" s="708">
        <f t="shared" si="10"/>
        <v>100</v>
      </c>
      <c r="T37" s="707" t="s">
        <v>14</v>
      </c>
      <c r="U37" s="708">
        <f t="shared" si="11"/>
        <v>100</v>
      </c>
      <c r="V37" s="707" t="s">
        <v>14</v>
      </c>
      <c r="W37" s="708">
        <f t="shared" si="12"/>
        <v>100</v>
      </c>
      <c r="X37" s="709"/>
      <c r="Y37" s="3929"/>
      <c r="Z37" s="710">
        <f t="shared" si="13"/>
        <v>111</v>
      </c>
      <c r="AA37" s="1348">
        <f t="shared" si="3"/>
        <v>1</v>
      </c>
      <c r="AB37" s="1348">
        <f t="shared" si="4"/>
        <v>1</v>
      </c>
      <c r="AC37" s="1348">
        <f t="shared" si="5"/>
        <v>1</v>
      </c>
    </row>
    <row r="38" spans="1:29" ht="15">
      <c r="A38" s="422" t="s">
        <v>1694</v>
      </c>
      <c r="B38" s="406" t="s">
        <v>1874</v>
      </c>
      <c r="C38" s="626">
        <f>'数据-基础表'!A3</f>
        <v>77167.61</v>
      </c>
      <c r="D38" s="417">
        <v>100</v>
      </c>
      <c r="E38" s="626">
        <f>土案!E2</f>
        <v>39321.5</v>
      </c>
      <c r="F38" s="417">
        <f>LOOKUP(E38,116:116,117:117)-LOOKUP(C38,116:116,117:117)+100</f>
        <v>99</v>
      </c>
      <c r="G38" s="626">
        <f>土案!E3</f>
        <v>86183.9</v>
      </c>
      <c r="H38" s="417">
        <f>LOOKUP(G38,116:116,117:117)-LOOKUP(C38,116:116,117:117)+100</f>
        <v>100</v>
      </c>
      <c r="I38" s="478">
        <f>土案!E12</f>
        <v>24029.09</v>
      </c>
      <c r="J38" s="417">
        <f>LOOKUP(I38,116:116,117:117)-LOOKUP(C38,116:116,117:117)+100</f>
        <v>99</v>
      </c>
      <c r="K38" s="561"/>
      <c r="L38" s="2712"/>
      <c r="M38" s="2706"/>
      <c r="N38" s="2706"/>
      <c r="O38" s="2764"/>
      <c r="P38" s="3929"/>
      <c r="Q38" s="1347" t="str">
        <f>B38</f>
        <v>宗地面积</v>
      </c>
      <c r="R38" s="704" t="s">
        <v>14</v>
      </c>
      <c r="S38" s="705">
        <f t="shared" si="10"/>
        <v>99</v>
      </c>
      <c r="T38" s="704" t="s">
        <v>14</v>
      </c>
      <c r="U38" s="705">
        <f t="shared" si="11"/>
        <v>100</v>
      </c>
      <c r="V38" s="704" t="s">
        <v>14</v>
      </c>
      <c r="W38" s="705">
        <f t="shared" si="12"/>
        <v>99</v>
      </c>
      <c r="X38" s="1350"/>
      <c r="Y38" s="3929"/>
      <c r="Z38" s="1351" t="str">
        <f t="shared" si="13"/>
        <v>宗地面积</v>
      </c>
      <c r="AA38" s="1348">
        <f t="shared" si="3"/>
        <v>1.0101010101010102</v>
      </c>
      <c r="AB38" s="1348">
        <f t="shared" si="4"/>
        <v>1</v>
      </c>
      <c r="AC38" s="1348">
        <f t="shared" si="5"/>
        <v>1.0101010101010102</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2"/>
      <c r="M39" s="2706"/>
      <c r="N39" s="2706"/>
      <c r="O39" s="2764"/>
      <c r="P39" s="3929"/>
      <c r="Q39" s="1347" t="str">
        <f t="shared" ref="Q39:Q45" si="14">B39</f>
        <v>宗地形状</v>
      </c>
      <c r="R39" s="704" t="s">
        <v>14</v>
      </c>
      <c r="S39" s="705">
        <f t="shared" si="10"/>
        <v>100</v>
      </c>
      <c r="T39" s="704" t="s">
        <v>14</v>
      </c>
      <c r="U39" s="705">
        <f t="shared" si="11"/>
        <v>100</v>
      </c>
      <c r="V39" s="704" t="s">
        <v>14</v>
      </c>
      <c r="W39" s="705">
        <f t="shared" si="12"/>
        <v>100</v>
      </c>
      <c r="X39" s="1350"/>
      <c r="Y39" s="3929"/>
      <c r="Z39" s="1351" t="str">
        <f t="shared" si="13"/>
        <v>宗地形状</v>
      </c>
      <c r="AA39" s="1348">
        <f t="shared" si="3"/>
        <v>1</v>
      </c>
      <c r="AB39" s="1348">
        <f t="shared" si="4"/>
        <v>1</v>
      </c>
      <c r="AC39" s="1348">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2"/>
      <c r="M40" s="2706"/>
      <c r="N40" s="2706"/>
      <c r="O40" s="2764"/>
      <c r="P40" s="3929"/>
      <c r="Q40" s="1347" t="str">
        <f t="shared" si="14"/>
        <v>临街宽度及深度</v>
      </c>
      <c r="R40" s="704" t="s">
        <v>14</v>
      </c>
      <c r="S40" s="705">
        <f t="shared" si="10"/>
        <v>100</v>
      </c>
      <c r="T40" s="704" t="s">
        <v>14</v>
      </c>
      <c r="U40" s="705">
        <f t="shared" si="11"/>
        <v>100</v>
      </c>
      <c r="V40" s="704" t="s">
        <v>14</v>
      </c>
      <c r="W40" s="705">
        <f t="shared" si="12"/>
        <v>100</v>
      </c>
      <c r="X40" s="1350"/>
      <c r="Y40" s="3929"/>
      <c r="Z40" s="1351" t="str">
        <f t="shared" si="13"/>
        <v>临街宽度及深度</v>
      </c>
      <c r="AA40" s="1348">
        <f t="shared" si="3"/>
        <v>1</v>
      </c>
      <c r="AB40" s="1348">
        <f t="shared" si="4"/>
        <v>1</v>
      </c>
      <c r="AC40" s="1348">
        <f t="shared" si="5"/>
        <v>1</v>
      </c>
    </row>
    <row r="41" spans="1:29" s="107" customFormat="1" ht="15">
      <c r="A41" s="423"/>
      <c r="B41" s="374" t="s">
        <v>1877</v>
      </c>
      <c r="C41" s="1972" t="s">
        <v>3815</v>
      </c>
      <c r="D41" s="126">
        <v>100</v>
      </c>
      <c r="E41" s="1972" t="s">
        <v>3818</v>
      </c>
      <c r="F41" s="385">
        <f>SUMIF(122:122,E41,123:123)-SUMIF(122:122,C41,123:123)+100</f>
        <v>98.5</v>
      </c>
      <c r="G41" s="1972" t="s">
        <v>3818</v>
      </c>
      <c r="H41" s="385">
        <f>SUMIF(122:122,G41,123:123)-SUMIF(122:122,C41,123:123)+100</f>
        <v>98.5</v>
      </c>
      <c r="I41" s="1972" t="s">
        <v>3818</v>
      </c>
      <c r="J41" s="385">
        <f>SUMIF(122:122,I41,123:123)-SUMIF(122:122,C41,123:123)+100</f>
        <v>98.5</v>
      </c>
      <c r="K41" s="560">
        <v>0.5</v>
      </c>
      <c r="L41" s="2707"/>
      <c r="M41" s="2708"/>
      <c r="N41" s="2708"/>
      <c r="O41" s="2762"/>
      <c r="P41" s="3929"/>
      <c r="Q41" s="1347" t="str">
        <f t="shared" si="14"/>
        <v>宗地开发程度</v>
      </c>
      <c r="R41" s="700" t="s">
        <v>14</v>
      </c>
      <c r="S41" s="701">
        <f t="shared" si="10"/>
        <v>98.5</v>
      </c>
      <c r="T41" s="700" t="s">
        <v>14</v>
      </c>
      <c r="U41" s="701">
        <f t="shared" si="11"/>
        <v>98.5</v>
      </c>
      <c r="V41" s="700" t="s">
        <v>14</v>
      </c>
      <c r="W41" s="701">
        <f t="shared" si="12"/>
        <v>98.5</v>
      </c>
      <c r="X41" s="702"/>
      <c r="Y41" s="3929"/>
      <c r="Z41" s="52" t="str">
        <f t="shared" si="13"/>
        <v>宗地开发程度</v>
      </c>
      <c r="AA41" s="703">
        <f t="shared" si="3"/>
        <v>1.015228426395939</v>
      </c>
      <c r="AB41" s="703">
        <f t="shared" si="4"/>
        <v>1.015228426395939</v>
      </c>
      <c r="AC41" s="703">
        <f t="shared" si="5"/>
        <v>1.015228426395939</v>
      </c>
    </row>
    <row r="42" spans="1:29" ht="15">
      <c r="A42" s="422"/>
      <c r="B42" s="374" t="s">
        <v>1878</v>
      </c>
      <c r="C42" s="1900" t="s">
        <v>3391</v>
      </c>
      <c r="D42" s="385">
        <v>100</v>
      </c>
      <c r="E42" s="1900" t="s">
        <v>3391</v>
      </c>
      <c r="F42" s="385">
        <f>SUMIF(124:124,E42,125:125)-SUMIF(124:124,C42,125:125)+100</f>
        <v>100</v>
      </c>
      <c r="G42" s="1900" t="s">
        <v>3391</v>
      </c>
      <c r="H42" s="385">
        <f>SUMIF(124:124,G42,125:125)-SUMIF(124:124,C42,125:125)+100</f>
        <v>100</v>
      </c>
      <c r="I42" s="1900" t="s">
        <v>3391</v>
      </c>
      <c r="J42" s="385">
        <f>SUMIF(124:124,I42,125:125)-SUMIF(124:124,C42,125:125)+100</f>
        <v>100</v>
      </c>
      <c r="K42" s="560">
        <v>2</v>
      </c>
      <c r="L42" s="2712"/>
      <c r="M42" s="2706"/>
      <c r="N42" s="2706"/>
      <c r="O42" s="2764"/>
      <c r="P42" s="3929" t="s">
        <v>1696</v>
      </c>
      <c r="Q42" s="1347" t="str">
        <f t="shared" si="14"/>
        <v>工程地质条件</v>
      </c>
      <c r="R42" s="704" t="s">
        <v>14</v>
      </c>
      <c r="S42" s="705">
        <f t="shared" si="10"/>
        <v>100</v>
      </c>
      <c r="T42" s="704" t="s">
        <v>14</v>
      </c>
      <c r="U42" s="705">
        <f t="shared" si="11"/>
        <v>100</v>
      </c>
      <c r="V42" s="704" t="s">
        <v>14</v>
      </c>
      <c r="W42" s="705">
        <f t="shared" si="12"/>
        <v>100</v>
      </c>
      <c r="X42" s="1350"/>
      <c r="Y42" s="3929"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2"/>
      <c r="M43" s="2706"/>
      <c r="N43" s="2706"/>
      <c r="O43" s="2764"/>
      <c r="P43" s="3929"/>
      <c r="Q43" s="1347">
        <f t="shared" si="14"/>
        <v>111</v>
      </c>
      <c r="R43" s="704" t="s">
        <v>14</v>
      </c>
      <c r="S43" s="705">
        <f t="shared" si="10"/>
        <v>100</v>
      </c>
      <c r="T43" s="704" t="s">
        <v>14</v>
      </c>
      <c r="U43" s="705">
        <f t="shared" si="11"/>
        <v>100</v>
      </c>
      <c r="V43" s="704" t="s">
        <v>14</v>
      </c>
      <c r="W43" s="705">
        <f t="shared" si="12"/>
        <v>100</v>
      </c>
      <c r="X43" s="1350"/>
      <c r="Y43" s="3929"/>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2"/>
      <c r="M44" s="2706"/>
      <c r="N44" s="2706"/>
      <c r="O44" s="2764"/>
      <c r="P44" s="3929"/>
      <c r="Q44" s="1347">
        <f t="shared" si="14"/>
        <v>111</v>
      </c>
      <c r="R44" s="704" t="s">
        <v>14</v>
      </c>
      <c r="S44" s="705">
        <f t="shared" si="10"/>
        <v>100</v>
      </c>
      <c r="T44" s="704" t="s">
        <v>14</v>
      </c>
      <c r="U44" s="705">
        <f t="shared" si="11"/>
        <v>100</v>
      </c>
      <c r="V44" s="704" t="s">
        <v>14</v>
      </c>
      <c r="W44" s="705">
        <f t="shared" si="12"/>
        <v>100</v>
      </c>
      <c r="X44" s="1350"/>
      <c r="Y44" s="3929"/>
      <c r="Z44" s="1351">
        <f t="shared" si="13"/>
        <v>111</v>
      </c>
      <c r="AA44" s="1348">
        <f t="shared" si="3"/>
        <v>1</v>
      </c>
      <c r="AB44" s="1348">
        <f t="shared" si="4"/>
        <v>1</v>
      </c>
      <c r="AC44" s="1348">
        <f t="shared" si="5"/>
        <v>1</v>
      </c>
    </row>
    <row r="45" spans="1:29" s="421" customFormat="1" ht="15.75" thickBot="1">
      <c r="A45" s="418"/>
      <c r="B45" s="1130">
        <v>111</v>
      </c>
      <c r="C45" s="1973"/>
      <c r="D45" s="627">
        <v>100</v>
      </c>
      <c r="E45" s="621"/>
      <c r="F45" s="388">
        <f>SUMIF(130:130,E45,131:131)-SUMIF(130:130,C45,131:131)+100</f>
        <v>100</v>
      </c>
      <c r="G45" s="621"/>
      <c r="H45" s="388">
        <f>SUMIF(130:130,G45,131:131)-SUMIF(130:130,C45,131:131)+100</f>
        <v>100</v>
      </c>
      <c r="I45" s="621"/>
      <c r="J45" s="388">
        <f>SUMIF(130:130,I45,131:131)-SUMIF(130:130,C45,131:131)+100</f>
        <v>100</v>
      </c>
      <c r="K45" s="628"/>
      <c r="L45" s="2711"/>
      <c r="M45" s="2713"/>
      <c r="N45" s="2713"/>
      <c r="O45" s="2765"/>
      <c r="P45" s="3929"/>
      <c r="Q45" s="1347">
        <f t="shared" si="14"/>
        <v>111</v>
      </c>
      <c r="R45" s="707" t="s">
        <v>14</v>
      </c>
      <c r="S45" s="708">
        <f t="shared" si="10"/>
        <v>100</v>
      </c>
      <c r="T45" s="707" t="s">
        <v>14</v>
      </c>
      <c r="U45" s="708">
        <f t="shared" si="11"/>
        <v>100</v>
      </c>
      <c r="V45" s="707" t="s">
        <v>14</v>
      </c>
      <c r="W45" s="708">
        <f t="shared" si="12"/>
        <v>100</v>
      </c>
      <c r="X45" s="709"/>
      <c r="Y45" s="3929"/>
      <c r="Z45" s="710">
        <f t="shared" si="13"/>
        <v>111</v>
      </c>
      <c r="AA45" s="1348">
        <f t="shared" si="3"/>
        <v>1</v>
      </c>
      <c r="AB45" s="1348">
        <f t="shared" si="4"/>
        <v>1</v>
      </c>
      <c r="AC45" s="1348">
        <f t="shared" si="5"/>
        <v>1</v>
      </c>
    </row>
    <row r="46" spans="1:29" ht="15">
      <c r="A46" s="429" t="s">
        <v>1844</v>
      </c>
      <c r="B46" s="1974" t="s">
        <v>1879</v>
      </c>
      <c r="C46" s="629" t="s">
        <v>0</v>
      </c>
      <c r="D46" s="431"/>
      <c r="E46" s="432">
        <f>土案!S2</f>
        <v>7790</v>
      </c>
      <c r="F46" s="433"/>
      <c r="G46" s="434">
        <f>土案!S3</f>
        <v>6233</v>
      </c>
      <c r="H46" s="435"/>
      <c r="I46" s="432">
        <f>土案!S12</f>
        <v>7524</v>
      </c>
      <c r="J46" s="435"/>
      <c r="K46" s="713"/>
      <c r="L46" s="2714"/>
      <c r="M46" s="2715"/>
      <c r="N46" s="2706"/>
      <c r="O46" s="2715"/>
      <c r="P46" s="3911" t="str">
        <f>A46</f>
        <v>成交单价</v>
      </c>
      <c r="Q46" s="3911"/>
      <c r="R46" s="3924">
        <f>E46</f>
        <v>7790</v>
      </c>
      <c r="S46" s="3924"/>
      <c r="T46" s="3924">
        <f>G46</f>
        <v>6233</v>
      </c>
      <c r="U46" s="3924"/>
      <c r="V46" s="3924">
        <f>I46</f>
        <v>7524</v>
      </c>
      <c r="W46" s="3924"/>
      <c r="X46" s="689"/>
      <c r="Y46" s="711"/>
      <c r="Z46" s="689"/>
      <c r="AA46" s="689"/>
      <c r="AB46" s="689"/>
      <c r="AC46" s="689"/>
    </row>
    <row r="47" spans="1:29" ht="15.75" thickBot="1">
      <c r="A47" s="436" t="s">
        <v>1793</v>
      </c>
      <c r="B47" s="630"/>
      <c r="C47" s="439">
        <f>R48</f>
        <v>7251</v>
      </c>
      <c r="D47" s="2309" t="s">
        <v>2137</v>
      </c>
      <c r="E47" s="439">
        <f>R47</f>
        <v>7548</v>
      </c>
      <c r="F47" s="2310"/>
      <c r="G47" s="438">
        <f>T47</f>
        <v>6472</v>
      </c>
      <c r="H47" s="2310"/>
      <c r="I47" s="439">
        <f>V47</f>
        <v>7732</v>
      </c>
      <c r="J47" s="2310"/>
      <c r="K47" s="2312">
        <f>F47+H47+J47</f>
        <v>0</v>
      </c>
      <c r="L47" s="2714"/>
      <c r="M47" s="2715"/>
      <c r="N47" s="2715"/>
      <c r="O47" s="2715"/>
      <c r="P47" s="3911" t="str">
        <f>A47</f>
        <v>比较价值（元/平方米）</v>
      </c>
      <c r="Q47" s="3911"/>
      <c r="R47" s="3930">
        <f>ROUND(PRODUCT(R46,AA7:AA45),0)</f>
        <v>7548</v>
      </c>
      <c r="S47" s="3930"/>
      <c r="T47" s="3930">
        <f>ROUND(PRODUCT(T46,AB7:AB45),0)</f>
        <v>6472</v>
      </c>
      <c r="U47" s="3930"/>
      <c r="V47" s="3930">
        <f>ROUND(PRODUCT(V46,AC7:AC45),0)</f>
        <v>7732</v>
      </c>
      <c r="W47" s="3930"/>
      <c r="X47" s="689"/>
      <c r="Y47" s="689"/>
      <c r="Z47" s="689"/>
      <c r="AA47" s="689"/>
      <c r="AB47" s="689"/>
      <c r="AC47" s="689"/>
    </row>
    <row r="48" spans="1:29" ht="15.75" thickBot="1">
      <c r="A48" s="440" t="s">
        <v>1880</v>
      </c>
      <c r="B48" s="441"/>
      <c r="C48" s="442">
        <f>R48</f>
        <v>7251</v>
      </c>
      <c r="D48" s="442"/>
      <c r="E48" s="442"/>
      <c r="F48" s="442"/>
      <c r="G48" s="442"/>
      <c r="H48" s="442"/>
      <c r="I48" s="442"/>
      <c r="J48" s="442"/>
      <c r="K48" s="714"/>
      <c r="L48" s="2714"/>
      <c r="M48" s="2715"/>
      <c r="N48" s="2715"/>
      <c r="O48" s="2715"/>
      <c r="P48" s="3931" t="str">
        <f>A48</f>
        <v>估价对象XX用房的比较价值（楼面单价，元/平方米）</v>
      </c>
      <c r="Q48" s="3932"/>
      <c r="R48" s="3933">
        <f>ROUND(IF(D47="简单平均",AVERAGE(R47:W47),R47*F47+T47*H47+V47*J47),0)</f>
        <v>7251</v>
      </c>
      <c r="S48" s="3933"/>
      <c r="T48" s="3933"/>
      <c r="U48" s="3933"/>
      <c r="V48" s="3933"/>
      <c r="W48" s="3933"/>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1795</v>
      </c>
      <c r="D51" s="446"/>
      <c r="E51" s="447">
        <f>IF(E46&lt;E47,E47/E46-1,E46/E47-1)</f>
        <v>3.2061473237943838E-2</v>
      </c>
      <c r="F51" s="448" t="str">
        <f>IF(OR(E51&gt;=0.3,E51&lt;=-0.3),"超过30%","")</f>
        <v/>
      </c>
      <c r="G51" s="447">
        <f>IF(G46&lt;G47,G47/G46-1,G46/G47-1)</f>
        <v>3.8344296486443108E-2</v>
      </c>
      <c r="H51" s="448" t="str">
        <f>IF(OR(G51&gt;=0.3,G51&lt;=-0.3),"超过30%","")</f>
        <v/>
      </c>
      <c r="I51" s="447">
        <f>IF(I46&lt;I47,I47/I46-1,I46/I47-1)</f>
        <v>2.7644869750132806E-2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1796</v>
      </c>
      <c r="D52" s="449"/>
      <c r="E52" s="447">
        <f>IF(E47&lt;G47,G47/E47-1,E47/G47-1)</f>
        <v>0.16625463535228668</v>
      </c>
      <c r="F52" s="448" t="str">
        <f>IF(OR(E52&gt;=0.2,E52&lt;=-0.2),"超过20%","")</f>
        <v/>
      </c>
      <c r="G52" s="447">
        <f>IF(G47&lt;I47,I47/G47-1,G47/I47-1)</f>
        <v>0.19468479604449929</v>
      </c>
      <c r="H52" s="448" t="str">
        <f>IF(OR(G52&gt;=0.2,G52&lt;=-0.2),"超过20%","")</f>
        <v/>
      </c>
      <c r="I52" s="447">
        <f>IF(I47&lt;E47,E47/I47-1,I47/E47-1)</f>
        <v>2.4377318494965605E-2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1797</v>
      </c>
      <c r="D53" s="449"/>
      <c r="E53" s="447">
        <f>IF(E46&lt;G46,G46/E46-1,E46/G46-1)</f>
        <v>0.24979945451628427</v>
      </c>
      <c r="F53" s="448" t="str">
        <f>IF(OR(E53&gt;=0.3,E53&lt;=-0.3),"超过30%","")</f>
        <v/>
      </c>
      <c r="G53" s="447">
        <f>IF(G46&lt;I46,I46/G46-1,G46/I46-1)</f>
        <v>0.207123375581582</v>
      </c>
      <c r="H53" s="448" t="str">
        <f>IF(OR(G53&gt;=0.3,G53&lt;=-0.3),"超过30%","")</f>
        <v/>
      </c>
      <c r="I53" s="447">
        <f>IF(I46&lt;E46,E46/I46-1,I46/E46-1)</f>
        <v>3.5353535353535248E-2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1881</v>
      </c>
      <c r="B55" s="632" t="s">
        <v>1882</v>
      </c>
      <c r="C55" s="1975" t="s">
        <v>1883</v>
      </c>
      <c r="D55" s="1976" t="s">
        <v>1884</v>
      </c>
      <c r="E55" s="633" t="s">
        <v>1885</v>
      </c>
      <c r="F55" s="886" t="s">
        <v>1886</v>
      </c>
      <c r="G55" s="3912" t="s">
        <v>1887</v>
      </c>
      <c r="H55" s="3934"/>
      <c r="I55" s="134" t="s">
        <v>1888</v>
      </c>
      <c r="J55" s="1977" t="str">
        <f>项目基本情况!F35</f>
        <v>河南省</v>
      </c>
      <c r="K55" s="1978" t="s">
        <v>1889</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1890</v>
      </c>
      <c r="B56" s="636">
        <f>C48</f>
        <v>7251</v>
      </c>
      <c r="C56" s="637">
        <v>1</v>
      </c>
      <c r="D56" s="940">
        <v>1</v>
      </c>
      <c r="E56" s="637">
        <f>'数据-汇总表'!E8+'数据-汇总表'!E9</f>
        <v>135358.07999999999</v>
      </c>
      <c r="F56" s="882">
        <f t="shared" ref="F56:F64" si="15">ROUND(B56*E56/10000,0)</f>
        <v>98148</v>
      </c>
      <c r="G56" s="3935"/>
      <c r="H56" s="3911"/>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1891</v>
      </c>
      <c r="B57" s="217">
        <f>ROUND($C$48*C57*D57,0)</f>
        <v>1088</v>
      </c>
      <c r="C57" s="170">
        <f t="shared" ref="C57:C64" si="16">IF($C$55="北京市系数",I57,J57)</f>
        <v>0.6</v>
      </c>
      <c r="D57" s="941">
        <v>0.25</v>
      </c>
      <c r="E57" s="641"/>
      <c r="F57" s="882">
        <f t="shared" si="15"/>
        <v>0</v>
      </c>
      <c r="G57" s="2992" t="s">
        <v>1892</v>
      </c>
      <c r="H57" s="883" t="str">
        <f>项目基本情况!B37</f>
        <v>三级</v>
      </c>
      <c r="I57" s="887">
        <f>SUMIF(修正!A57:A68,H57,修正!B57:B68)</f>
        <v>0.6</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1893</v>
      </c>
      <c r="B58" s="217">
        <f t="shared" ref="B58:B64" si="17">ROUND($C$48*C58*D58,0)</f>
        <v>544</v>
      </c>
      <c r="C58" s="170">
        <f t="shared" si="16"/>
        <v>0.3</v>
      </c>
      <c r="D58" s="941">
        <v>0.25</v>
      </c>
      <c r="E58" s="641"/>
      <c r="F58" s="882">
        <f t="shared" si="15"/>
        <v>0</v>
      </c>
      <c r="G58" s="2993"/>
      <c r="H58" s="883" t="str">
        <f>项目基本情况!B37</f>
        <v>三级</v>
      </c>
      <c r="I58" s="887">
        <f>SUMIF(修正!A57:A68,H58,修正!C57:C68)</f>
        <v>0.3</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1894</v>
      </c>
      <c r="B59" s="217">
        <f t="shared" si="17"/>
        <v>453</v>
      </c>
      <c r="C59" s="170">
        <f t="shared" si="16"/>
        <v>0.25</v>
      </c>
      <c r="D59" s="941">
        <v>0.25</v>
      </c>
      <c r="E59" s="641"/>
      <c r="F59" s="882">
        <f t="shared" si="15"/>
        <v>0</v>
      </c>
      <c r="G59" s="2993"/>
      <c r="H59" s="883" t="str">
        <f>项目基本情况!B37</f>
        <v>三级</v>
      </c>
      <c r="I59" s="887">
        <f>SUMIF(修正!A57:A68,H59,修正!D57:D68)</f>
        <v>0.25</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1895</v>
      </c>
      <c r="B60" s="217">
        <f t="shared" si="17"/>
        <v>453</v>
      </c>
      <c r="C60" s="170">
        <f t="shared" si="16"/>
        <v>0.25</v>
      </c>
      <c r="D60" s="941">
        <v>0.25</v>
      </c>
      <c r="E60" s="216">
        <f>'数据-汇总表'!E11</f>
        <v>0</v>
      </c>
      <c r="F60" s="882">
        <f t="shared" si="15"/>
        <v>0</v>
      </c>
      <c r="G60" s="1979" t="s">
        <v>1896</v>
      </c>
      <c r="H60" s="883" t="str">
        <f>项目基本情况!C37</f>
        <v>三级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1897</v>
      </c>
      <c r="B61" s="217">
        <f t="shared" si="17"/>
        <v>453</v>
      </c>
      <c r="C61" s="170">
        <f t="shared" si="16"/>
        <v>0.25</v>
      </c>
      <c r="D61" s="941">
        <v>0.25</v>
      </c>
      <c r="E61" s="216">
        <f>'数据-汇总表'!E12</f>
        <v>0</v>
      </c>
      <c r="F61" s="882">
        <f t="shared" si="15"/>
        <v>0</v>
      </c>
      <c r="G61" s="888" t="s">
        <v>1898</v>
      </c>
      <c r="H61" s="883" t="str">
        <f>IF(G61="商业",项目基本情况!B37,IF(G61="办公",项目基本情况!C37,IF(G61="住宅",项目基本情况!D37,项目基本情况!E37)))</f>
        <v>三级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1899</v>
      </c>
      <c r="B62" s="217">
        <f t="shared" si="17"/>
        <v>0</v>
      </c>
      <c r="C62" s="170">
        <f t="shared" si="16"/>
        <v>0</v>
      </c>
      <c r="D62" s="941">
        <v>0.25</v>
      </c>
      <c r="E62" s="216">
        <f>'数据-汇总表'!E13</f>
        <v>28431.67</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1901</v>
      </c>
      <c r="B63" s="217">
        <f t="shared" si="17"/>
        <v>272</v>
      </c>
      <c r="C63" s="170">
        <f t="shared" si="16"/>
        <v>0.15</v>
      </c>
      <c r="D63" s="941">
        <v>0.25</v>
      </c>
      <c r="E63" s="216">
        <f>'数据-汇总表'!E14</f>
        <v>0</v>
      </c>
      <c r="F63" s="882">
        <f t="shared" si="15"/>
        <v>0</v>
      </c>
      <c r="G63" s="1979" t="s">
        <v>1892</v>
      </c>
      <c r="H63" s="883" t="str">
        <f>项目基本情况!B37</f>
        <v>三级</v>
      </c>
      <c r="I63" s="887">
        <f>SUMIF(修正!A57:A68,H63,修正!G57:G68)</f>
        <v>0.15</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1902</v>
      </c>
      <c r="B64" s="217">
        <f t="shared" si="17"/>
        <v>272</v>
      </c>
      <c r="C64" s="170">
        <f t="shared" si="16"/>
        <v>0.15</v>
      </c>
      <c r="D64" s="941">
        <v>0.25</v>
      </c>
      <c r="E64" s="216">
        <f>'数据-汇总表'!E15</f>
        <v>0</v>
      </c>
      <c r="F64" s="882">
        <f t="shared" si="15"/>
        <v>0</v>
      </c>
      <c r="G64" s="1980" t="s">
        <v>1896</v>
      </c>
      <c r="H64" s="893" t="str">
        <f>项目基本情况!C37</f>
        <v>三级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1903</v>
      </c>
      <c r="B65" s="643" t="s">
        <v>22</v>
      </c>
      <c r="C65" s="643" t="s">
        <v>23</v>
      </c>
      <c r="D65" s="643" t="s">
        <v>392</v>
      </c>
      <c r="E65" s="643">
        <f>IF(B46="楼面地价",SUM(E56:E64),'数据-汇总表'!D3)</f>
        <v>163789.75</v>
      </c>
      <c r="F65" s="644">
        <f>IF(B46="楼面地价",SUM(F56:F64),ROUND(C48*E65/10000,0))</f>
        <v>98148</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15"/>
      <c r="Q67" s="2715"/>
      <c r="R67" s="2715"/>
      <c r="S67" s="2715"/>
      <c r="T67" s="2715"/>
      <c r="U67" s="2715"/>
      <c r="V67" s="2715"/>
      <c r="W67" s="2715"/>
      <c r="X67" s="2715"/>
      <c r="Y67" s="2715"/>
      <c r="Z67" s="2715"/>
      <c r="AA67" s="2715"/>
      <c r="AB67" s="2715"/>
      <c r="AC67" s="2715"/>
    </row>
    <row r="68" spans="1:29" ht="21.75" thickBot="1">
      <c r="A68" s="693" t="s">
        <v>1798</v>
      </c>
      <c r="B68" s="689"/>
      <c r="C68" s="694"/>
      <c r="D68" s="694"/>
      <c r="E68" s="694"/>
      <c r="F68" s="695"/>
      <c r="G68" s="695"/>
      <c r="H68" s="694"/>
      <c r="I68" s="694"/>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6" customFormat="1" ht="15">
      <c r="A69" s="1981" t="s">
        <v>1904</v>
      </c>
      <c r="B69" s="1105"/>
      <c r="C69" s="1177" t="str">
        <f>YEAR(C67)&amp;"-"&amp;ROUNDUP(MONTH(C67)/3,0)</f>
        <v>2023-1</v>
      </c>
      <c r="D69" s="1177" t="str">
        <f>YEAR(D67)&amp;"-"&amp;ROUNDUP(MONTH(D67)/3,0)</f>
        <v>2022-4</v>
      </c>
      <c r="E69" s="1177" t="str">
        <f t="shared" ref="E69:O69" si="19">YEAR(E67)&amp;"-"&amp;ROUNDUP(MONTH(E67)/3,0)</f>
        <v>2022-3</v>
      </c>
      <c r="F69" s="1177" t="str">
        <f t="shared" si="19"/>
        <v>2022-2</v>
      </c>
      <c r="G69" s="1177" t="str">
        <f t="shared" si="19"/>
        <v>2022-1</v>
      </c>
      <c r="H69" s="1177" t="str">
        <f t="shared" si="19"/>
        <v>2021-4</v>
      </c>
      <c r="I69" s="1177" t="str">
        <f t="shared" si="19"/>
        <v>2021-3</v>
      </c>
      <c r="J69" s="1177" t="str">
        <f t="shared" si="19"/>
        <v>2021-2</v>
      </c>
      <c r="K69" s="1177" t="str">
        <f t="shared" si="19"/>
        <v>2021-1</v>
      </c>
      <c r="L69" s="1177" t="str">
        <f t="shared" si="19"/>
        <v>2020-4</v>
      </c>
      <c r="M69" s="1177" t="str">
        <f t="shared" si="19"/>
        <v>2020-3</v>
      </c>
      <c r="N69" s="1177" t="str">
        <f t="shared" si="19"/>
        <v>2020-2</v>
      </c>
      <c r="O69" s="1177" t="str">
        <f t="shared" si="19"/>
        <v>2020-1</v>
      </c>
      <c r="P69" s="2766"/>
      <c r="Q69" s="2731"/>
      <c r="R69" s="2731"/>
      <c r="S69" s="2731"/>
      <c r="T69" s="2731"/>
      <c r="U69" s="2731"/>
      <c r="V69" s="2731"/>
      <c r="W69" s="2731"/>
      <c r="X69" s="2731"/>
      <c r="Y69" s="2731"/>
      <c r="Z69" s="2731"/>
      <c r="AA69" s="2731"/>
      <c r="AB69" s="2731"/>
      <c r="AC69" s="2731"/>
    </row>
    <row r="70" spans="1:29" s="107" customFormat="1" ht="30" customHeight="1">
      <c r="A70" s="1982" t="s">
        <v>1905</v>
      </c>
      <c r="B70" s="287" t="str">
        <f>"北京市平均增长率"&amp;TEXT(SUMIF(基准地价修正!N25:N29,A70,基准地价修正!P25:P29),"0.00%")</f>
        <v>北京市平均增长率0.00%</v>
      </c>
      <c r="C70" s="551">
        <v>100</v>
      </c>
      <c r="D70" s="543">
        <f>C70-0.1</f>
        <v>99.9</v>
      </c>
      <c r="E70" s="543">
        <f t="shared" ref="E70:O70" si="20">D70-0.1</f>
        <v>99.800000000000011</v>
      </c>
      <c r="F70" s="543">
        <f t="shared" si="20"/>
        <v>99.700000000000017</v>
      </c>
      <c r="G70" s="543">
        <f t="shared" si="20"/>
        <v>99.600000000000023</v>
      </c>
      <c r="H70" s="543">
        <f t="shared" si="20"/>
        <v>99.500000000000028</v>
      </c>
      <c r="I70" s="543">
        <f t="shared" si="20"/>
        <v>99.400000000000034</v>
      </c>
      <c r="J70" s="543">
        <f t="shared" si="20"/>
        <v>99.30000000000004</v>
      </c>
      <c r="K70" s="543">
        <f t="shared" si="20"/>
        <v>99.200000000000045</v>
      </c>
      <c r="L70" s="543">
        <f t="shared" si="20"/>
        <v>99.100000000000051</v>
      </c>
      <c r="M70" s="543">
        <f t="shared" si="20"/>
        <v>99.000000000000057</v>
      </c>
      <c r="N70" s="543">
        <f t="shared" si="20"/>
        <v>98.900000000000063</v>
      </c>
      <c r="O70" s="543">
        <f t="shared" si="20"/>
        <v>98.800000000000068</v>
      </c>
      <c r="P70" s="2729"/>
      <c r="Q70" s="2652"/>
      <c r="R70" s="2652"/>
      <c r="S70" s="2652"/>
      <c r="T70" s="2652"/>
      <c r="U70" s="2652"/>
      <c r="V70" s="2652"/>
      <c r="W70" s="2652"/>
      <c r="X70" s="2652"/>
      <c r="Y70" s="2652"/>
      <c r="Z70" s="2652"/>
      <c r="AA70" s="2652"/>
      <c r="AB70" s="2652"/>
      <c r="AC70" s="2652"/>
    </row>
    <row r="71" spans="1:29" s="107" customFormat="1" ht="15.75" thickBot="1">
      <c r="A71" s="463" t="s">
        <v>1716</v>
      </c>
      <c r="B71" s="464"/>
      <c r="C71" s="465"/>
      <c r="D71" s="466"/>
      <c r="E71" s="466"/>
      <c r="F71" s="466"/>
      <c r="G71" s="466"/>
      <c r="H71" s="466"/>
      <c r="I71" s="466"/>
      <c r="J71" s="466"/>
      <c r="K71" s="466"/>
      <c r="L71" s="466"/>
      <c r="M71" s="467"/>
      <c r="N71" s="466"/>
      <c r="O71" s="939"/>
      <c r="P71" s="2729"/>
      <c r="Q71" s="2729"/>
      <c r="R71" s="2652"/>
      <c r="S71" s="2652"/>
      <c r="T71" s="2652"/>
      <c r="U71" s="2652"/>
      <c r="V71" s="2652"/>
      <c r="W71" s="2652"/>
      <c r="X71" s="2652"/>
      <c r="Y71" s="2652"/>
      <c r="Z71" s="2652"/>
      <c r="AA71" s="2652"/>
      <c r="AB71" s="2652"/>
      <c r="AC71" s="2652"/>
    </row>
    <row r="72" spans="1:29" s="107" customFormat="1" ht="15">
      <c r="A72" s="469" t="s">
        <v>1681</v>
      </c>
      <c r="B72" s="458"/>
      <c r="C72" s="470" t="s">
        <v>1776</v>
      </c>
      <c r="D72" s="471"/>
      <c r="E72" s="471"/>
      <c r="F72" s="471"/>
      <c r="G72" s="471"/>
      <c r="H72" s="471"/>
      <c r="I72" s="471"/>
      <c r="J72" s="471"/>
      <c r="K72" s="471"/>
      <c r="L72" s="472"/>
      <c r="M72" s="473"/>
      <c r="N72" s="2742"/>
      <c r="O72" s="2742"/>
      <c r="P72" s="2767"/>
      <c r="Q72" s="2729"/>
      <c r="R72" s="2652"/>
      <c r="S72" s="2652"/>
      <c r="T72" s="2652"/>
      <c r="U72" s="2652"/>
      <c r="V72" s="2652"/>
      <c r="W72" s="2652"/>
      <c r="X72" s="2652"/>
      <c r="Y72" s="2652"/>
      <c r="Z72" s="2652"/>
      <c r="AA72" s="2652"/>
      <c r="AB72" s="2652"/>
      <c r="AC72" s="2652"/>
    </row>
    <row r="73" spans="1:29" s="107" customFormat="1" ht="15.75" thickBot="1">
      <c r="A73" s="469"/>
      <c r="B73" s="458"/>
      <c r="C73" s="586">
        <v>100</v>
      </c>
      <c r="D73" s="460"/>
      <c r="E73" s="460"/>
      <c r="F73" s="460"/>
      <c r="G73" s="460"/>
      <c r="H73" s="460"/>
      <c r="I73" s="460"/>
      <c r="J73" s="460"/>
      <c r="K73" s="460"/>
      <c r="L73" s="460"/>
      <c r="M73" s="462"/>
      <c r="N73" s="2742"/>
      <c r="O73" s="2742"/>
      <c r="P73" s="2729"/>
      <c r="Q73" s="2729"/>
      <c r="R73" s="2652"/>
      <c r="S73" s="2652"/>
      <c r="T73" s="2652"/>
      <c r="U73" s="2652"/>
      <c r="V73" s="2652"/>
      <c r="W73" s="2652"/>
      <c r="X73" s="2652"/>
      <c r="Y73" s="2652"/>
      <c r="Z73" s="2652"/>
      <c r="AA73" s="2652"/>
      <c r="AB73" s="2652"/>
      <c r="AC73" s="2652"/>
    </row>
    <row r="74" spans="1:29">
      <c r="A74" s="475" t="s">
        <v>1719</v>
      </c>
      <c r="B74" s="476" t="s">
        <v>1685</v>
      </c>
      <c r="C74" s="3660" t="s">
        <v>3783</v>
      </c>
      <c r="D74" s="478"/>
      <c r="E74" s="478"/>
      <c r="F74" s="478"/>
      <c r="G74" s="478"/>
      <c r="H74" s="478"/>
      <c r="I74" s="478"/>
      <c r="J74" s="478"/>
      <c r="K74" s="479"/>
      <c r="L74" s="480"/>
      <c r="M74" s="481"/>
      <c r="N74" s="2743"/>
      <c r="O74" s="2743"/>
      <c r="P74" s="2768"/>
      <c r="Q74" s="2729"/>
      <c r="R74" s="2715"/>
      <c r="S74" s="2715"/>
      <c r="T74" s="2715"/>
      <c r="U74" s="2715"/>
      <c r="V74" s="2715"/>
      <c r="W74" s="2715"/>
      <c r="X74" s="2715"/>
      <c r="Y74" s="2715"/>
      <c r="Z74" s="2715"/>
      <c r="AA74" s="2715"/>
      <c r="AB74" s="2715"/>
      <c r="AC74" s="2715"/>
    </row>
    <row r="75" spans="1:29" ht="15.75" thickBot="1">
      <c r="A75" s="482"/>
      <c r="B75" s="483"/>
      <c r="C75" s="3661" t="s">
        <v>3783</v>
      </c>
      <c r="D75" s="484"/>
      <c r="E75" s="484"/>
      <c r="F75" s="484"/>
      <c r="G75" s="484"/>
      <c r="H75" s="484"/>
      <c r="I75" s="484"/>
      <c r="J75" s="484"/>
      <c r="K75" s="484"/>
      <c r="L75" s="484"/>
      <c r="M75" s="485"/>
      <c r="N75" s="2744"/>
      <c r="O75" s="2744"/>
      <c r="P75" s="2768"/>
      <c r="Q75" s="2729"/>
      <c r="R75" s="2715"/>
      <c r="S75" s="2715"/>
      <c r="T75" s="2715"/>
      <c r="U75" s="2715"/>
      <c r="V75" s="2715"/>
      <c r="W75" s="2715"/>
      <c r="X75" s="2715"/>
      <c r="Y75" s="2715"/>
      <c r="Z75" s="2715"/>
      <c r="AA75" s="2715"/>
      <c r="AB75" s="2715"/>
      <c r="AC75" s="2715"/>
    </row>
    <row r="76" spans="1:29" ht="27.75" thickTop="1">
      <c r="A76" s="482"/>
      <c r="B76" s="486" t="s">
        <v>1688</v>
      </c>
      <c r="C76" s="487"/>
      <c r="D76" s="487"/>
      <c r="E76" s="487"/>
      <c r="F76" s="487"/>
      <c r="G76" s="487"/>
      <c r="H76" s="487"/>
      <c r="I76" s="487"/>
      <c r="J76" s="487"/>
      <c r="K76" s="488"/>
      <c r="L76" s="489"/>
      <c r="M76" s="490"/>
      <c r="N76" s="2743"/>
      <c r="O76" s="2743"/>
      <c r="P76" s="2768"/>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4"/>
      <c r="O77" s="2744"/>
      <c r="P77" s="2768"/>
      <c r="Q77" s="2729"/>
      <c r="R77" s="2715"/>
      <c r="S77" s="2715"/>
      <c r="T77" s="2715"/>
      <c r="U77" s="2715"/>
      <c r="V77" s="2715"/>
      <c r="W77" s="2715"/>
      <c r="X77" s="2715"/>
      <c r="Y77" s="2715"/>
      <c r="Z77" s="2715"/>
      <c r="AA77" s="2715"/>
      <c r="AB77" s="2715"/>
      <c r="AC77" s="2715"/>
    </row>
    <row r="78" spans="1:29" ht="15.75" thickTop="1">
      <c r="A78" s="482"/>
      <c r="B78" s="494" t="s">
        <v>1689</v>
      </c>
      <c r="C78" s="495" t="str">
        <f>C79&amp;"（含）"&amp;"-"&amp;D79</f>
        <v>1（含）-1.5</v>
      </c>
      <c r="D78" s="495" t="str">
        <f t="shared" ref="D78:L78" si="21">D79&amp;"（含）"&amp;"-"&amp;E79</f>
        <v>1.5（含）-2</v>
      </c>
      <c r="E78" s="495" t="str">
        <f t="shared" si="21"/>
        <v>2（含）-2.5</v>
      </c>
      <c r="F78" s="495" t="str">
        <f t="shared" si="21"/>
        <v>2.5（含）-3</v>
      </c>
      <c r="G78" s="495" t="str">
        <f t="shared" si="21"/>
        <v>3（含）-</v>
      </c>
      <c r="H78" s="495" t="str">
        <f t="shared" si="21"/>
        <v>（含）-</v>
      </c>
      <c r="I78" s="495" t="str">
        <f t="shared" si="21"/>
        <v>（含）-</v>
      </c>
      <c r="J78" s="495" t="str">
        <f t="shared" si="21"/>
        <v>（含）-</v>
      </c>
      <c r="K78" s="495" t="str">
        <f t="shared" si="21"/>
        <v>（含）-</v>
      </c>
      <c r="L78" s="495"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2"/>
      <c r="B79" s="496"/>
      <c r="C79" s="497">
        <v>1</v>
      </c>
      <c r="D79" s="497">
        <v>1.5</v>
      </c>
      <c r="E79" s="497">
        <v>2</v>
      </c>
      <c r="F79" s="497">
        <v>2.5</v>
      </c>
      <c r="G79" s="497">
        <v>3</v>
      </c>
      <c r="H79" s="497"/>
      <c r="I79" s="497"/>
      <c r="J79" s="497"/>
      <c r="K79" s="498"/>
      <c r="L79" s="499"/>
      <c r="M79" s="500"/>
      <c r="N79" s="2743"/>
      <c r="O79" s="2743"/>
      <c r="P79" s="2768"/>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95</v>
      </c>
      <c r="E80" s="492">
        <f t="shared" si="22"/>
        <v>90</v>
      </c>
      <c r="F80" s="492">
        <f t="shared" si="22"/>
        <v>85</v>
      </c>
      <c r="G80" s="492">
        <f t="shared" si="22"/>
        <v>80</v>
      </c>
      <c r="H80" s="492">
        <f t="shared" si="22"/>
        <v>75</v>
      </c>
      <c r="I80" s="492">
        <f t="shared" si="22"/>
        <v>70</v>
      </c>
      <c r="J80" s="492">
        <f t="shared" si="22"/>
        <v>65</v>
      </c>
      <c r="K80" s="492">
        <f t="shared" si="22"/>
        <v>60</v>
      </c>
      <c r="L80" s="492">
        <f t="shared" si="22"/>
        <v>55</v>
      </c>
      <c r="M80" s="492">
        <f t="shared" si="22"/>
        <v>50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5"/>
      <c r="O81" s="2745"/>
      <c r="P81" s="2769"/>
      <c r="Q81" s="2736"/>
      <c r="R81" s="2737"/>
      <c r="S81" s="2737"/>
      <c r="T81" s="2737"/>
      <c r="U81" s="2737"/>
      <c r="V81" s="2737"/>
      <c r="W81" s="2737"/>
      <c r="X81" s="2737"/>
      <c r="Y81" s="2737"/>
      <c r="Z81" s="2737"/>
      <c r="AA81" s="2737"/>
      <c r="AB81" s="2737"/>
      <c r="AC81" s="2737"/>
    </row>
    <row r="82" spans="1:29" s="421" customFormat="1" ht="15.75" thickBot="1">
      <c r="A82" s="501"/>
      <c r="B82" s="491"/>
      <c r="C82" s="508"/>
      <c r="D82" s="484"/>
      <c r="E82" s="484"/>
      <c r="F82" s="484"/>
      <c r="G82" s="484"/>
      <c r="H82" s="484"/>
      <c r="I82" s="484"/>
      <c r="J82" s="484"/>
      <c r="K82" s="484"/>
      <c r="L82" s="484"/>
      <c r="M82" s="485"/>
      <c r="N82" s="2744"/>
      <c r="O82" s="2744"/>
      <c r="P82" s="2769"/>
      <c r="Q82" s="2736"/>
      <c r="R82" s="2737"/>
      <c r="S82" s="2737"/>
      <c r="T82" s="2737"/>
      <c r="U82" s="2737"/>
      <c r="V82" s="2737"/>
      <c r="W82" s="2737"/>
      <c r="X82" s="2737"/>
      <c r="Y82" s="2737"/>
      <c r="Z82" s="2737"/>
      <c r="AA82" s="2737"/>
      <c r="AB82" s="2737"/>
      <c r="AC82" s="2737"/>
    </row>
    <row r="83" spans="1:29" s="421" customFormat="1" ht="15.75" thickTop="1">
      <c r="A83" s="501"/>
      <c r="B83" s="486">
        <f>B13</f>
        <v>111</v>
      </c>
      <c r="C83" s="502"/>
      <c r="D83" s="502"/>
      <c r="E83" s="502"/>
      <c r="F83" s="502"/>
      <c r="G83" s="502"/>
      <c r="H83" s="503"/>
      <c r="I83" s="503"/>
      <c r="J83" s="503"/>
      <c r="K83" s="503"/>
      <c r="L83" s="504"/>
      <c r="M83" s="505"/>
      <c r="N83" s="2745"/>
      <c r="O83" s="2745"/>
      <c r="P83" s="2713"/>
      <c r="Q83" s="2739"/>
      <c r="R83" s="2737"/>
      <c r="S83" s="2737"/>
      <c r="T83" s="2737"/>
      <c r="U83" s="2737"/>
      <c r="V83" s="2737"/>
      <c r="W83" s="2737"/>
      <c r="X83" s="2737"/>
      <c r="Y83" s="2737"/>
      <c r="Z83" s="2737"/>
      <c r="AA83" s="2737"/>
      <c r="AB83" s="2737"/>
      <c r="AC83" s="2737"/>
    </row>
    <row r="84" spans="1:29" s="421" customFormat="1" ht="15.75" thickBot="1">
      <c r="A84" s="501"/>
      <c r="B84" s="491"/>
      <c r="C84" s="508"/>
      <c r="D84" s="508"/>
      <c r="E84" s="508"/>
      <c r="F84" s="508"/>
      <c r="G84" s="508"/>
      <c r="H84" s="510"/>
      <c r="I84" s="510"/>
      <c r="J84" s="510"/>
      <c r="K84" s="510"/>
      <c r="L84" s="510"/>
      <c r="M84" s="511"/>
      <c r="N84" s="2745"/>
      <c r="O84" s="2745"/>
      <c r="P84" s="2769"/>
      <c r="Q84" s="2736"/>
      <c r="R84" s="2737"/>
      <c r="S84" s="2737"/>
      <c r="T84" s="2737"/>
      <c r="U84" s="2737"/>
      <c r="V84" s="2737"/>
      <c r="W84" s="2737"/>
      <c r="X84" s="2737"/>
      <c r="Y84" s="2737"/>
      <c r="Z84" s="2737"/>
      <c r="AA84" s="2737"/>
      <c r="AB84" s="2737"/>
      <c r="AC84" s="2737"/>
    </row>
    <row r="85" spans="1:29" s="421" customFormat="1" ht="15.75" thickTop="1">
      <c r="A85" s="501"/>
      <c r="B85" s="494">
        <f>B14</f>
        <v>111</v>
      </c>
      <c r="C85" s="471"/>
      <c r="D85" s="471"/>
      <c r="E85" s="471"/>
      <c r="F85" s="471"/>
      <c r="G85" s="471"/>
      <c r="H85" s="512"/>
      <c r="I85" s="512"/>
      <c r="J85" s="512"/>
      <c r="K85" s="512"/>
      <c r="L85" s="513"/>
      <c r="M85" s="514"/>
      <c r="N85" s="2745"/>
      <c r="O85" s="2745"/>
      <c r="P85" s="2774"/>
      <c r="Q85" s="2736"/>
      <c r="R85" s="2737"/>
      <c r="S85" s="2737"/>
      <c r="T85" s="2737"/>
      <c r="U85" s="2737"/>
      <c r="V85" s="2737"/>
      <c r="W85" s="2737"/>
      <c r="X85" s="2737"/>
      <c r="Y85" s="2737"/>
      <c r="Z85" s="2737"/>
      <c r="AA85" s="2737"/>
      <c r="AB85" s="2737"/>
      <c r="AC85" s="2737"/>
    </row>
    <row r="86" spans="1:29" s="421" customFormat="1" ht="15.75" thickBot="1">
      <c r="A86" s="516"/>
      <c r="B86" s="517"/>
      <c r="C86" s="518"/>
      <c r="D86" s="518"/>
      <c r="E86" s="518"/>
      <c r="F86" s="518"/>
      <c r="G86" s="518"/>
      <c r="H86" s="519"/>
      <c r="I86" s="519"/>
      <c r="J86" s="519"/>
      <c r="K86" s="519"/>
      <c r="L86" s="519"/>
      <c r="M86" s="520"/>
      <c r="N86" s="2745"/>
      <c r="O86" s="2745"/>
      <c r="P86" s="2769"/>
      <c r="Q86" s="2736"/>
      <c r="R86" s="2737"/>
      <c r="S86" s="2737"/>
      <c r="T86" s="2737"/>
      <c r="U86" s="2737"/>
      <c r="V86" s="2737"/>
      <c r="W86" s="2737"/>
      <c r="X86" s="2737"/>
      <c r="Y86" s="2737"/>
      <c r="Z86" s="2737"/>
      <c r="AA86" s="2737"/>
      <c r="AB86" s="2737"/>
      <c r="AC86" s="2737"/>
    </row>
    <row r="87" spans="1:29">
      <c r="A87" s="475" t="s">
        <v>1690</v>
      </c>
      <c r="B87" s="476" t="s">
        <v>1720</v>
      </c>
      <c r="C87" s="521" t="s">
        <v>1721</v>
      </c>
      <c r="D87" s="521" t="s">
        <v>1722</v>
      </c>
      <c r="E87" s="521" t="s">
        <v>1723</v>
      </c>
      <c r="F87" s="521" t="s">
        <v>1724</v>
      </c>
      <c r="G87" s="521" t="s">
        <v>1725</v>
      </c>
      <c r="H87" s="477"/>
      <c r="I87" s="477"/>
      <c r="J87" s="477"/>
      <c r="K87" s="522"/>
      <c r="L87" s="523"/>
      <c r="M87" s="524"/>
      <c r="N87" s="2743"/>
      <c r="O87" s="2743"/>
      <c r="P87" s="2770"/>
      <c r="Q87" s="2729"/>
      <c r="R87" s="2715"/>
      <c r="S87" s="2715"/>
      <c r="T87" s="2715"/>
      <c r="U87" s="2715"/>
      <c r="V87" s="2715"/>
      <c r="W87" s="2715"/>
      <c r="X87" s="2715"/>
      <c r="Y87" s="2715"/>
      <c r="Z87" s="2715"/>
      <c r="AA87" s="2715"/>
      <c r="AB87" s="2715"/>
      <c r="AC87" s="2715"/>
    </row>
    <row r="88" spans="1:29" ht="15.75" thickBot="1">
      <c r="A88" s="482"/>
      <c r="B88" s="491"/>
      <c r="C88" s="492">
        <v>100</v>
      </c>
      <c r="D88" s="492">
        <f>C88-$K15</f>
        <v>97</v>
      </c>
      <c r="E88" s="492">
        <f>D88-$K15</f>
        <v>94</v>
      </c>
      <c r="F88" s="492">
        <f>E88-$K15</f>
        <v>91</v>
      </c>
      <c r="G88" s="492">
        <f>F88-$K15</f>
        <v>88</v>
      </c>
      <c r="H88" s="492"/>
      <c r="I88" s="492"/>
      <c r="J88" s="492"/>
      <c r="K88" s="492"/>
      <c r="L88" s="492"/>
      <c r="M88" s="493"/>
      <c r="N88" s="2744"/>
      <c r="O88" s="2744"/>
      <c r="P88" s="2768"/>
      <c r="Q88" s="2729"/>
      <c r="R88" s="2715"/>
      <c r="S88" s="2715"/>
      <c r="T88" s="2715"/>
      <c r="U88" s="2715"/>
      <c r="V88" s="2715"/>
      <c r="W88" s="2715"/>
      <c r="X88" s="2715"/>
      <c r="Y88" s="2715"/>
      <c r="Z88" s="2715"/>
      <c r="AA88" s="2715"/>
      <c r="AB88" s="2715"/>
      <c r="AC88" s="2715"/>
    </row>
    <row r="89" spans="1:29" ht="15.75" thickTop="1">
      <c r="A89" s="482"/>
      <c r="B89" s="486" t="s">
        <v>1906</v>
      </c>
      <c r="C89" s="526" t="s">
        <v>1721</v>
      </c>
      <c r="D89" s="526" t="s">
        <v>1722</v>
      </c>
      <c r="E89" s="526" t="s">
        <v>1723</v>
      </c>
      <c r="F89" s="526" t="s">
        <v>1724</v>
      </c>
      <c r="G89" s="526" t="s">
        <v>1725</v>
      </c>
      <c r="H89" s="487"/>
      <c r="I89" s="487"/>
      <c r="J89" s="487"/>
      <c r="K89" s="488"/>
      <c r="L89" s="489"/>
      <c r="M89" s="490"/>
      <c r="N89" s="2743"/>
      <c r="O89" s="2743"/>
      <c r="P89" s="2768"/>
      <c r="Q89" s="2729"/>
      <c r="R89" s="2715"/>
      <c r="S89" s="2715"/>
      <c r="T89" s="2715"/>
      <c r="U89" s="2715"/>
      <c r="V89" s="2715"/>
      <c r="W89" s="2715"/>
      <c r="X89" s="2715"/>
      <c r="Y89" s="2715"/>
      <c r="Z89" s="2715"/>
      <c r="AA89" s="2715"/>
      <c r="AB89" s="2715"/>
      <c r="AC89" s="2715"/>
    </row>
    <row r="90" spans="1:29" ht="15.75" thickBot="1">
      <c r="A90" s="482"/>
      <c r="B90" s="491"/>
      <c r="C90" s="492">
        <v>100</v>
      </c>
      <c r="D90" s="492">
        <f>C90-$K17</f>
        <v>97</v>
      </c>
      <c r="E90" s="492">
        <f>D90-$K17</f>
        <v>94</v>
      </c>
      <c r="F90" s="492">
        <f>E90-$K17</f>
        <v>91</v>
      </c>
      <c r="G90" s="492">
        <f>F90-$K17</f>
        <v>88</v>
      </c>
      <c r="H90" s="492"/>
      <c r="I90" s="492"/>
      <c r="J90" s="492"/>
      <c r="K90" s="492"/>
      <c r="L90" s="492"/>
      <c r="M90" s="493"/>
      <c r="N90" s="2744"/>
      <c r="O90" s="2744"/>
      <c r="P90" s="2768"/>
      <c r="Q90" s="2729"/>
      <c r="R90" s="2715"/>
      <c r="S90" s="2715"/>
      <c r="T90" s="2715"/>
      <c r="U90" s="2715"/>
      <c r="V90" s="2715"/>
      <c r="W90" s="2715"/>
      <c r="X90" s="2715"/>
      <c r="Y90" s="2715"/>
      <c r="Z90" s="2715"/>
      <c r="AA90" s="2715"/>
      <c r="AB90" s="2715"/>
      <c r="AC90" s="2715"/>
    </row>
    <row r="91" spans="1:29" ht="15.75" thickTop="1">
      <c r="A91" s="482"/>
      <c r="B91" s="486" t="s">
        <v>1821</v>
      </c>
      <c r="C91" s="526" t="s">
        <v>1721</v>
      </c>
      <c r="D91" s="526" t="s">
        <v>1722</v>
      </c>
      <c r="E91" s="526" t="s">
        <v>1723</v>
      </c>
      <c r="F91" s="526" t="s">
        <v>1724</v>
      </c>
      <c r="G91" s="526" t="s">
        <v>1725</v>
      </c>
      <c r="H91" s="487"/>
      <c r="I91" s="487"/>
      <c r="J91" s="487"/>
      <c r="K91" s="488"/>
      <c r="L91" s="489"/>
      <c r="M91" s="490"/>
      <c r="N91" s="2743"/>
      <c r="O91" s="2743"/>
      <c r="P91" s="2768"/>
      <c r="Q91" s="2729"/>
      <c r="R91" s="2715"/>
      <c r="S91" s="2715"/>
      <c r="T91" s="2715"/>
      <c r="U91" s="2715"/>
      <c r="V91" s="2715"/>
      <c r="W91" s="2715"/>
      <c r="X91" s="2715"/>
      <c r="Y91" s="2715"/>
      <c r="Z91" s="2715"/>
      <c r="AA91" s="2715"/>
      <c r="AB91" s="2715"/>
      <c r="AC91" s="2715"/>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4"/>
      <c r="O92" s="2744"/>
      <c r="P92" s="2768"/>
      <c r="Q92" s="2729"/>
      <c r="R92" s="2715"/>
      <c r="S92" s="2715"/>
      <c r="T92" s="2715"/>
      <c r="U92" s="2715"/>
      <c r="V92" s="2715"/>
      <c r="W92" s="2715"/>
      <c r="X92" s="2715"/>
      <c r="Y92" s="2715"/>
      <c r="Z92" s="2715"/>
      <c r="AA92" s="2715"/>
      <c r="AB92" s="2715"/>
      <c r="AC92" s="2715"/>
    </row>
    <row r="93" spans="1:29" ht="15.75" thickTop="1">
      <c r="A93" s="482"/>
      <c r="B93" s="486" t="s">
        <v>1726</v>
      </c>
      <c r="C93" s="526" t="s">
        <v>1721</v>
      </c>
      <c r="D93" s="526" t="s">
        <v>1722</v>
      </c>
      <c r="E93" s="526" t="s">
        <v>1723</v>
      </c>
      <c r="F93" s="526" t="s">
        <v>1724</v>
      </c>
      <c r="G93" s="526" t="s">
        <v>1725</v>
      </c>
      <c r="H93" s="487"/>
      <c r="I93" s="487"/>
      <c r="J93" s="487"/>
      <c r="K93" s="488"/>
      <c r="L93" s="489"/>
      <c r="M93" s="490"/>
      <c r="N93" s="2743"/>
      <c r="O93" s="2743"/>
      <c r="P93" s="2768"/>
      <c r="Q93" s="2729"/>
      <c r="R93" s="2715"/>
      <c r="S93" s="2715"/>
      <c r="T93" s="2715"/>
      <c r="U93" s="2715"/>
      <c r="V93" s="2715"/>
      <c r="W93" s="2715"/>
      <c r="X93" s="2715"/>
      <c r="Y93" s="2715"/>
      <c r="Z93" s="2715"/>
      <c r="AA93" s="2715"/>
      <c r="AB93" s="2715"/>
      <c r="AC93" s="2715"/>
    </row>
    <row r="94" spans="1:29" ht="15.75" thickBot="1">
      <c r="A94" s="482"/>
      <c r="B94" s="491"/>
      <c r="C94" s="492">
        <v>100</v>
      </c>
      <c r="D94" s="492">
        <f>C94-$K21</f>
        <v>97</v>
      </c>
      <c r="E94" s="492">
        <f>D94-$K21</f>
        <v>94</v>
      </c>
      <c r="F94" s="492">
        <f>E94-$K21</f>
        <v>91</v>
      </c>
      <c r="G94" s="492">
        <f>F94-$K21</f>
        <v>88</v>
      </c>
      <c r="H94" s="492"/>
      <c r="I94" s="492"/>
      <c r="J94" s="492"/>
      <c r="K94" s="492"/>
      <c r="L94" s="492"/>
      <c r="M94" s="493"/>
      <c r="N94" s="2744"/>
      <c r="O94" s="2744"/>
      <c r="P94" s="2768"/>
      <c r="Q94" s="2729"/>
      <c r="R94" s="2715"/>
      <c r="S94" s="2715"/>
      <c r="T94" s="2715"/>
      <c r="U94" s="2715"/>
      <c r="V94" s="2715"/>
      <c r="W94" s="2715"/>
      <c r="X94" s="2715"/>
      <c r="Y94" s="2715"/>
      <c r="Z94" s="2715"/>
      <c r="AA94" s="2715"/>
      <c r="AB94" s="2715"/>
      <c r="AC94" s="2715"/>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2"/>
      <c r="O95" s="2742"/>
      <c r="P95" s="2768"/>
      <c r="Q95" s="2729"/>
      <c r="R95" s="2652"/>
      <c r="S95" s="2652"/>
      <c r="T95" s="2652"/>
      <c r="U95" s="2652"/>
      <c r="V95" s="2652"/>
      <c r="W95" s="2652"/>
      <c r="X95" s="2652"/>
      <c r="Y95" s="2652"/>
      <c r="Z95" s="2652"/>
      <c r="AA95" s="2652"/>
      <c r="AB95" s="2652"/>
      <c r="AC95" s="2652"/>
    </row>
    <row r="96" spans="1:29" s="107" customFormat="1" ht="15.75" thickBot="1">
      <c r="A96" s="527"/>
      <c r="B96" s="491"/>
      <c r="C96" s="530">
        <v>100</v>
      </c>
      <c r="D96" s="492">
        <f>C96-$K23</f>
        <v>98</v>
      </c>
      <c r="E96" s="492">
        <f>D96-$K23</f>
        <v>96</v>
      </c>
      <c r="F96" s="492">
        <f>E96-$K23</f>
        <v>94</v>
      </c>
      <c r="G96" s="492">
        <f>F96-$K23</f>
        <v>92</v>
      </c>
      <c r="H96" s="492"/>
      <c r="I96" s="492"/>
      <c r="J96" s="492"/>
      <c r="K96" s="492"/>
      <c r="L96" s="492"/>
      <c r="M96" s="493"/>
      <c r="N96" s="2744"/>
      <c r="O96" s="2744"/>
      <c r="P96" s="2768"/>
      <c r="Q96" s="2729"/>
      <c r="R96" s="2652"/>
      <c r="S96" s="2652"/>
      <c r="T96" s="2652"/>
      <c r="U96" s="2652"/>
      <c r="V96" s="2652"/>
      <c r="W96" s="2652"/>
      <c r="X96" s="2652"/>
      <c r="Y96" s="2652"/>
      <c r="Z96" s="2652"/>
      <c r="AA96" s="2652"/>
      <c r="AB96" s="2652"/>
      <c r="AC96" s="2652"/>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2"/>
      <c r="O97" s="2742"/>
      <c r="P97" s="2768"/>
      <c r="Q97" s="2729"/>
      <c r="R97" s="2652"/>
      <c r="S97" s="2652"/>
      <c r="T97" s="2652"/>
      <c r="U97" s="2652"/>
      <c r="V97" s="2652"/>
      <c r="W97" s="2652"/>
      <c r="X97" s="2652"/>
      <c r="Y97" s="2652"/>
      <c r="Z97" s="2652"/>
      <c r="AA97" s="2652"/>
      <c r="AB97" s="2652"/>
      <c r="AC97" s="2652"/>
    </row>
    <row r="98" spans="1:29" s="107" customFormat="1" ht="15.75" thickBot="1">
      <c r="A98" s="527"/>
      <c r="B98" s="491"/>
      <c r="C98" s="492">
        <v>100</v>
      </c>
      <c r="D98" s="492">
        <f>C98-$K25</f>
        <v>97</v>
      </c>
      <c r="E98" s="492">
        <f>D98-$K25</f>
        <v>94</v>
      </c>
      <c r="F98" s="492">
        <f>E98-$K25</f>
        <v>91</v>
      </c>
      <c r="G98" s="492">
        <f>F98-$K25</f>
        <v>88</v>
      </c>
      <c r="H98" s="492"/>
      <c r="I98" s="492"/>
      <c r="J98" s="492"/>
      <c r="K98" s="492"/>
      <c r="L98" s="492"/>
      <c r="M98" s="493"/>
      <c r="N98" s="2744"/>
      <c r="O98" s="2744"/>
      <c r="P98" s="2768"/>
      <c r="Q98" s="2729"/>
      <c r="R98" s="2652"/>
      <c r="S98" s="2652"/>
      <c r="T98" s="2652"/>
      <c r="U98" s="2652"/>
      <c r="V98" s="2652"/>
      <c r="W98" s="2652"/>
      <c r="X98" s="2652"/>
      <c r="Y98" s="2652"/>
      <c r="Z98" s="2652"/>
      <c r="AA98" s="2652"/>
      <c r="AB98" s="2652"/>
      <c r="AC98" s="2652"/>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5"/>
      <c r="O99" s="2745"/>
      <c r="P99" s="2769"/>
      <c r="Q99" s="2736"/>
      <c r="R99" s="2737"/>
      <c r="S99" s="2737"/>
      <c r="T99" s="2737"/>
      <c r="U99" s="2737"/>
      <c r="V99" s="2737"/>
      <c r="W99" s="2737"/>
      <c r="X99" s="2737"/>
      <c r="Y99" s="2737"/>
      <c r="Z99" s="2737"/>
      <c r="AA99" s="2737"/>
      <c r="AB99" s="2737"/>
      <c r="AC99" s="2737"/>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8"/>
      <c r="N102" s="2745"/>
      <c r="O102" s="2745"/>
      <c r="P102" s="2769"/>
      <c r="Q102" s="2736"/>
      <c r="R102" s="2737"/>
      <c r="S102" s="2737"/>
      <c r="T102" s="2737"/>
      <c r="U102" s="2737"/>
      <c r="V102" s="2737"/>
      <c r="W102" s="2737"/>
      <c r="X102" s="2737"/>
      <c r="Y102" s="2737"/>
      <c r="Z102" s="2737"/>
      <c r="AA102" s="2737"/>
      <c r="AB102" s="2737"/>
      <c r="AC102" s="2737"/>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3"/>
      <c r="O103" s="2743"/>
      <c r="P103" s="2768"/>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2"/>
      <c r="B105" s="486" t="s">
        <v>1815</v>
      </c>
      <c r="C105" s="502"/>
      <c r="D105" s="502"/>
      <c r="E105" s="502"/>
      <c r="F105" s="502"/>
      <c r="G105" s="502"/>
      <c r="H105" s="531"/>
      <c r="I105" s="531"/>
      <c r="J105" s="531"/>
      <c r="K105" s="532"/>
      <c r="L105" s="533"/>
      <c r="M105" s="534"/>
      <c r="N105" s="2743"/>
      <c r="O105" s="2743"/>
      <c r="P105" s="2768"/>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2"/>
      <c r="B107" s="486" t="s">
        <v>1873</v>
      </c>
      <c r="C107" s="531"/>
      <c r="D107" s="531"/>
      <c r="E107" s="531"/>
      <c r="F107" s="531"/>
      <c r="G107" s="531"/>
      <c r="H107" s="531"/>
      <c r="I107" s="531"/>
      <c r="J107" s="531"/>
      <c r="K107" s="532"/>
      <c r="L107" s="533"/>
      <c r="M107" s="534"/>
      <c r="N107" s="2743"/>
      <c r="O107" s="2743"/>
      <c r="P107" s="2768"/>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3"/>
      <c r="O109" s="2743"/>
      <c r="P109" s="2768"/>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6">
        <f>B36</f>
        <v>111</v>
      </c>
      <c r="C111" s="471"/>
      <c r="D111" s="471"/>
      <c r="E111" s="471"/>
      <c r="F111" s="471"/>
      <c r="G111" s="531"/>
      <c r="H111" s="531"/>
      <c r="I111" s="531"/>
      <c r="J111" s="531"/>
      <c r="K111" s="532"/>
      <c r="L111" s="533"/>
      <c r="M111" s="534"/>
      <c r="N111" s="2743"/>
      <c r="O111" s="2743"/>
      <c r="P111" s="2768"/>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501"/>
      <c r="B114" s="494"/>
      <c r="C114" s="460"/>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5" t="s">
        <v>1694</v>
      </c>
      <c r="B115" s="476" t="s">
        <v>1913</v>
      </c>
      <c r="C115" s="477" t="str">
        <f>C116&amp;"(含)"&amp;"-"&amp;D116</f>
        <v>0(含)-50000</v>
      </c>
      <c r="D115" s="477" t="str">
        <f t="shared" ref="D115:M115" si="26">D116&amp;"(含)"&amp;"-"&amp;E116</f>
        <v>50000(含)-100000</v>
      </c>
      <c r="E115" s="477" t="str">
        <f t="shared" si="26"/>
        <v>100000(含)-150000</v>
      </c>
      <c r="F115" s="477" t="str">
        <f t="shared" si="26"/>
        <v>150000(含)-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150000</v>
      </c>
      <c r="G116" s="543"/>
      <c r="H116" s="543"/>
      <c r="I116" s="543"/>
      <c r="J116" s="544"/>
      <c r="K116" s="544"/>
      <c r="L116" s="545"/>
      <c r="M116" s="546"/>
      <c r="N116" s="2743"/>
      <c r="O116" s="2743"/>
      <c r="P116" s="2768"/>
      <c r="Q116" s="2729"/>
      <c r="R116" s="2715"/>
      <c r="S116" s="2715"/>
      <c r="T116" s="2715"/>
      <c r="U116" s="2715"/>
      <c r="V116" s="2715"/>
      <c r="W116" s="2715"/>
      <c r="X116" s="2715"/>
      <c r="Y116" s="2715"/>
      <c r="Z116" s="2715"/>
      <c r="AA116" s="2715"/>
      <c r="AB116" s="2715"/>
      <c r="AC116" s="2715"/>
    </row>
    <row r="117" spans="1:29" ht="15.75" thickBot="1">
      <c r="A117" s="482"/>
      <c r="B117" s="491"/>
      <c r="C117" s="518">
        <f>100</f>
        <v>100</v>
      </c>
      <c r="D117" s="539">
        <f>C117+1</f>
        <v>101</v>
      </c>
      <c r="E117" s="539">
        <f t="shared" ref="E117:F117" si="27">D117+1</f>
        <v>102</v>
      </c>
      <c r="F117" s="539">
        <f t="shared" si="27"/>
        <v>103</v>
      </c>
      <c r="G117" s="539"/>
      <c r="H117" s="539"/>
      <c r="I117" s="539"/>
      <c r="J117" s="539"/>
      <c r="K117" s="539"/>
      <c r="L117" s="539"/>
      <c r="M117" s="540"/>
      <c r="N117" s="2744"/>
      <c r="O117" s="2744"/>
      <c r="P117" s="2768"/>
      <c r="Q117" s="2729"/>
      <c r="R117" s="2715"/>
      <c r="S117" s="2715"/>
      <c r="T117" s="2715"/>
      <c r="U117" s="2715"/>
      <c r="V117" s="2715"/>
      <c r="W117" s="2715"/>
      <c r="X117" s="2715"/>
      <c r="Y117" s="2715"/>
      <c r="Z117" s="2715"/>
      <c r="AA117" s="2715"/>
      <c r="AB117" s="2715"/>
      <c r="AC117" s="2715"/>
    </row>
    <row r="118" spans="1:29" ht="15" thickTop="1">
      <c r="A118" s="547"/>
      <c r="B118" s="486" t="s">
        <v>1914</v>
      </c>
      <c r="C118" s="531"/>
      <c r="D118" s="531"/>
      <c r="E118" s="531"/>
      <c r="F118" s="531"/>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8">C119-$K39</f>
        <v>100</v>
      </c>
      <c r="E119" s="492">
        <f t="shared" si="28"/>
        <v>100</v>
      </c>
      <c r="F119" s="492">
        <f t="shared" si="28"/>
        <v>100</v>
      </c>
      <c r="G119" s="492">
        <f t="shared" si="28"/>
        <v>100</v>
      </c>
      <c r="H119" s="492">
        <f t="shared" si="28"/>
        <v>100</v>
      </c>
      <c r="I119" s="492">
        <f t="shared" si="28"/>
        <v>100</v>
      </c>
      <c r="J119" s="492">
        <f t="shared" si="28"/>
        <v>100</v>
      </c>
      <c r="K119" s="492">
        <f t="shared" si="28"/>
        <v>100</v>
      </c>
      <c r="L119" s="492">
        <f t="shared" si="28"/>
        <v>100</v>
      </c>
      <c r="M119" s="493">
        <f t="shared" si="28"/>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7"/>
      <c r="B120" s="486" t="s">
        <v>1915</v>
      </c>
      <c r="C120" s="502"/>
      <c r="D120" s="502"/>
      <c r="E120" s="502"/>
      <c r="F120" s="531"/>
      <c r="G120" s="531"/>
      <c r="H120" s="531"/>
      <c r="I120" s="531"/>
      <c r="J120" s="531"/>
      <c r="K120" s="532"/>
      <c r="L120" s="533"/>
      <c r="M120" s="534"/>
      <c r="N120" s="2743"/>
      <c r="O120" s="2743"/>
      <c r="P120" s="2768"/>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9">C121-$K40</f>
        <v>100</v>
      </c>
      <c r="E121" s="492">
        <f t="shared" si="29"/>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41"/>
      <c r="B122" s="486" t="s">
        <v>1916</v>
      </c>
      <c r="C122" s="3666" t="s">
        <v>3814</v>
      </c>
      <c r="D122" s="3666" t="s">
        <v>3815</v>
      </c>
      <c r="E122" s="3666" t="s">
        <v>3816</v>
      </c>
      <c r="F122" s="3666" t="s">
        <v>3817</v>
      </c>
      <c r="G122" s="3666" t="s">
        <v>3818</v>
      </c>
      <c r="H122" s="531"/>
      <c r="I122" s="531"/>
      <c r="J122" s="531"/>
      <c r="K122" s="532"/>
      <c r="L122" s="533"/>
      <c r="M122" s="534"/>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501"/>
      <c r="B123" s="491"/>
      <c r="C123" s="492">
        <v>100</v>
      </c>
      <c r="D123" s="492">
        <f t="shared" ref="D123:M123" si="30">C123-$K41</f>
        <v>99.5</v>
      </c>
      <c r="E123" s="492">
        <f t="shared" si="30"/>
        <v>99</v>
      </c>
      <c r="F123" s="492">
        <f t="shared" si="30"/>
        <v>98.5</v>
      </c>
      <c r="G123" s="492">
        <f t="shared" si="30"/>
        <v>98</v>
      </c>
      <c r="H123" s="492">
        <f t="shared" si="30"/>
        <v>97.5</v>
      </c>
      <c r="I123" s="492">
        <f t="shared" si="30"/>
        <v>97</v>
      </c>
      <c r="J123" s="492">
        <f t="shared" si="30"/>
        <v>96.5</v>
      </c>
      <c r="K123" s="492">
        <f t="shared" si="30"/>
        <v>96</v>
      </c>
      <c r="L123" s="492">
        <f t="shared" si="30"/>
        <v>95.5</v>
      </c>
      <c r="M123" s="493">
        <f t="shared" si="30"/>
        <v>95</v>
      </c>
      <c r="N123" s="2745"/>
      <c r="O123" s="2745"/>
      <c r="P123" s="2769"/>
      <c r="Q123" s="2736"/>
      <c r="R123" s="2737"/>
      <c r="S123" s="2737"/>
      <c r="T123" s="2737"/>
      <c r="U123" s="2737"/>
      <c r="V123" s="2737"/>
      <c r="W123" s="2737"/>
      <c r="X123" s="2737"/>
      <c r="Y123" s="2737"/>
      <c r="Z123" s="2737"/>
      <c r="AA123" s="2737"/>
      <c r="AB123" s="2737"/>
      <c r="AC123" s="2737"/>
    </row>
    <row r="124" spans="1:29" ht="15" thickTop="1">
      <c r="A124" s="547"/>
      <c r="B124" s="486" t="s">
        <v>1917</v>
      </c>
      <c r="C124" s="502" t="s">
        <v>3819</v>
      </c>
      <c r="D124" s="502" t="s">
        <v>3391</v>
      </c>
      <c r="E124" s="531" t="s">
        <v>3392</v>
      </c>
      <c r="F124" s="531" t="s">
        <v>3804</v>
      </c>
      <c r="G124" s="531" t="s">
        <v>3820</v>
      </c>
      <c r="H124" s="531"/>
      <c r="I124" s="531"/>
      <c r="J124" s="531"/>
      <c r="K124" s="532"/>
      <c r="L124" s="533"/>
      <c r="M124" s="534"/>
      <c r="N124" s="2743"/>
      <c r="O124" s="2743"/>
      <c r="P124" s="2768"/>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3"/>
      <c r="O126" s="2743"/>
      <c r="P126" s="2768"/>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4"/>
      <c r="O127" s="2744"/>
      <c r="P127" s="2768"/>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3"/>
      <c r="O128" s="2743"/>
      <c r="P128" s="2768"/>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6"/>
      <c r="B131" s="647"/>
      <c r="C131" s="518"/>
      <c r="D131" s="518"/>
      <c r="E131" s="518"/>
      <c r="F131" s="518"/>
      <c r="G131" s="539"/>
      <c r="H131" s="539"/>
      <c r="I131" s="539"/>
      <c r="J131" s="539"/>
      <c r="K131" s="539"/>
      <c r="L131" s="539"/>
      <c r="M131" s="540"/>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G31" sqref="G31"/>
    </sheetView>
  </sheetViews>
  <sheetFormatPr defaultRowHeight="13.5"/>
  <cols>
    <col min="1" max="1" width="38" style="3652" customWidth="1"/>
    <col min="2" max="2" width="10.875" style="3652" customWidth="1"/>
    <col min="3" max="3" width="29.375" style="3652" customWidth="1"/>
    <col min="4" max="6" width="20" style="3652" customWidth="1"/>
    <col min="7" max="7" width="15.875" style="3652" customWidth="1"/>
    <col min="8" max="8" width="13.375" style="3652" customWidth="1"/>
    <col min="9" max="21" width="20" style="3652" customWidth="1"/>
    <col min="22" max="16384" width="9" style="3652"/>
  </cols>
  <sheetData>
    <row r="1" spans="1:20">
      <c r="A1" s="3652" t="s">
        <v>3588</v>
      </c>
      <c r="B1" s="3652" t="s">
        <v>3589</v>
      </c>
      <c r="C1" s="3652" t="s">
        <v>3590</v>
      </c>
      <c r="D1" s="3652" t="s">
        <v>3591</v>
      </c>
      <c r="E1" s="3652" t="s">
        <v>3592</v>
      </c>
      <c r="F1" s="3652" t="s">
        <v>3593</v>
      </c>
      <c r="G1" s="3652" t="s">
        <v>3523</v>
      </c>
      <c r="H1" s="3652" t="s">
        <v>3594</v>
      </c>
      <c r="I1" s="3652" t="s">
        <v>3595</v>
      </c>
      <c r="J1" s="3652" t="s">
        <v>3596</v>
      </c>
      <c r="K1" s="3652" t="s">
        <v>3597</v>
      </c>
      <c r="L1" s="3652" t="s">
        <v>3598</v>
      </c>
      <c r="M1" s="3652" t="s">
        <v>3599</v>
      </c>
      <c r="N1" s="3652" t="s">
        <v>3600</v>
      </c>
      <c r="O1" s="3652" t="s">
        <v>3601</v>
      </c>
      <c r="P1" s="3652" t="s">
        <v>3602</v>
      </c>
      <c r="Q1" s="3652" t="s">
        <v>3603</v>
      </c>
      <c r="R1" s="3652" t="s">
        <v>3604</v>
      </c>
      <c r="S1" s="3652" t="s">
        <v>3605</v>
      </c>
      <c r="T1" s="3652" t="s">
        <v>3606</v>
      </c>
    </row>
    <row r="2" spans="1:20" s="3653" customFormat="1">
      <c r="A2" s="3653" t="s">
        <v>3607</v>
      </c>
      <c r="B2" s="3653" t="s">
        <v>3585</v>
      </c>
      <c r="C2" s="3653" t="s">
        <v>3608</v>
      </c>
      <c r="D2" s="3653" t="s">
        <v>3609</v>
      </c>
      <c r="E2" s="3653">
        <v>39321.5</v>
      </c>
      <c r="F2" s="3653">
        <v>78643</v>
      </c>
      <c r="G2" s="3653" t="s">
        <v>3610</v>
      </c>
      <c r="H2" s="3653" t="s">
        <v>3611</v>
      </c>
      <c r="I2" s="3653" t="s">
        <v>3612</v>
      </c>
      <c r="J2" s="3653" t="s">
        <v>3613</v>
      </c>
      <c r="K2" s="3654">
        <v>44825.000497685185</v>
      </c>
      <c r="L2" s="3654">
        <v>44825.000497685185</v>
      </c>
      <c r="M2" s="3653" t="s">
        <v>3614</v>
      </c>
      <c r="N2" s="3653" t="s">
        <v>3615</v>
      </c>
      <c r="O2" s="3653">
        <v>61266</v>
      </c>
      <c r="P2" s="3653">
        <v>12254</v>
      </c>
      <c r="Q2" s="3653" t="s">
        <v>3616</v>
      </c>
      <c r="R2" s="3653">
        <v>61266</v>
      </c>
      <c r="S2" s="3653">
        <v>7790</v>
      </c>
      <c r="T2" s="3653">
        <v>0</v>
      </c>
    </row>
    <row r="3" spans="1:20" s="3653" customFormat="1">
      <c r="A3" s="3653" t="s">
        <v>3617</v>
      </c>
      <c r="B3" s="3653" t="s">
        <v>3585</v>
      </c>
      <c r="C3" s="3653" t="s">
        <v>3618</v>
      </c>
      <c r="D3" s="3653" t="s">
        <v>3609</v>
      </c>
      <c r="E3" s="3653">
        <v>86183.9</v>
      </c>
      <c r="F3" s="3653">
        <v>215459.75</v>
      </c>
      <c r="G3" s="3653" t="s">
        <v>3619</v>
      </c>
      <c r="H3" s="3653" t="s">
        <v>3611</v>
      </c>
      <c r="I3" s="3653" t="s">
        <v>3612</v>
      </c>
      <c r="J3" s="3653" t="s">
        <v>3613</v>
      </c>
      <c r="K3" s="3654">
        <v>44825.000497685185</v>
      </c>
      <c r="L3" s="3654">
        <v>44825.000497685185</v>
      </c>
      <c r="M3" s="3653" t="s">
        <v>3614</v>
      </c>
      <c r="N3" s="3653" t="s">
        <v>3620</v>
      </c>
      <c r="O3" s="3653">
        <v>134287</v>
      </c>
      <c r="P3" s="3653">
        <v>26858</v>
      </c>
      <c r="Q3" s="3653" t="s">
        <v>3616</v>
      </c>
      <c r="R3" s="3653">
        <v>134287</v>
      </c>
      <c r="S3" s="3653">
        <v>6233</v>
      </c>
      <c r="T3" s="3653">
        <v>0</v>
      </c>
    </row>
    <row r="4" spans="1:20">
      <c r="A4" s="3652" t="s">
        <v>3621</v>
      </c>
      <c r="B4" s="3652" t="s">
        <v>3585</v>
      </c>
      <c r="C4" s="3652" t="s">
        <v>3622</v>
      </c>
      <c r="D4" s="3652" t="s">
        <v>3609</v>
      </c>
      <c r="E4" s="3652">
        <v>33165.29</v>
      </c>
      <c r="F4" s="3652">
        <v>99495.87</v>
      </c>
      <c r="G4" s="3652" t="s">
        <v>3623</v>
      </c>
      <c r="H4" s="3652" t="s">
        <v>3611</v>
      </c>
      <c r="I4" s="3652" t="s">
        <v>3624</v>
      </c>
      <c r="J4" s="3652" t="s">
        <v>3625</v>
      </c>
      <c r="K4" s="3655">
        <v>44350.000497685185</v>
      </c>
      <c r="L4" s="3655">
        <v>44350.000497685185</v>
      </c>
      <c r="M4" s="3652" t="s">
        <v>3614</v>
      </c>
      <c r="N4" s="3652" t="s">
        <v>3626</v>
      </c>
      <c r="O4" s="3652">
        <v>34885</v>
      </c>
      <c r="P4" s="3652">
        <v>17443</v>
      </c>
      <c r="Q4" s="3652" t="s">
        <v>3627</v>
      </c>
      <c r="R4" s="3652">
        <v>34885</v>
      </c>
      <c r="S4" s="3652">
        <v>3506</v>
      </c>
      <c r="T4" s="3652">
        <v>0</v>
      </c>
    </row>
    <row r="5" spans="1:20">
      <c r="A5" s="3652" t="s">
        <v>3628</v>
      </c>
      <c r="B5" s="3652" t="s">
        <v>3585</v>
      </c>
      <c r="C5" s="3652" t="s">
        <v>3629</v>
      </c>
      <c r="D5" s="3652" t="s">
        <v>3609</v>
      </c>
      <c r="E5" s="3652">
        <v>31251.26</v>
      </c>
      <c r="F5" s="3652">
        <v>93753.78</v>
      </c>
      <c r="G5" s="3652" t="s">
        <v>3623</v>
      </c>
      <c r="H5" s="3652" t="s">
        <v>3611</v>
      </c>
      <c r="I5" s="3652" t="s">
        <v>3624</v>
      </c>
      <c r="J5" s="3652" t="s">
        <v>3625</v>
      </c>
      <c r="K5" s="3655">
        <v>44350.000497685185</v>
      </c>
      <c r="L5" s="3655">
        <v>44350.000497685185</v>
      </c>
      <c r="M5" s="3652" t="s">
        <v>3614</v>
      </c>
      <c r="N5" s="3652" t="s">
        <v>3626</v>
      </c>
      <c r="O5" s="3652">
        <v>32834</v>
      </c>
      <c r="P5" s="3652">
        <v>16417</v>
      </c>
      <c r="Q5" s="3652" t="s">
        <v>3627</v>
      </c>
      <c r="R5" s="3652">
        <v>32834</v>
      </c>
      <c r="S5" s="3652">
        <v>3502</v>
      </c>
      <c r="T5" s="3652">
        <v>0</v>
      </c>
    </row>
    <row r="6" spans="1:20">
      <c r="A6" s="3652" t="s">
        <v>3630</v>
      </c>
      <c r="B6" s="3652" t="s">
        <v>3585</v>
      </c>
      <c r="C6" s="3652" t="s">
        <v>3631</v>
      </c>
      <c r="D6" s="3652" t="s">
        <v>3609</v>
      </c>
      <c r="E6" s="3652">
        <v>39826.35</v>
      </c>
      <c r="F6" s="3652">
        <v>119479.05</v>
      </c>
      <c r="G6" s="3652" t="s">
        <v>3623</v>
      </c>
      <c r="H6" s="3652" t="s">
        <v>3611</v>
      </c>
      <c r="I6" s="3652" t="s">
        <v>3624</v>
      </c>
      <c r="J6" s="3652" t="s">
        <v>3625</v>
      </c>
      <c r="K6" s="3655">
        <v>44350.000497685185</v>
      </c>
      <c r="L6" s="3655">
        <v>44350.000497685185</v>
      </c>
      <c r="M6" s="3652" t="s">
        <v>3614</v>
      </c>
      <c r="N6" s="3652" t="s">
        <v>3626</v>
      </c>
      <c r="O6" s="3652">
        <v>41877</v>
      </c>
      <c r="P6" s="3652">
        <v>20939</v>
      </c>
      <c r="Q6" s="3652" t="s">
        <v>3627</v>
      </c>
      <c r="R6" s="3652">
        <v>41877</v>
      </c>
      <c r="S6" s="3652">
        <v>3505</v>
      </c>
      <c r="T6" s="3652">
        <v>0</v>
      </c>
    </row>
    <row r="7" spans="1:20">
      <c r="A7" s="3652" t="s">
        <v>3632</v>
      </c>
      <c r="B7" s="3652" t="s">
        <v>3585</v>
      </c>
      <c r="C7" s="3652" t="s">
        <v>3633</v>
      </c>
      <c r="D7" s="3652" t="s">
        <v>3609</v>
      </c>
      <c r="E7" s="3652">
        <v>103599.08</v>
      </c>
      <c r="F7" s="3652">
        <v>310797.24</v>
      </c>
      <c r="G7" s="3652" t="s">
        <v>3623</v>
      </c>
      <c r="H7" s="3652" t="s">
        <v>3611</v>
      </c>
      <c r="I7" s="3652" t="s">
        <v>3624</v>
      </c>
      <c r="J7" s="3652" t="s">
        <v>3625</v>
      </c>
      <c r="K7" s="3655">
        <v>44350.000497685185</v>
      </c>
      <c r="L7" s="3655">
        <v>44350.000497685185</v>
      </c>
      <c r="M7" s="3652" t="s">
        <v>3614</v>
      </c>
      <c r="N7" s="3652" t="s">
        <v>3634</v>
      </c>
      <c r="O7" s="3652">
        <v>243497</v>
      </c>
      <c r="P7" s="3652">
        <v>121750</v>
      </c>
      <c r="Q7" s="3652" t="s">
        <v>3627</v>
      </c>
      <c r="R7" s="3652">
        <v>316697</v>
      </c>
      <c r="S7" s="3652">
        <v>10190</v>
      </c>
      <c r="T7" s="3652">
        <v>30.06</v>
      </c>
    </row>
    <row r="8" spans="1:20">
      <c r="A8" s="3652" t="s">
        <v>3635</v>
      </c>
      <c r="B8" s="3652" t="s">
        <v>3585</v>
      </c>
      <c r="C8" s="3652" t="s">
        <v>3636</v>
      </c>
      <c r="D8" s="3652" t="s">
        <v>3609</v>
      </c>
      <c r="E8" s="3652">
        <v>67859.929999999993</v>
      </c>
      <c r="F8" s="3652">
        <v>237509.76000000001</v>
      </c>
      <c r="G8" s="3652" t="s">
        <v>3637</v>
      </c>
      <c r="H8" s="3652" t="s">
        <v>3611</v>
      </c>
      <c r="I8" s="3652" t="s">
        <v>3624</v>
      </c>
      <c r="J8" s="3652" t="s">
        <v>3625</v>
      </c>
      <c r="K8" s="3655">
        <v>44350.000497685185</v>
      </c>
      <c r="L8" s="3655">
        <v>44350.000497685185</v>
      </c>
      <c r="M8" s="3652" t="s">
        <v>3614</v>
      </c>
      <c r="N8" s="3652" t="s">
        <v>3626</v>
      </c>
      <c r="O8" s="3652">
        <v>74174</v>
      </c>
      <c r="P8" s="3652">
        <v>37087</v>
      </c>
      <c r="Q8" s="3652" t="s">
        <v>3627</v>
      </c>
      <c r="R8" s="3652">
        <v>74174</v>
      </c>
      <c r="S8" s="3652">
        <v>3123</v>
      </c>
      <c r="T8" s="3652">
        <v>0</v>
      </c>
    </row>
    <row r="9" spans="1:20">
      <c r="A9" s="3652" t="s">
        <v>3638</v>
      </c>
      <c r="B9" s="3652" t="s">
        <v>3585</v>
      </c>
      <c r="C9" s="3652" t="s">
        <v>3639</v>
      </c>
      <c r="D9" s="3652" t="s">
        <v>3609</v>
      </c>
      <c r="E9" s="3652">
        <v>39172.699999999997</v>
      </c>
      <c r="F9" s="3652">
        <v>117518.1</v>
      </c>
      <c r="G9" s="3652" t="s">
        <v>3623</v>
      </c>
      <c r="H9" s="3652" t="s">
        <v>3611</v>
      </c>
      <c r="I9" s="3652" t="s">
        <v>3624</v>
      </c>
      <c r="J9" s="3652" t="s">
        <v>3625</v>
      </c>
      <c r="K9" s="3655">
        <v>44350.000497685185</v>
      </c>
      <c r="L9" s="3655">
        <v>44350.000497685185</v>
      </c>
      <c r="M9" s="3652" t="s">
        <v>3614</v>
      </c>
      <c r="N9" s="3652" t="s">
        <v>3626</v>
      </c>
      <c r="O9" s="3652">
        <v>41195</v>
      </c>
      <c r="P9" s="3652">
        <v>20598</v>
      </c>
      <c r="Q9" s="3652" t="s">
        <v>3627</v>
      </c>
      <c r="R9" s="3652">
        <v>41195</v>
      </c>
      <c r="S9" s="3652">
        <v>3505</v>
      </c>
      <c r="T9" s="3652">
        <v>0</v>
      </c>
    </row>
    <row r="10" spans="1:20">
      <c r="A10" s="3652" t="s">
        <v>3640</v>
      </c>
      <c r="B10" s="3652" t="s">
        <v>3585</v>
      </c>
      <c r="C10" s="3652" t="s">
        <v>3641</v>
      </c>
      <c r="D10" s="3652" t="s">
        <v>3609</v>
      </c>
      <c r="E10" s="3652">
        <v>41134.06</v>
      </c>
      <c r="F10" s="3652">
        <v>123402.18</v>
      </c>
      <c r="G10" s="3652" t="s">
        <v>3623</v>
      </c>
      <c r="H10" s="3652" t="s">
        <v>3611</v>
      </c>
      <c r="I10" s="3652" t="s">
        <v>3624</v>
      </c>
      <c r="J10" s="3652" t="s">
        <v>3625</v>
      </c>
      <c r="K10" s="3655">
        <v>44350.000497685185</v>
      </c>
      <c r="L10" s="3655">
        <v>44350.000497685185</v>
      </c>
      <c r="M10" s="3652" t="s">
        <v>3614</v>
      </c>
      <c r="N10" s="3652" t="s">
        <v>3626</v>
      </c>
      <c r="O10" s="3652">
        <v>43265</v>
      </c>
      <c r="P10" s="3652">
        <v>21633</v>
      </c>
      <c r="Q10" s="3652" t="s">
        <v>3627</v>
      </c>
      <c r="R10" s="3652">
        <v>43265</v>
      </c>
      <c r="S10" s="3652">
        <v>3506</v>
      </c>
      <c r="T10" s="3652">
        <v>0</v>
      </c>
    </row>
    <row r="11" spans="1:20">
      <c r="A11" s="3652" t="s">
        <v>3642</v>
      </c>
      <c r="B11" s="3652" t="s">
        <v>3585</v>
      </c>
      <c r="C11" s="3652" t="s">
        <v>3643</v>
      </c>
      <c r="D11" s="3652" t="s">
        <v>3644</v>
      </c>
      <c r="E11" s="3652">
        <v>27635.88</v>
      </c>
      <c r="F11" s="3652">
        <v>82907.64</v>
      </c>
      <c r="G11" s="3652" t="s">
        <v>3645</v>
      </c>
      <c r="H11" s="3652" t="s">
        <v>3611</v>
      </c>
      <c r="I11" s="3652" t="s">
        <v>3624</v>
      </c>
      <c r="J11" s="3652" t="s">
        <v>3646</v>
      </c>
      <c r="K11" s="3655">
        <v>44099.000497685185</v>
      </c>
      <c r="L11" s="3655">
        <v>44099.000497685185</v>
      </c>
      <c r="M11" s="3652" t="s">
        <v>3614</v>
      </c>
      <c r="N11" s="3652" t="s">
        <v>3647</v>
      </c>
      <c r="O11" s="3652">
        <v>55114</v>
      </c>
      <c r="P11" s="3652">
        <v>55114</v>
      </c>
      <c r="Q11" s="3652" t="s">
        <v>3648</v>
      </c>
      <c r="R11" s="3652">
        <v>82714</v>
      </c>
      <c r="S11" s="3652">
        <v>9977</v>
      </c>
      <c r="T11" s="3652">
        <v>50.08</v>
      </c>
    </row>
    <row r="12" spans="1:20" s="3653" customFormat="1">
      <c r="A12" s="3653" t="s">
        <v>3649</v>
      </c>
      <c r="B12" s="3653" t="s">
        <v>3585</v>
      </c>
      <c r="C12" s="3653" t="s">
        <v>3650</v>
      </c>
      <c r="D12" s="3653" t="s">
        <v>3644</v>
      </c>
      <c r="E12" s="3653">
        <v>24029.09</v>
      </c>
      <c r="F12" s="3653">
        <v>60072.72</v>
      </c>
      <c r="G12" s="3653" t="s">
        <v>3619</v>
      </c>
      <c r="H12" s="3653" t="s">
        <v>3611</v>
      </c>
      <c r="I12" s="3653" t="s">
        <v>3624</v>
      </c>
      <c r="J12" s="3653" t="s">
        <v>3646</v>
      </c>
      <c r="K12" s="3654">
        <v>43874.000497685185</v>
      </c>
      <c r="L12" s="3654">
        <v>43874.000497685185</v>
      </c>
      <c r="M12" s="3653" t="s">
        <v>3614</v>
      </c>
      <c r="N12" s="3653" t="s">
        <v>3651</v>
      </c>
      <c r="O12" s="3653">
        <v>45198</v>
      </c>
      <c r="P12" s="3653">
        <v>45198</v>
      </c>
      <c r="Q12" s="3653" t="s">
        <v>3652</v>
      </c>
      <c r="R12" s="3653">
        <v>45198</v>
      </c>
      <c r="S12" s="3653">
        <v>7524</v>
      </c>
      <c r="T12" s="3653">
        <v>0</v>
      </c>
    </row>
    <row r="13" spans="1:20" s="3656" customFormat="1">
      <c r="A13" s="3656" t="s">
        <v>3653</v>
      </c>
      <c r="B13" s="3656" t="s">
        <v>3585</v>
      </c>
      <c r="C13" s="3656" t="s">
        <v>3654</v>
      </c>
      <c r="D13" s="3656" t="s">
        <v>3644</v>
      </c>
      <c r="E13" s="3656">
        <v>25558.46</v>
      </c>
      <c r="F13" s="3656">
        <v>63896.15</v>
      </c>
      <c r="G13" s="3656" t="s">
        <v>3619</v>
      </c>
      <c r="H13" s="3656" t="s">
        <v>3611</v>
      </c>
      <c r="I13" s="3656" t="s">
        <v>3624</v>
      </c>
      <c r="J13" s="3656" t="s">
        <v>3646</v>
      </c>
      <c r="K13" s="3657">
        <v>43874.000497685185</v>
      </c>
      <c r="L13" s="3657">
        <v>43874.000497685185</v>
      </c>
      <c r="M13" s="3656" t="s">
        <v>3614</v>
      </c>
      <c r="N13" s="3656" t="s">
        <v>3651</v>
      </c>
      <c r="O13" s="3656">
        <v>48066</v>
      </c>
      <c r="P13" s="3656">
        <v>48066</v>
      </c>
      <c r="Q13" s="3656" t="s">
        <v>3652</v>
      </c>
      <c r="R13" s="3656">
        <v>52466</v>
      </c>
      <c r="S13" s="3656">
        <v>8211</v>
      </c>
      <c r="T13" s="3656">
        <v>9.15</v>
      </c>
    </row>
    <row r="14" spans="1:20">
      <c r="A14" s="3652" t="s">
        <v>3655</v>
      </c>
      <c r="B14" s="3652" t="s">
        <v>3585</v>
      </c>
      <c r="C14" s="3652" t="s">
        <v>3656</v>
      </c>
      <c r="D14" s="3652" t="s">
        <v>3644</v>
      </c>
      <c r="E14" s="3652">
        <v>30518.35</v>
      </c>
      <c r="F14" s="3652">
        <v>91555.05</v>
      </c>
      <c r="G14" s="3652" t="s">
        <v>3623</v>
      </c>
      <c r="H14" s="3652" t="s">
        <v>3611</v>
      </c>
      <c r="I14" s="3652" t="s">
        <v>3624</v>
      </c>
      <c r="J14" s="3652" t="s">
        <v>3646</v>
      </c>
      <c r="K14" s="3655">
        <v>43838.000497685185</v>
      </c>
      <c r="L14" s="3655">
        <v>43838.000497685185</v>
      </c>
      <c r="M14" s="3652" t="s">
        <v>3614</v>
      </c>
      <c r="N14" s="3652" t="s">
        <v>3647</v>
      </c>
      <c r="O14" s="3652">
        <v>59703</v>
      </c>
      <c r="P14" s="3652">
        <v>59703</v>
      </c>
      <c r="Q14" s="3652" t="s">
        <v>3657</v>
      </c>
      <c r="R14" s="3652">
        <v>89703</v>
      </c>
      <c r="S14" s="3652">
        <v>9798</v>
      </c>
      <c r="T14" s="3652">
        <v>50.25</v>
      </c>
    </row>
    <row r="15" spans="1:20">
      <c r="A15" s="3652" t="s">
        <v>3658</v>
      </c>
      <c r="B15" s="3652" t="s">
        <v>3585</v>
      </c>
      <c r="C15" s="3652" t="s">
        <v>3659</v>
      </c>
      <c r="D15" s="3652" t="s">
        <v>3644</v>
      </c>
      <c r="E15" s="3652">
        <v>56105.82</v>
      </c>
      <c r="F15" s="3652">
        <v>168317.46</v>
      </c>
      <c r="G15" s="3652" t="s">
        <v>3623</v>
      </c>
      <c r="H15" s="3652" t="s">
        <v>3611</v>
      </c>
      <c r="I15" s="3652" t="s">
        <v>3624</v>
      </c>
      <c r="J15" s="3652" t="s">
        <v>3646</v>
      </c>
      <c r="K15" s="3655">
        <v>43838.000497685185</v>
      </c>
      <c r="L15" s="3655">
        <v>43838.000497685185</v>
      </c>
      <c r="M15" s="3652" t="s">
        <v>3614</v>
      </c>
      <c r="N15" s="3652" t="s">
        <v>3660</v>
      </c>
      <c r="O15" s="3652">
        <v>109667</v>
      </c>
      <c r="P15" s="3652">
        <v>109667</v>
      </c>
      <c r="Q15" s="3652" t="s">
        <v>3657</v>
      </c>
      <c r="R15" s="3652">
        <v>164667</v>
      </c>
      <c r="S15" s="3652">
        <v>9783</v>
      </c>
      <c r="T15" s="3652">
        <v>50.15</v>
      </c>
    </row>
    <row r="16" spans="1:20">
      <c r="A16" s="3652" t="s">
        <v>3661</v>
      </c>
      <c r="B16" s="3652" t="s">
        <v>3585</v>
      </c>
      <c r="C16" s="3652" t="s">
        <v>3662</v>
      </c>
      <c r="D16" s="3652" t="s">
        <v>3644</v>
      </c>
      <c r="E16" s="3652">
        <v>43977.33</v>
      </c>
      <c r="F16" s="3652">
        <v>131931.99</v>
      </c>
      <c r="G16" s="3652" t="s">
        <v>3623</v>
      </c>
      <c r="H16" s="3652" t="s">
        <v>3611</v>
      </c>
      <c r="I16" s="3652" t="s">
        <v>3624</v>
      </c>
      <c r="J16" s="3652" t="s">
        <v>3646</v>
      </c>
      <c r="K16" s="3655">
        <v>43838.000497685185</v>
      </c>
      <c r="L16" s="3655">
        <v>43838.000497685185</v>
      </c>
      <c r="M16" s="3652" t="s">
        <v>3614</v>
      </c>
      <c r="N16" s="3652" t="s">
        <v>3647</v>
      </c>
      <c r="O16" s="3652">
        <v>85972</v>
      </c>
      <c r="P16" s="3652">
        <v>85972</v>
      </c>
      <c r="Q16" s="3652" t="s">
        <v>3657</v>
      </c>
      <c r="R16" s="3652">
        <v>128972</v>
      </c>
      <c r="S16" s="3652">
        <v>9776</v>
      </c>
      <c r="T16" s="3652">
        <v>50.02</v>
      </c>
    </row>
    <row r="17" spans="1:20">
      <c r="A17" s="3652" t="s">
        <v>3663</v>
      </c>
      <c r="B17" s="3652" t="s">
        <v>3585</v>
      </c>
      <c r="C17" s="3652" t="s">
        <v>3664</v>
      </c>
      <c r="D17" s="3652" t="s">
        <v>3644</v>
      </c>
      <c r="E17" s="3652">
        <v>69466.740000000005</v>
      </c>
      <c r="F17" s="3652">
        <v>173666.85</v>
      </c>
      <c r="G17" s="3652" t="s">
        <v>3619</v>
      </c>
      <c r="H17" s="3652" t="s">
        <v>3611</v>
      </c>
      <c r="I17" s="3652" t="s">
        <v>3624</v>
      </c>
      <c r="J17" s="3652" t="s">
        <v>3646</v>
      </c>
      <c r="K17" s="3655">
        <v>43817.000497685185</v>
      </c>
      <c r="L17" s="3655">
        <v>43817.000497685185</v>
      </c>
      <c r="M17" s="3652" t="s">
        <v>3614</v>
      </c>
      <c r="N17" s="3652" t="s">
        <v>3665</v>
      </c>
      <c r="O17" s="3652">
        <v>69933</v>
      </c>
      <c r="P17" s="3652">
        <v>69933</v>
      </c>
      <c r="Q17" s="3652" t="s">
        <v>3666</v>
      </c>
      <c r="R17" s="3652">
        <v>69933</v>
      </c>
      <c r="S17" s="3652">
        <v>4027</v>
      </c>
      <c r="T17" s="3652">
        <v>0</v>
      </c>
    </row>
    <row r="18" spans="1:20">
      <c r="A18" s="3652" t="s">
        <v>3667</v>
      </c>
      <c r="B18" s="3652" t="s">
        <v>3585</v>
      </c>
      <c r="C18" s="3652" t="s">
        <v>3668</v>
      </c>
      <c r="D18" s="3652" t="s">
        <v>3644</v>
      </c>
      <c r="E18" s="3652">
        <v>69851.66</v>
      </c>
      <c r="F18" s="3652">
        <v>174629.15</v>
      </c>
      <c r="G18" s="3652" t="s">
        <v>3619</v>
      </c>
      <c r="H18" s="3652" t="s">
        <v>3611</v>
      </c>
      <c r="I18" s="3652" t="s">
        <v>3624</v>
      </c>
      <c r="J18" s="3652" t="s">
        <v>3646</v>
      </c>
      <c r="K18" s="3655">
        <v>43817.000497685185</v>
      </c>
      <c r="L18" s="3655">
        <v>43817.000497685185</v>
      </c>
      <c r="M18" s="3652" t="s">
        <v>3614</v>
      </c>
      <c r="N18" s="3652" t="s">
        <v>3665</v>
      </c>
      <c r="O18" s="3652">
        <v>70299</v>
      </c>
      <c r="P18" s="3652">
        <v>70299</v>
      </c>
      <c r="Q18" s="3652" t="s">
        <v>3666</v>
      </c>
      <c r="R18" s="3652">
        <v>70299</v>
      </c>
      <c r="S18" s="3652">
        <v>4026</v>
      </c>
      <c r="T18" s="3652">
        <v>0</v>
      </c>
    </row>
    <row r="19" spans="1:20" s="3658" customFormat="1">
      <c r="A19" s="3658" t="s">
        <v>3669</v>
      </c>
      <c r="B19" s="3658" t="s">
        <v>3585</v>
      </c>
      <c r="C19" s="3658" t="s">
        <v>3670</v>
      </c>
      <c r="D19" s="3658" t="s">
        <v>3644</v>
      </c>
      <c r="E19" s="3658">
        <v>77167.61</v>
      </c>
      <c r="F19" s="3658">
        <v>192919.03</v>
      </c>
      <c r="G19" s="3658" t="s">
        <v>3671</v>
      </c>
      <c r="H19" s="3658" t="s">
        <v>3672</v>
      </c>
      <c r="I19" s="3658" t="s">
        <v>3624</v>
      </c>
      <c r="J19" s="3658" t="s">
        <v>3646</v>
      </c>
      <c r="K19" s="3659">
        <v>43811.000497685185</v>
      </c>
      <c r="L19" s="3659">
        <v>43811.000497685185</v>
      </c>
      <c r="M19" s="3658" t="s">
        <v>3614</v>
      </c>
      <c r="N19" s="3658" t="s">
        <v>3673</v>
      </c>
      <c r="O19" s="3658">
        <v>143004</v>
      </c>
      <c r="P19" s="3658">
        <v>143004</v>
      </c>
      <c r="Q19" s="3658" t="s">
        <v>3674</v>
      </c>
      <c r="R19" s="3658">
        <v>147604</v>
      </c>
      <c r="S19" s="3658">
        <v>7651</v>
      </c>
      <c r="T19" s="3658">
        <v>3.22</v>
      </c>
    </row>
    <row r="20" spans="1:20">
      <c r="A20" s="3652" t="s">
        <v>3675</v>
      </c>
      <c r="B20" s="3652" t="s">
        <v>3585</v>
      </c>
      <c r="C20" s="3652" t="s">
        <v>3676</v>
      </c>
      <c r="D20" s="3652" t="s">
        <v>3644</v>
      </c>
      <c r="E20" s="3652">
        <v>23871.11</v>
      </c>
      <c r="F20" s="3652">
        <v>83548.89</v>
      </c>
      <c r="G20" s="3652" t="s">
        <v>3637</v>
      </c>
      <c r="H20" s="3652" t="s">
        <v>3611</v>
      </c>
      <c r="I20" s="3652" t="s">
        <v>3624</v>
      </c>
      <c r="J20" s="3652" t="s">
        <v>3646</v>
      </c>
      <c r="K20" s="3655">
        <v>43782.000497685185</v>
      </c>
      <c r="L20" s="3655">
        <v>43782.000497685185</v>
      </c>
      <c r="M20" s="3652" t="s">
        <v>3614</v>
      </c>
      <c r="N20" s="3652" t="s">
        <v>3677</v>
      </c>
      <c r="O20" s="3652">
        <v>30456</v>
      </c>
      <c r="P20" s="3652">
        <v>30456</v>
      </c>
      <c r="Q20" s="3652" t="s">
        <v>3678</v>
      </c>
      <c r="R20" s="3652">
        <v>35856</v>
      </c>
      <c r="S20" s="3652">
        <v>4292</v>
      </c>
      <c r="T20" s="3652">
        <v>17.73</v>
      </c>
    </row>
    <row r="21" spans="1:20">
      <c r="A21" s="3652" t="s">
        <v>3679</v>
      </c>
      <c r="B21" s="3652" t="s">
        <v>3585</v>
      </c>
      <c r="C21" s="3652" t="s">
        <v>3680</v>
      </c>
      <c r="D21" s="3652" t="s">
        <v>3644</v>
      </c>
      <c r="E21" s="3652">
        <v>48153.32</v>
      </c>
      <c r="F21" s="3652">
        <v>168536.62</v>
      </c>
      <c r="G21" s="3652" t="s">
        <v>3637</v>
      </c>
      <c r="H21" s="3652" t="s">
        <v>3611</v>
      </c>
      <c r="I21" s="3652" t="s">
        <v>3624</v>
      </c>
      <c r="J21" s="3652" t="s">
        <v>3646</v>
      </c>
      <c r="K21" s="3655">
        <v>43782.000497685185</v>
      </c>
      <c r="L21" s="3655">
        <v>43782.000497685185</v>
      </c>
      <c r="M21" s="3652" t="s">
        <v>3614</v>
      </c>
      <c r="N21" s="3652" t="s">
        <v>3681</v>
      </c>
      <c r="O21" s="3652">
        <v>61494</v>
      </c>
      <c r="P21" s="3652">
        <v>61494</v>
      </c>
      <c r="Q21" s="3652" t="s">
        <v>3678</v>
      </c>
      <c r="R21" s="3652">
        <v>63094</v>
      </c>
      <c r="S21" s="3652">
        <v>3744</v>
      </c>
      <c r="T21" s="3652">
        <v>2.6</v>
      </c>
    </row>
    <row r="22" spans="1:20">
      <c r="A22" s="3652" t="s">
        <v>3682</v>
      </c>
      <c r="B22" s="3652" t="s">
        <v>3585</v>
      </c>
      <c r="C22" s="3652" t="s">
        <v>3683</v>
      </c>
      <c r="D22" s="3652" t="s">
        <v>3644</v>
      </c>
      <c r="E22" s="3652">
        <v>51156.03</v>
      </c>
      <c r="F22" s="3652">
        <v>127890.08</v>
      </c>
      <c r="G22" s="3652" t="s">
        <v>3619</v>
      </c>
      <c r="H22" s="3652" t="s">
        <v>3611</v>
      </c>
      <c r="I22" s="3652" t="s">
        <v>3624</v>
      </c>
      <c r="J22" s="3652" t="s">
        <v>3646</v>
      </c>
      <c r="K22" s="3655">
        <v>43769.000497685185</v>
      </c>
      <c r="L22" s="3655">
        <v>43769.000497685185</v>
      </c>
      <c r="M22" s="3652" t="s">
        <v>3614</v>
      </c>
      <c r="N22" s="3652" t="s">
        <v>3665</v>
      </c>
      <c r="O22" s="3652">
        <v>59124</v>
      </c>
      <c r="P22" s="3652">
        <v>59124</v>
      </c>
      <c r="Q22" s="3652" t="s">
        <v>3684</v>
      </c>
      <c r="R22" s="3652">
        <v>59124</v>
      </c>
      <c r="S22" s="3652">
        <v>4623</v>
      </c>
      <c r="T22" s="3652">
        <v>0</v>
      </c>
    </row>
    <row r="23" spans="1:20">
      <c r="A23" s="3652" t="s">
        <v>3685</v>
      </c>
      <c r="B23" s="3652" t="s">
        <v>3585</v>
      </c>
      <c r="C23" s="3652" t="s">
        <v>3686</v>
      </c>
      <c r="D23" s="3652" t="s">
        <v>3644</v>
      </c>
      <c r="E23" s="3652">
        <v>43595.11</v>
      </c>
      <c r="F23" s="3652">
        <v>152582.9</v>
      </c>
      <c r="G23" s="3652" t="s">
        <v>3637</v>
      </c>
      <c r="H23" s="3652" t="s">
        <v>3611</v>
      </c>
      <c r="I23" s="3652" t="s">
        <v>3624</v>
      </c>
      <c r="J23" s="3652" t="s">
        <v>3646</v>
      </c>
      <c r="K23" s="3655">
        <v>43682.000497685185</v>
      </c>
      <c r="L23" s="3655">
        <v>43682.000497685185</v>
      </c>
      <c r="M23" s="3652" t="s">
        <v>3614</v>
      </c>
      <c r="N23" s="3652" t="s">
        <v>3687</v>
      </c>
      <c r="O23" s="3652">
        <v>54902</v>
      </c>
      <c r="P23" s="3652">
        <v>54902</v>
      </c>
      <c r="Q23" s="3652" t="s">
        <v>633</v>
      </c>
      <c r="R23" s="3652">
        <v>70302</v>
      </c>
      <c r="S23" s="3652">
        <v>4607</v>
      </c>
      <c r="T23" s="3652">
        <v>28.05</v>
      </c>
    </row>
    <row r="24" spans="1:20">
      <c r="A24" s="3652" t="s">
        <v>3688</v>
      </c>
      <c r="B24" s="3652" t="s">
        <v>3585</v>
      </c>
      <c r="C24" s="3652" t="s">
        <v>3689</v>
      </c>
      <c r="D24" s="3652" t="s">
        <v>3644</v>
      </c>
      <c r="E24" s="3652">
        <v>33356.58</v>
      </c>
      <c r="F24" s="3652">
        <v>116748</v>
      </c>
      <c r="G24" s="3652" t="s">
        <v>3637</v>
      </c>
      <c r="H24" s="3652" t="s">
        <v>3611</v>
      </c>
      <c r="I24" s="3652" t="s">
        <v>3624</v>
      </c>
      <c r="J24" s="3652" t="s">
        <v>3646</v>
      </c>
      <c r="K24" s="3655">
        <v>43682.000497685185</v>
      </c>
      <c r="L24" s="3655">
        <v>43682.000497685185</v>
      </c>
      <c r="M24" s="3652" t="s">
        <v>3614</v>
      </c>
      <c r="N24" s="3652" t="s">
        <v>3690</v>
      </c>
      <c r="O24" s="3652">
        <v>42107</v>
      </c>
      <c r="P24" s="3652">
        <v>42107</v>
      </c>
      <c r="Q24" s="3652" t="s">
        <v>633</v>
      </c>
      <c r="R24" s="3652">
        <v>49907</v>
      </c>
      <c r="S24" s="3652">
        <v>4275</v>
      </c>
      <c r="T24" s="3652">
        <v>18.52</v>
      </c>
    </row>
    <row r="25" spans="1:20">
      <c r="A25" s="3652" t="s">
        <v>3682</v>
      </c>
      <c r="B25" s="3652" t="s">
        <v>3585</v>
      </c>
      <c r="C25" s="3652" t="s">
        <v>3691</v>
      </c>
      <c r="D25" s="3652" t="s">
        <v>3644</v>
      </c>
      <c r="E25" s="3652">
        <v>33058.54</v>
      </c>
      <c r="F25" s="3652">
        <v>82646.350000000006</v>
      </c>
      <c r="G25" s="3652" t="s">
        <v>3619</v>
      </c>
      <c r="H25" s="3652" t="s">
        <v>3611</v>
      </c>
      <c r="I25" s="3652" t="s">
        <v>3624</v>
      </c>
      <c r="J25" s="3652" t="s">
        <v>3646</v>
      </c>
      <c r="K25" s="3655">
        <v>43682.000497685185</v>
      </c>
      <c r="L25" s="3655">
        <v>43682.000497685185</v>
      </c>
      <c r="M25" s="3652" t="s">
        <v>3614</v>
      </c>
      <c r="N25" s="3652" t="s">
        <v>3647</v>
      </c>
      <c r="O25" s="3652">
        <v>38268</v>
      </c>
      <c r="P25" s="3652">
        <v>38268</v>
      </c>
      <c r="Q25" s="3652" t="s">
        <v>633</v>
      </c>
      <c r="R25" s="3652">
        <v>40868</v>
      </c>
      <c r="S25" s="3652">
        <v>4945</v>
      </c>
      <c r="T25" s="3652">
        <v>6.79</v>
      </c>
    </row>
    <row r="26" spans="1:20">
      <c r="A26" s="3652" t="s">
        <v>3692</v>
      </c>
      <c r="B26" s="3652" t="s">
        <v>3585</v>
      </c>
      <c r="C26" s="3652" t="s">
        <v>3693</v>
      </c>
      <c r="D26" s="3652" t="s">
        <v>3644</v>
      </c>
      <c r="E26" s="3652">
        <v>80811.149999999994</v>
      </c>
      <c r="F26" s="3652">
        <v>161622.29999999999</v>
      </c>
      <c r="G26" s="3652" t="s">
        <v>3694</v>
      </c>
      <c r="H26" s="3652" t="s">
        <v>3611</v>
      </c>
      <c r="I26" s="3652" t="s">
        <v>3695</v>
      </c>
      <c r="J26" s="3652" t="s">
        <v>3646</v>
      </c>
      <c r="K26" s="3655">
        <v>43474.000497685185</v>
      </c>
      <c r="L26" s="3655">
        <v>43474.000497685185</v>
      </c>
      <c r="M26" s="3652" t="s">
        <v>3614</v>
      </c>
      <c r="N26" s="3652" t="s">
        <v>3696</v>
      </c>
      <c r="O26" s="3652">
        <v>141898</v>
      </c>
      <c r="P26" s="3652">
        <v>141898</v>
      </c>
      <c r="Q26" s="3652" t="s">
        <v>633</v>
      </c>
      <c r="R26" s="3652">
        <v>142298</v>
      </c>
      <c r="S26" s="3652">
        <v>8804</v>
      </c>
      <c r="T26" s="3652">
        <v>0.28000000000000003</v>
      </c>
    </row>
    <row r="27" spans="1:20">
      <c r="A27" s="3652" t="s">
        <v>3697</v>
      </c>
      <c r="B27" s="3652" t="s">
        <v>3585</v>
      </c>
      <c r="C27" s="3652" t="s">
        <v>3698</v>
      </c>
      <c r="D27" s="3652" t="s">
        <v>3644</v>
      </c>
      <c r="E27" s="3652">
        <v>62272.9</v>
      </c>
      <c r="F27" s="3652">
        <v>155682.29999999999</v>
      </c>
      <c r="G27" s="3652" t="s">
        <v>3699</v>
      </c>
      <c r="H27" s="3652" t="s">
        <v>3611</v>
      </c>
      <c r="I27" s="3652" t="s">
        <v>3700</v>
      </c>
      <c r="J27" s="3652" t="s">
        <v>3646</v>
      </c>
      <c r="K27" s="3655">
        <v>43474.000497685185</v>
      </c>
      <c r="L27" s="3655">
        <v>43474.000497685185</v>
      </c>
      <c r="M27" s="3652" t="s">
        <v>3614</v>
      </c>
      <c r="N27" s="3652" t="s">
        <v>3701</v>
      </c>
      <c r="O27" s="3652">
        <v>112027</v>
      </c>
      <c r="P27" s="3652">
        <v>112027</v>
      </c>
      <c r="Q27" s="3652" t="s">
        <v>633</v>
      </c>
      <c r="R27" s="3652">
        <v>132627</v>
      </c>
      <c r="S27" s="3652">
        <v>8519</v>
      </c>
      <c r="T27" s="3652">
        <v>18.39</v>
      </c>
    </row>
    <row r="28" spans="1:20">
      <c r="A28" s="3652" t="s">
        <v>3702</v>
      </c>
      <c r="B28" s="3652" t="s">
        <v>3585</v>
      </c>
      <c r="C28" s="3652" t="s">
        <v>3703</v>
      </c>
      <c r="D28" s="3652" t="s">
        <v>3644</v>
      </c>
      <c r="E28" s="3652">
        <v>43056.160000000003</v>
      </c>
      <c r="F28" s="3652">
        <v>107640.4</v>
      </c>
      <c r="G28" s="3652" t="s">
        <v>3704</v>
      </c>
      <c r="H28" s="3652" t="s">
        <v>3611</v>
      </c>
      <c r="I28" s="3652" t="s">
        <v>3705</v>
      </c>
      <c r="J28" s="3652" t="s">
        <v>3646</v>
      </c>
      <c r="K28" s="3655">
        <v>43245.000497685185</v>
      </c>
      <c r="L28" s="3655">
        <v>43245.000497685185</v>
      </c>
      <c r="M28" s="3652" t="s">
        <v>3614</v>
      </c>
      <c r="N28" s="3652" t="s">
        <v>3706</v>
      </c>
      <c r="O28" s="3652">
        <v>77600</v>
      </c>
      <c r="P28" s="3652">
        <v>77600</v>
      </c>
      <c r="Q28" s="3652" t="s">
        <v>633</v>
      </c>
      <c r="R28" s="3652">
        <v>116400</v>
      </c>
      <c r="S28" s="3652">
        <v>10814</v>
      </c>
      <c r="T28" s="3652">
        <v>50</v>
      </c>
    </row>
    <row r="29" spans="1:20">
      <c r="A29" s="3652" t="s">
        <v>3707</v>
      </c>
      <c r="B29" s="3652" t="s">
        <v>3585</v>
      </c>
      <c r="C29" s="3652" t="s">
        <v>3708</v>
      </c>
      <c r="D29" s="3652" t="s">
        <v>3609</v>
      </c>
      <c r="E29" s="3652">
        <v>59928.72</v>
      </c>
      <c r="F29" s="3652">
        <v>149821.79999999999</v>
      </c>
      <c r="G29" s="3652" t="s">
        <v>3704</v>
      </c>
      <c r="H29" s="3652" t="s">
        <v>3611</v>
      </c>
      <c r="I29" s="3652" t="s">
        <v>3709</v>
      </c>
      <c r="J29" s="3652" t="s">
        <v>3646</v>
      </c>
      <c r="K29" s="3655">
        <v>43215.000497685185</v>
      </c>
      <c r="L29" s="3655">
        <v>43215.000497685185</v>
      </c>
      <c r="M29" s="3652" t="s">
        <v>3614</v>
      </c>
      <c r="N29" s="3652" t="s">
        <v>3710</v>
      </c>
      <c r="O29" s="3652">
        <v>108000</v>
      </c>
      <c r="P29" s="3652">
        <v>108000</v>
      </c>
      <c r="Q29" s="3652" t="s">
        <v>633</v>
      </c>
      <c r="R29" s="3652">
        <v>162000</v>
      </c>
      <c r="S29" s="3652">
        <v>10813</v>
      </c>
      <c r="T29" s="3652">
        <v>50</v>
      </c>
    </row>
    <row r="30" spans="1:20">
      <c r="A30" s="3652" t="s">
        <v>3711</v>
      </c>
      <c r="B30" s="3652" t="s">
        <v>3585</v>
      </c>
      <c r="C30" s="3652" t="s">
        <v>3712</v>
      </c>
      <c r="D30" s="3652" t="s">
        <v>3609</v>
      </c>
      <c r="E30" s="3652">
        <v>88578.26</v>
      </c>
      <c r="F30" s="3652">
        <v>221445.7</v>
      </c>
      <c r="G30" s="3652" t="s">
        <v>3704</v>
      </c>
      <c r="H30" s="3652" t="s">
        <v>3611</v>
      </c>
      <c r="I30" s="3652" t="s">
        <v>3709</v>
      </c>
      <c r="J30" s="3652" t="s">
        <v>3646</v>
      </c>
      <c r="K30" s="3655">
        <v>43215.000497685185</v>
      </c>
      <c r="L30" s="3655">
        <v>43215.000497685185</v>
      </c>
      <c r="M30" s="3652" t="s">
        <v>3614</v>
      </c>
      <c r="N30" s="3652" t="s">
        <v>3713</v>
      </c>
      <c r="O30" s="3652">
        <v>159500</v>
      </c>
      <c r="P30" s="3652">
        <v>159500</v>
      </c>
      <c r="Q30" s="3652" t="s">
        <v>633</v>
      </c>
      <c r="R30" s="3652">
        <v>239500</v>
      </c>
      <c r="S30" s="3652">
        <v>10815</v>
      </c>
      <c r="T30" s="3652">
        <v>50.16</v>
      </c>
    </row>
    <row r="31" spans="1:20">
      <c r="A31" s="3652" t="s">
        <v>3714</v>
      </c>
      <c r="B31" s="3652" t="s">
        <v>3585</v>
      </c>
      <c r="C31" s="3652" t="s">
        <v>3715</v>
      </c>
      <c r="D31" s="3652" t="s">
        <v>3644</v>
      </c>
      <c r="E31" s="3652">
        <v>50920.98</v>
      </c>
      <c r="F31" s="3652">
        <v>203683.9</v>
      </c>
      <c r="G31" s="3652" t="s">
        <v>3716</v>
      </c>
      <c r="H31" s="3652" t="s">
        <v>3611</v>
      </c>
      <c r="I31" s="3652" t="s">
        <v>3717</v>
      </c>
      <c r="J31" s="3652" t="s">
        <v>3646</v>
      </c>
      <c r="K31" s="3655">
        <v>43122.000497685185</v>
      </c>
      <c r="L31" s="3655">
        <v>43122.000497685185</v>
      </c>
      <c r="M31" s="3652" t="s">
        <v>3614</v>
      </c>
      <c r="N31" s="3652" t="s">
        <v>3718</v>
      </c>
      <c r="O31" s="3652">
        <v>76400</v>
      </c>
      <c r="P31" s="3652">
        <v>76400</v>
      </c>
      <c r="Q31" s="3652" t="s">
        <v>633</v>
      </c>
      <c r="R31" s="3652">
        <v>114600</v>
      </c>
      <c r="S31" s="3652">
        <v>5626</v>
      </c>
      <c r="T31" s="3652">
        <v>50</v>
      </c>
    </row>
    <row r="32" spans="1:20">
      <c r="A32" s="3652" t="s">
        <v>3719</v>
      </c>
      <c r="B32" s="3652" t="s">
        <v>3585</v>
      </c>
      <c r="C32" s="3652" t="s">
        <v>3720</v>
      </c>
      <c r="D32" s="3652" t="s">
        <v>3609</v>
      </c>
      <c r="E32" s="3652">
        <v>35701.56</v>
      </c>
      <c r="F32" s="3652">
        <v>107104.7</v>
      </c>
      <c r="G32" s="3652" t="s">
        <v>3721</v>
      </c>
      <c r="H32" s="3652" t="s">
        <v>3611</v>
      </c>
      <c r="I32" s="3652" t="s">
        <v>3709</v>
      </c>
      <c r="J32" s="3652" t="s">
        <v>3646</v>
      </c>
      <c r="K32" s="3655">
        <v>43077.000497685185</v>
      </c>
      <c r="L32" s="3655">
        <v>43077.000497685185</v>
      </c>
      <c r="M32" s="3652" t="s">
        <v>3614</v>
      </c>
      <c r="N32" s="3652" t="s">
        <v>3722</v>
      </c>
      <c r="O32" s="3652">
        <v>64300</v>
      </c>
      <c r="P32" s="3652">
        <v>64300</v>
      </c>
      <c r="Q32" s="3652" t="s">
        <v>633</v>
      </c>
      <c r="R32" s="3652">
        <v>96500</v>
      </c>
      <c r="S32" s="3652">
        <v>9010</v>
      </c>
      <c r="T32" s="3652">
        <v>50.08</v>
      </c>
    </row>
    <row r="33" spans="1:20">
      <c r="A33" s="3652" t="s">
        <v>3723</v>
      </c>
      <c r="B33" s="3652" t="s">
        <v>3585</v>
      </c>
      <c r="C33" s="3652" t="s">
        <v>3724</v>
      </c>
      <c r="D33" s="3652" t="s">
        <v>3609</v>
      </c>
      <c r="E33" s="3652">
        <v>39702.47</v>
      </c>
      <c r="F33" s="3652">
        <v>99256.18</v>
      </c>
      <c r="G33" s="3652" t="s">
        <v>3704</v>
      </c>
      <c r="H33" s="3652" t="s">
        <v>3611</v>
      </c>
      <c r="I33" s="3652" t="s">
        <v>3709</v>
      </c>
      <c r="J33" s="3652" t="s">
        <v>3646</v>
      </c>
      <c r="K33" s="3655">
        <v>42984.000497685185</v>
      </c>
      <c r="L33" s="3655">
        <v>42984.000497685185</v>
      </c>
      <c r="M33" s="3652" t="s">
        <v>3614</v>
      </c>
      <c r="N33" s="3652" t="s">
        <v>3725</v>
      </c>
      <c r="O33" s="3652">
        <v>65600</v>
      </c>
      <c r="P33" s="3652">
        <v>65600</v>
      </c>
      <c r="Q33" s="3652" t="s">
        <v>633</v>
      </c>
      <c r="R33" s="3652">
        <v>98400</v>
      </c>
      <c r="S33" s="3652">
        <v>9914</v>
      </c>
      <c r="T33" s="3652">
        <v>50</v>
      </c>
    </row>
    <row r="34" spans="1:20">
      <c r="A34" s="3652" t="s">
        <v>3726</v>
      </c>
      <c r="B34" s="3652" t="s">
        <v>3585</v>
      </c>
      <c r="C34" s="3652" t="s">
        <v>3727</v>
      </c>
      <c r="D34" s="3652" t="s">
        <v>3609</v>
      </c>
      <c r="E34" s="3652">
        <v>51791.99</v>
      </c>
      <c r="F34" s="3652">
        <v>207168</v>
      </c>
      <c r="G34" s="3652" t="s">
        <v>3721</v>
      </c>
      <c r="H34" s="3652" t="s">
        <v>3611</v>
      </c>
      <c r="I34" s="3652" t="s">
        <v>3709</v>
      </c>
      <c r="J34" s="3652" t="s">
        <v>3646</v>
      </c>
      <c r="K34" s="3655">
        <v>42983.000497685185</v>
      </c>
      <c r="L34" s="3655">
        <v>42983.000497685185</v>
      </c>
      <c r="M34" s="3652" t="s">
        <v>3614</v>
      </c>
      <c r="N34" s="3652" t="s">
        <v>3728</v>
      </c>
      <c r="O34" s="3652">
        <v>93300</v>
      </c>
      <c r="P34" s="3652">
        <v>93300</v>
      </c>
      <c r="Q34" s="3652" t="s">
        <v>633</v>
      </c>
      <c r="R34" s="3652">
        <v>140100</v>
      </c>
      <c r="S34" s="3652">
        <v>6763</v>
      </c>
      <c r="T34" s="3652">
        <v>50.16</v>
      </c>
    </row>
    <row r="35" spans="1:20">
      <c r="A35" s="3652" t="s">
        <v>3729</v>
      </c>
      <c r="B35" s="3652" t="s">
        <v>3585</v>
      </c>
      <c r="C35" s="3652" t="s">
        <v>3730</v>
      </c>
      <c r="D35" s="3652" t="s">
        <v>3609</v>
      </c>
      <c r="E35" s="3652">
        <v>71180.81</v>
      </c>
      <c r="F35" s="3652">
        <v>213542.39999999999</v>
      </c>
      <c r="G35" s="3652" t="s">
        <v>3721</v>
      </c>
      <c r="H35" s="3652" t="s">
        <v>3611</v>
      </c>
      <c r="I35" s="3652" t="s">
        <v>3709</v>
      </c>
      <c r="J35" s="3652" t="s">
        <v>3646</v>
      </c>
      <c r="K35" s="3655">
        <v>42982.000497685185</v>
      </c>
      <c r="L35" s="3655">
        <v>42982.000497685185</v>
      </c>
      <c r="M35" s="3652" t="s">
        <v>3614</v>
      </c>
      <c r="N35" s="3652" t="s">
        <v>3731</v>
      </c>
      <c r="O35" s="3652">
        <v>128200</v>
      </c>
      <c r="P35" s="3652">
        <v>128200</v>
      </c>
      <c r="Q35" s="3652" t="s">
        <v>633</v>
      </c>
      <c r="R35" s="3652">
        <v>192400</v>
      </c>
      <c r="S35" s="3652">
        <v>9010</v>
      </c>
      <c r="T35" s="3652">
        <v>50.08</v>
      </c>
    </row>
    <row r="36" spans="1:20">
      <c r="A36" s="3652" t="s">
        <v>3732</v>
      </c>
      <c r="B36" s="3652" t="s">
        <v>3585</v>
      </c>
      <c r="C36" s="3652" t="s">
        <v>3733</v>
      </c>
      <c r="D36" s="3652" t="s">
        <v>3609</v>
      </c>
      <c r="E36" s="3652">
        <v>60373.71</v>
      </c>
      <c r="F36" s="3652">
        <v>150934.29999999999</v>
      </c>
      <c r="G36" s="3652" t="s">
        <v>3704</v>
      </c>
      <c r="H36" s="3652" t="s">
        <v>3611</v>
      </c>
      <c r="I36" s="3652" t="s">
        <v>3734</v>
      </c>
      <c r="J36" s="3652" t="s">
        <v>3646</v>
      </c>
      <c r="K36" s="3655">
        <v>42922.000497685185</v>
      </c>
      <c r="L36" s="3655">
        <v>42922.000497685185</v>
      </c>
      <c r="M36" s="3652" t="s">
        <v>3614</v>
      </c>
      <c r="N36" s="3652" t="s">
        <v>3735</v>
      </c>
      <c r="O36" s="3652">
        <v>72500</v>
      </c>
      <c r="P36" s="3652">
        <v>72500</v>
      </c>
      <c r="Q36" s="3652" t="s">
        <v>633</v>
      </c>
      <c r="R36" s="3652">
        <v>108900</v>
      </c>
      <c r="S36" s="3652">
        <v>7215</v>
      </c>
      <c r="T36" s="3652">
        <v>50.21</v>
      </c>
    </row>
    <row r="37" spans="1:20">
      <c r="A37" s="3652" t="s">
        <v>3736</v>
      </c>
      <c r="B37" s="3652" t="s">
        <v>3585</v>
      </c>
      <c r="C37" s="3652" t="s">
        <v>3737</v>
      </c>
      <c r="D37" s="3652" t="s">
        <v>3609</v>
      </c>
      <c r="E37" s="3652">
        <v>45532.69</v>
      </c>
      <c r="F37" s="3652">
        <v>159364.4</v>
      </c>
      <c r="G37" s="3652" t="s">
        <v>3738</v>
      </c>
      <c r="H37" s="3652" t="s">
        <v>3611</v>
      </c>
      <c r="I37" s="3652" t="s">
        <v>3734</v>
      </c>
      <c r="J37" s="3652" t="s">
        <v>3646</v>
      </c>
      <c r="K37" s="3655">
        <v>42922.000497685185</v>
      </c>
      <c r="L37" s="3655">
        <v>42922.000497685185</v>
      </c>
      <c r="M37" s="3652" t="s">
        <v>3614</v>
      </c>
      <c r="N37" s="3652" t="s">
        <v>3739</v>
      </c>
      <c r="O37" s="3652">
        <v>54700</v>
      </c>
      <c r="P37" s="3652">
        <v>54700</v>
      </c>
      <c r="Q37" s="3652" t="s">
        <v>633</v>
      </c>
      <c r="R37" s="3652">
        <v>82100</v>
      </c>
      <c r="S37" s="3652">
        <v>5152</v>
      </c>
      <c r="T37" s="3652">
        <v>50.09</v>
      </c>
    </row>
    <row r="38" spans="1:20">
      <c r="A38" s="3652" t="s">
        <v>3740</v>
      </c>
      <c r="B38" s="3652" t="s">
        <v>3585</v>
      </c>
      <c r="C38" s="3652" t="s">
        <v>3741</v>
      </c>
      <c r="D38" s="3652" t="s">
        <v>3609</v>
      </c>
      <c r="E38" s="3652">
        <v>35688.89</v>
      </c>
      <c r="F38" s="3652">
        <v>124911.1</v>
      </c>
      <c r="G38" s="3652" t="s">
        <v>3738</v>
      </c>
      <c r="H38" s="3652" t="s">
        <v>3611</v>
      </c>
      <c r="I38" s="3652" t="s">
        <v>3734</v>
      </c>
      <c r="J38" s="3652" t="s">
        <v>3646</v>
      </c>
      <c r="K38" s="3655">
        <v>42922.000497685185</v>
      </c>
      <c r="L38" s="3655">
        <v>42922.000497685185</v>
      </c>
      <c r="M38" s="3652" t="s">
        <v>3614</v>
      </c>
      <c r="N38" s="3652" t="s">
        <v>3742</v>
      </c>
      <c r="O38" s="3652">
        <v>42900</v>
      </c>
      <c r="P38" s="3652">
        <v>42900</v>
      </c>
      <c r="Q38" s="3652" t="s">
        <v>633</v>
      </c>
      <c r="R38" s="3652">
        <v>64500</v>
      </c>
      <c r="S38" s="3652">
        <v>5164</v>
      </c>
      <c r="T38" s="3652">
        <v>50.35</v>
      </c>
    </row>
    <row r="39" spans="1:20">
      <c r="A39" s="3652" t="s">
        <v>3743</v>
      </c>
      <c r="B39" s="3652" t="s">
        <v>3585</v>
      </c>
      <c r="C39" s="3652" t="s">
        <v>3744</v>
      </c>
      <c r="D39" s="3652" t="s">
        <v>3644</v>
      </c>
      <c r="E39" s="3652">
        <v>70679.7</v>
      </c>
      <c r="F39" s="3652">
        <v>318058.7</v>
      </c>
      <c r="G39" s="3652" t="s">
        <v>3745</v>
      </c>
      <c r="H39" s="3652" t="s">
        <v>3611</v>
      </c>
      <c r="I39" s="3652" t="s">
        <v>3746</v>
      </c>
      <c r="J39" s="3652" t="s">
        <v>3646</v>
      </c>
      <c r="K39" s="3655">
        <v>42627.000497685185</v>
      </c>
      <c r="L39" s="3655">
        <v>42627.000497685185</v>
      </c>
      <c r="M39" s="3652" t="s">
        <v>3614</v>
      </c>
      <c r="N39" s="3652" t="s">
        <v>3747</v>
      </c>
      <c r="O39" s="3652">
        <v>72000</v>
      </c>
      <c r="P39" s="3652">
        <v>36000</v>
      </c>
      <c r="Q39" s="3652" t="s">
        <v>633</v>
      </c>
      <c r="R39" s="3652">
        <v>282400</v>
      </c>
      <c r="S39" s="3652">
        <v>8879</v>
      </c>
      <c r="T39" s="3652">
        <v>292.22000000000003</v>
      </c>
    </row>
    <row r="40" spans="1:20">
      <c r="A40" s="3652" t="s">
        <v>3748</v>
      </c>
      <c r="B40" s="3652" t="s">
        <v>3585</v>
      </c>
      <c r="C40" s="3652" t="s">
        <v>3749</v>
      </c>
      <c r="D40" s="3652" t="s">
        <v>3609</v>
      </c>
      <c r="E40" s="3652">
        <v>27888.74</v>
      </c>
      <c r="F40" s="3652">
        <v>125499.3</v>
      </c>
      <c r="G40" s="3652" t="s">
        <v>3745</v>
      </c>
      <c r="H40" s="3652" t="s">
        <v>3611</v>
      </c>
      <c r="I40" s="3652" t="s">
        <v>3734</v>
      </c>
      <c r="J40" s="3652" t="s">
        <v>3646</v>
      </c>
      <c r="K40" s="3655">
        <v>42614.000497685185</v>
      </c>
      <c r="L40" s="3655">
        <v>42614.000497685185</v>
      </c>
      <c r="M40" s="3652" t="s">
        <v>3614</v>
      </c>
      <c r="N40" s="3652" t="s">
        <v>3750</v>
      </c>
      <c r="O40" s="3652">
        <v>28000</v>
      </c>
      <c r="P40" s="3652">
        <v>23000</v>
      </c>
      <c r="Q40" s="3652" t="s">
        <v>633</v>
      </c>
      <c r="R40" s="3652">
        <v>149600</v>
      </c>
      <c r="S40" s="3652">
        <v>11920</v>
      </c>
      <c r="T40" s="3652">
        <v>434.29</v>
      </c>
    </row>
    <row r="41" spans="1:20">
      <c r="A41" s="3652" t="s">
        <v>3751</v>
      </c>
      <c r="B41" s="3652" t="s">
        <v>3585</v>
      </c>
      <c r="C41" s="3652" t="s">
        <v>3752</v>
      </c>
      <c r="D41" s="3652" t="s">
        <v>3609</v>
      </c>
      <c r="E41" s="3652">
        <v>45422.23</v>
      </c>
      <c r="F41" s="3652">
        <v>90844.46</v>
      </c>
      <c r="G41" s="3652" t="s">
        <v>3753</v>
      </c>
      <c r="H41" s="3652" t="s">
        <v>3611</v>
      </c>
      <c r="I41" s="3652" t="s">
        <v>3734</v>
      </c>
      <c r="J41" s="3652" t="s">
        <v>3646</v>
      </c>
      <c r="K41" s="3655">
        <v>42579.000497685185</v>
      </c>
      <c r="L41" s="3655">
        <v>42579.000497685185</v>
      </c>
      <c r="M41" s="3652" t="s">
        <v>3614</v>
      </c>
      <c r="N41" s="3652" t="s">
        <v>3754</v>
      </c>
      <c r="O41" s="3652">
        <v>36800</v>
      </c>
      <c r="P41" s="3652">
        <v>20000</v>
      </c>
      <c r="Q41" s="3652" t="s">
        <v>633</v>
      </c>
      <c r="R41" s="3652">
        <v>89000</v>
      </c>
      <c r="S41" s="3652">
        <v>9797</v>
      </c>
      <c r="T41" s="3652">
        <v>141.85</v>
      </c>
    </row>
    <row r="42" spans="1:20">
      <c r="A42" s="3652" t="s">
        <v>3755</v>
      </c>
      <c r="B42" s="3652" t="s">
        <v>3585</v>
      </c>
      <c r="C42" s="3652" t="s">
        <v>3756</v>
      </c>
      <c r="D42" s="3652" t="s">
        <v>3609</v>
      </c>
      <c r="E42" s="3652">
        <v>100961.2</v>
      </c>
      <c r="F42" s="3652">
        <v>252403</v>
      </c>
      <c r="G42" s="3652" t="s">
        <v>3704</v>
      </c>
      <c r="H42" s="3652" t="s">
        <v>3611</v>
      </c>
      <c r="I42" s="3652" t="s">
        <v>3734</v>
      </c>
      <c r="J42" s="3652" t="s">
        <v>3646</v>
      </c>
      <c r="K42" s="3655">
        <v>42578.000497685185</v>
      </c>
      <c r="L42" s="3655">
        <v>42578.000497685185</v>
      </c>
      <c r="M42" s="3652" t="s">
        <v>3614</v>
      </c>
      <c r="N42" s="3652" t="s">
        <v>3757</v>
      </c>
      <c r="O42" s="3652">
        <v>87100</v>
      </c>
      <c r="P42" s="3652">
        <v>45000</v>
      </c>
      <c r="Q42" s="3652" t="s">
        <v>633</v>
      </c>
      <c r="R42" s="3652">
        <v>227300</v>
      </c>
      <c r="S42" s="3652">
        <v>9005</v>
      </c>
      <c r="T42" s="3652">
        <v>160.96</v>
      </c>
    </row>
    <row r="43" spans="1:20">
      <c r="A43" s="3652" t="s">
        <v>3758</v>
      </c>
      <c r="B43" s="3652" t="s">
        <v>3585</v>
      </c>
      <c r="C43" s="3652" t="s">
        <v>3759</v>
      </c>
      <c r="D43" s="3652" t="s">
        <v>3609</v>
      </c>
      <c r="E43" s="3652">
        <v>72649.25</v>
      </c>
      <c r="F43" s="3652">
        <v>145298.5</v>
      </c>
      <c r="G43" s="3652" t="s">
        <v>3753</v>
      </c>
      <c r="H43" s="3652" t="s">
        <v>3611</v>
      </c>
      <c r="I43" s="3652" t="s">
        <v>3734</v>
      </c>
      <c r="J43" s="3652" t="s">
        <v>3646</v>
      </c>
      <c r="K43" s="3655">
        <v>42580.000497685185</v>
      </c>
      <c r="L43" s="3655">
        <v>42580.000497685185</v>
      </c>
      <c r="M43" s="3652" t="s">
        <v>3614</v>
      </c>
      <c r="N43" s="3652" t="s">
        <v>3760</v>
      </c>
      <c r="O43" s="3652">
        <v>58800</v>
      </c>
      <c r="P43" s="3652">
        <v>30000</v>
      </c>
      <c r="Q43" s="3652" t="s">
        <v>633</v>
      </c>
      <c r="R43" s="3652">
        <v>153200</v>
      </c>
      <c r="S43" s="3652">
        <v>10544</v>
      </c>
      <c r="T43" s="3652">
        <v>160.54</v>
      </c>
    </row>
    <row r="44" spans="1:20">
      <c r="A44" s="3652" t="s">
        <v>3761</v>
      </c>
      <c r="B44" s="3652" t="s">
        <v>3585</v>
      </c>
      <c r="C44" s="3652" t="s">
        <v>3762</v>
      </c>
      <c r="D44" s="3652" t="s">
        <v>3609</v>
      </c>
      <c r="E44" s="3652">
        <v>19447.63</v>
      </c>
      <c r="F44" s="3652">
        <v>77790.52</v>
      </c>
      <c r="G44" s="3652" t="s">
        <v>3716</v>
      </c>
      <c r="H44" s="3652" t="s">
        <v>3611</v>
      </c>
      <c r="I44" s="3652" t="s">
        <v>3734</v>
      </c>
      <c r="J44" s="3652" t="s">
        <v>3646</v>
      </c>
      <c r="K44" s="3655">
        <v>42389.000497685185</v>
      </c>
      <c r="L44" s="3655">
        <v>42389.000497685185</v>
      </c>
      <c r="M44" s="3652" t="s">
        <v>3614</v>
      </c>
      <c r="N44" s="3652" t="s">
        <v>3763</v>
      </c>
      <c r="O44" s="3652">
        <v>15200</v>
      </c>
      <c r="P44" s="3652">
        <v>7600</v>
      </c>
      <c r="Q44" s="3652" t="s">
        <v>633</v>
      </c>
      <c r="R44" s="3652">
        <v>38000</v>
      </c>
      <c r="S44" s="3652">
        <v>4885</v>
      </c>
      <c r="T44" s="3652">
        <v>150</v>
      </c>
    </row>
    <row r="45" spans="1:20">
      <c r="A45" s="3652" t="s">
        <v>3764</v>
      </c>
      <c r="B45" s="3652" t="s">
        <v>3585</v>
      </c>
      <c r="C45" s="3652" t="s">
        <v>3765</v>
      </c>
      <c r="D45" s="3652" t="s">
        <v>3609</v>
      </c>
      <c r="E45" s="3652">
        <v>50844.39</v>
      </c>
      <c r="F45" s="3652">
        <v>127111</v>
      </c>
      <c r="G45" s="3655">
        <v>38354.000497685185</v>
      </c>
      <c r="H45" s="3652" t="s">
        <v>3611</v>
      </c>
      <c r="I45" s="3652" t="s">
        <v>3734</v>
      </c>
      <c r="J45" s="3652" t="s">
        <v>3646</v>
      </c>
      <c r="K45" s="3655">
        <v>42359.000497685185</v>
      </c>
      <c r="L45" s="3655">
        <v>42359.000497685185</v>
      </c>
      <c r="M45" s="3652" t="s">
        <v>3614</v>
      </c>
      <c r="N45" s="3652" t="s">
        <v>3766</v>
      </c>
      <c r="O45" s="3652">
        <v>27500</v>
      </c>
      <c r="P45" s="3652">
        <v>14000</v>
      </c>
      <c r="Q45" s="3652" t="s">
        <v>633</v>
      </c>
      <c r="R45" s="3652">
        <v>59700</v>
      </c>
      <c r="S45" s="3652">
        <v>4697</v>
      </c>
      <c r="T45" s="3652">
        <v>117.09</v>
      </c>
    </row>
    <row r="46" spans="1:20">
      <c r="A46" s="3652" t="s">
        <v>3767</v>
      </c>
      <c r="B46" s="3652" t="s">
        <v>3585</v>
      </c>
      <c r="C46" s="3652" t="s">
        <v>3768</v>
      </c>
      <c r="D46" s="3652" t="s">
        <v>3609</v>
      </c>
      <c r="E46" s="3652">
        <v>20362.79</v>
      </c>
      <c r="F46" s="3652">
        <v>50906.98</v>
      </c>
      <c r="G46" s="3655">
        <v>38354.000497685185</v>
      </c>
      <c r="H46" s="3652" t="s">
        <v>3611</v>
      </c>
      <c r="I46" s="3652" t="s">
        <v>3734</v>
      </c>
      <c r="J46" s="3652" t="s">
        <v>3646</v>
      </c>
      <c r="K46" s="3655">
        <v>42359.000497685185</v>
      </c>
      <c r="L46" s="3655">
        <v>42359.000497685185</v>
      </c>
      <c r="M46" s="3652" t="s">
        <v>3614</v>
      </c>
      <c r="N46" s="3652" t="s">
        <v>3769</v>
      </c>
      <c r="O46" s="3652">
        <v>11000</v>
      </c>
      <c r="P46" s="3652">
        <v>6000</v>
      </c>
      <c r="Q46" s="3652" t="s">
        <v>633</v>
      </c>
      <c r="R46" s="3652">
        <v>23200</v>
      </c>
      <c r="S46" s="3652">
        <v>4557</v>
      </c>
      <c r="T46" s="3652">
        <v>110.91</v>
      </c>
    </row>
    <row r="47" spans="1:20">
      <c r="A47" s="3652" t="s">
        <v>3770</v>
      </c>
      <c r="B47" s="3652" t="s">
        <v>3585</v>
      </c>
      <c r="C47" s="3652" t="s">
        <v>3771</v>
      </c>
      <c r="D47" s="3652" t="s">
        <v>3609</v>
      </c>
      <c r="E47" s="3652">
        <v>21512.799999999999</v>
      </c>
      <c r="F47" s="3652">
        <v>53782</v>
      </c>
      <c r="G47" s="3655">
        <v>38354.000497685185</v>
      </c>
      <c r="H47" s="3652" t="s">
        <v>3611</v>
      </c>
      <c r="I47" s="3652" t="s">
        <v>3734</v>
      </c>
      <c r="J47" s="3652" t="s">
        <v>3646</v>
      </c>
      <c r="K47" s="3655">
        <v>42359.000497685185</v>
      </c>
      <c r="L47" s="3655">
        <v>42359.000497685185</v>
      </c>
      <c r="M47" s="3652" t="s">
        <v>3614</v>
      </c>
      <c r="N47" s="3652" t="s">
        <v>3769</v>
      </c>
      <c r="O47" s="3652">
        <v>11620</v>
      </c>
      <c r="P47" s="3652">
        <v>6000</v>
      </c>
      <c r="Q47" s="3652" t="s">
        <v>633</v>
      </c>
      <c r="R47" s="3652">
        <v>23820</v>
      </c>
      <c r="S47" s="3652">
        <v>4429</v>
      </c>
      <c r="T47" s="3652">
        <v>104.99</v>
      </c>
    </row>
    <row r="48" spans="1:20">
      <c r="A48" s="3652" t="s">
        <v>3772</v>
      </c>
      <c r="B48" s="3652" t="s">
        <v>3585</v>
      </c>
      <c r="C48" s="3652" t="s">
        <v>3773</v>
      </c>
      <c r="D48" s="3652" t="s">
        <v>3609</v>
      </c>
      <c r="E48" s="3652">
        <v>51623.97</v>
      </c>
      <c r="F48" s="3652">
        <v>129059.9</v>
      </c>
      <c r="G48" s="3655">
        <v>38354.000497685185</v>
      </c>
      <c r="H48" s="3652" t="s">
        <v>3611</v>
      </c>
      <c r="I48" s="3652" t="s">
        <v>3734</v>
      </c>
      <c r="J48" s="3652" t="s">
        <v>3646</v>
      </c>
      <c r="K48" s="3655">
        <v>42356.000497685185</v>
      </c>
      <c r="L48" s="3655">
        <v>42356.000497685185</v>
      </c>
      <c r="M48" s="3652" t="s">
        <v>3614</v>
      </c>
      <c r="N48" s="3652" t="s">
        <v>3769</v>
      </c>
      <c r="O48" s="3652">
        <v>27900</v>
      </c>
      <c r="P48" s="3652">
        <v>14000</v>
      </c>
      <c r="Q48" s="3652" t="s">
        <v>633</v>
      </c>
      <c r="R48" s="3652">
        <v>55300</v>
      </c>
      <c r="S48" s="3652">
        <v>4285</v>
      </c>
      <c r="T48" s="3652">
        <v>98.21</v>
      </c>
    </row>
    <row r="49" spans="1:20">
      <c r="A49" s="3652" t="s">
        <v>3774</v>
      </c>
      <c r="B49" s="3652" t="s">
        <v>3585</v>
      </c>
      <c r="C49" s="3652" t="s">
        <v>3775</v>
      </c>
      <c r="D49" s="3652" t="s">
        <v>3609</v>
      </c>
      <c r="E49" s="3652">
        <v>12121.26</v>
      </c>
      <c r="F49" s="3652">
        <v>42424.41</v>
      </c>
      <c r="G49" s="3652" t="s">
        <v>3776</v>
      </c>
      <c r="H49" s="3652" t="s">
        <v>3611</v>
      </c>
      <c r="I49" s="3652" t="s">
        <v>3709</v>
      </c>
      <c r="J49" s="3652" t="s">
        <v>3646</v>
      </c>
      <c r="K49" s="3655">
        <v>42341.000497685185</v>
      </c>
      <c r="L49" s="3655">
        <v>42341.000497685185</v>
      </c>
      <c r="M49" s="3652" t="s">
        <v>3614</v>
      </c>
      <c r="N49" s="3652" t="s">
        <v>3777</v>
      </c>
      <c r="O49" s="3652">
        <v>2670</v>
      </c>
      <c r="P49" s="3652">
        <v>2140</v>
      </c>
      <c r="Q49" s="3652" t="s">
        <v>633</v>
      </c>
      <c r="R49" s="3652">
        <v>2670</v>
      </c>
      <c r="S49" s="3652">
        <v>629</v>
      </c>
      <c r="T49" s="3652">
        <v>0</v>
      </c>
    </row>
    <row r="50" spans="1:20">
      <c r="A50" s="3652" t="s">
        <v>3778</v>
      </c>
      <c r="B50" s="3652" t="s">
        <v>3585</v>
      </c>
      <c r="C50" s="3652" t="s">
        <v>3779</v>
      </c>
      <c r="D50" s="3652" t="s">
        <v>3609</v>
      </c>
      <c r="E50" s="3652">
        <v>24421.94</v>
      </c>
      <c r="F50" s="3652">
        <v>85476.79</v>
      </c>
      <c r="G50" s="3652" t="s">
        <v>3776</v>
      </c>
      <c r="H50" s="3652" t="s">
        <v>3611</v>
      </c>
      <c r="I50" s="3652" t="s">
        <v>3709</v>
      </c>
      <c r="J50" s="3652" t="s">
        <v>3646</v>
      </c>
      <c r="K50" s="3655">
        <v>42341.000497685185</v>
      </c>
      <c r="L50" s="3655">
        <v>42341.000497685185</v>
      </c>
      <c r="M50" s="3652" t="s">
        <v>3614</v>
      </c>
      <c r="N50" s="3652" t="s">
        <v>3777</v>
      </c>
      <c r="O50" s="3652">
        <v>5390</v>
      </c>
      <c r="P50" s="3652">
        <v>4320</v>
      </c>
      <c r="Q50" s="3652" t="s">
        <v>633</v>
      </c>
      <c r="R50" s="3652">
        <v>5390</v>
      </c>
      <c r="S50" s="3652">
        <v>631</v>
      </c>
      <c r="T50" s="3652">
        <v>0</v>
      </c>
    </row>
    <row r="51" spans="1:20">
      <c r="A51" s="3652" t="s">
        <v>3780</v>
      </c>
      <c r="B51" s="3652" t="s">
        <v>3585</v>
      </c>
      <c r="C51" s="3652" t="s">
        <v>3781</v>
      </c>
      <c r="D51" s="3652" t="s">
        <v>3609</v>
      </c>
      <c r="E51" s="3652">
        <v>44592.06</v>
      </c>
      <c r="F51" s="3652">
        <v>156072.21</v>
      </c>
      <c r="G51" s="3652" t="s">
        <v>3776</v>
      </c>
      <c r="H51" s="3652" t="s">
        <v>3611</v>
      </c>
      <c r="I51" s="3652" t="s">
        <v>3709</v>
      </c>
      <c r="J51" s="3652" t="s">
        <v>3646</v>
      </c>
      <c r="K51" s="3655">
        <v>42341.000497685185</v>
      </c>
      <c r="L51" s="3655">
        <v>42341.000497685185</v>
      </c>
      <c r="M51" s="3652" t="s">
        <v>3614</v>
      </c>
      <c r="N51" s="3652" t="s">
        <v>3777</v>
      </c>
      <c r="O51" s="3652">
        <v>9900</v>
      </c>
      <c r="P51" s="3652">
        <v>7920</v>
      </c>
      <c r="Q51" s="3652" t="s">
        <v>633</v>
      </c>
      <c r="R51" s="3652">
        <v>9900</v>
      </c>
      <c r="S51" s="3652">
        <v>634</v>
      </c>
      <c r="T51" s="3652">
        <v>0</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Normal="70" zoomScaleSheetLayoutView="100" workbookViewId="0">
      <selection activeCell="I20" sqref="I2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9</v>
      </c>
    </row>
    <row r="2" spans="1:9" s="199" customFormat="1" ht="18" customHeight="1">
      <c r="A2" s="200" t="s">
        <v>1462</v>
      </c>
      <c r="B2" s="201">
        <f ca="1">IF(D2="——",C52,C52-E2)</f>
        <v>189980</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10218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104303</v>
      </c>
      <c r="D5" s="210" t="s">
        <v>1469</v>
      </c>
      <c r="E5" s="211" t="s">
        <v>1470</v>
      </c>
      <c r="F5" s="211" t="s">
        <v>1471</v>
      </c>
      <c r="G5" s="212"/>
    </row>
    <row r="6" spans="1:9" s="213" customFormat="1" ht="13.5" customHeight="1">
      <c r="A6" s="774" t="s">
        <v>1472</v>
      </c>
      <c r="B6" s="214" t="s">
        <v>1473</v>
      </c>
      <c r="C6" s="215">
        <f>'土地比较法-住宅、综合'!F56</f>
        <v>98148</v>
      </c>
      <c r="D6" s="216"/>
      <c r="E6" s="217"/>
      <c r="F6" s="217"/>
      <c r="G6" s="218"/>
    </row>
    <row r="7" spans="1:9" s="213" customFormat="1" ht="13.5" customHeight="1">
      <c r="A7" s="774" t="s">
        <v>1474</v>
      </c>
      <c r="B7" s="214" t="s">
        <v>1475</v>
      </c>
      <c r="C7" s="219">
        <f>ROUND(C6*F7,0)</f>
        <v>2994</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3161</v>
      </c>
      <c r="D8" s="221"/>
      <c r="E8" s="219"/>
      <c r="F8" s="220"/>
      <c r="G8" s="1851" t="s">
        <v>3855</v>
      </c>
    </row>
    <row r="9" spans="1:9" s="213" customFormat="1" ht="13.5" customHeight="1">
      <c r="A9" s="775" t="s">
        <v>355</v>
      </c>
      <c r="B9" s="223" t="s">
        <v>1478</v>
      </c>
      <c r="C9" s="224">
        <f ca="1">ROUND(D9*E9/10000,0)</f>
        <v>2275</v>
      </c>
      <c r="D9" s="841">
        <f ca="1">IF(B1="",'数据-汇总表'!E5,IF(INDIRECT("'数据-取费表'!c"&amp;$G$1)="住宅",INDIRECT("'数据-取费表'!k"&amp;$G$1),0))</f>
        <v>133800</v>
      </c>
      <c r="E9" s="224">
        <f>'数据-取费表'!B27</f>
        <v>170</v>
      </c>
      <c r="F9" s="220"/>
      <c r="G9" s="1852" t="s">
        <v>3856</v>
      </c>
      <c r="H9" s="1133"/>
      <c r="I9" s="1853" t="s">
        <v>1479</v>
      </c>
    </row>
    <row r="10" spans="1:9" s="213" customFormat="1" ht="13.5" customHeight="1">
      <c r="A10" s="775" t="s">
        <v>356</v>
      </c>
      <c r="B10" s="223" t="s">
        <v>1480</v>
      </c>
      <c r="C10" s="224">
        <f ca="1">ROUND(D10*E10/10000,0)</f>
        <v>886</v>
      </c>
      <c r="D10" s="841">
        <f ca="1">IF(B1="",'数据-汇总表'!E6,IF(INDIRECT("'数据-取费表'!c"&amp;$G$1)="住宅",INDIRECT("'数据-取费表'!s"&amp;$G$1),INDIRECT("'数据-取费表'!k"&amp;$G$1)+INDIRECT("'数据-取费表'!s"&amp;$G$1)))</f>
        <v>52133.899999999965</v>
      </c>
      <c r="E10" s="224">
        <f>'数据-取费表'!B28</f>
        <v>170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185933.89999999997</v>
      </c>
      <c r="E19" s="210">
        <f>'数据-取费表'!B31</f>
        <v>170</v>
      </c>
      <c r="F19" s="230"/>
      <c r="G19" s="1851" t="s">
        <v>3854</v>
      </c>
    </row>
    <row r="20" spans="1:7" s="213" customFormat="1" ht="13.5" customHeight="1">
      <c r="A20" s="254" t="s">
        <v>1493</v>
      </c>
      <c r="B20" s="209" t="s">
        <v>1494</v>
      </c>
      <c r="C20" s="231">
        <f ca="1">ROUND((C5+C19)*F20,0)</f>
        <v>2086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6625</v>
      </c>
      <c r="D22" s="234">
        <f ca="1">C26</f>
        <v>5.9999999999999995E-4</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6560</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65</v>
      </c>
      <c r="D25" s="237"/>
      <c r="E25" s="240"/>
      <c r="F25" s="238"/>
      <c r="G25" s="241" t="s">
        <v>1510</v>
      </c>
    </row>
    <row r="26" spans="1:7" s="213" customFormat="1">
      <c r="A26" s="776"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10852</v>
      </c>
      <c r="D27" s="234">
        <f ca="1">C29</f>
        <v>2E-3</v>
      </c>
      <c r="E27" s="235" t="s">
        <v>1514</v>
      </c>
      <c r="F27" s="245">
        <f ca="1">IF(B1="",'数据-取费表'!Q16,INDIRECT("'数据-取费表'!q"&amp;$G$1))</f>
        <v>0.17</v>
      </c>
      <c r="G27" s="246" t="s">
        <v>1515</v>
      </c>
    </row>
    <row r="28" spans="1:7" s="213" customFormat="1" ht="13.5" customHeight="1">
      <c r="A28" s="776" t="s">
        <v>346</v>
      </c>
      <c r="B28" s="247" t="s">
        <v>1516</v>
      </c>
      <c r="C28" s="248">
        <f ca="1">ROUND((C5+C19+C20)*F27*'数据-取费表'!B21/'数据-取费表'!B20,0)</f>
        <v>10852</v>
      </c>
      <c r="D28" s="234"/>
      <c r="E28" s="235"/>
      <c r="F28" s="245"/>
      <c r="G28" s="246"/>
    </row>
    <row r="29" spans="1:7" s="213" customFormat="1" ht="13.5" customHeight="1">
      <c r="A29" s="776"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134040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42136</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35936</v>
      </c>
      <c r="D34" s="216"/>
      <c r="E34" s="219"/>
      <c r="F34" s="256">
        <f ca="1">IF('数据-取费表'!B24=0,1,IF(B1="",'数据-取费表'!N16,INDIRECT("'数据-取费表'!n"&amp;$G$1)))</f>
        <v>0.6</v>
      </c>
      <c r="G34" s="218" t="s">
        <v>1526</v>
      </c>
    </row>
    <row r="35" spans="1:7" ht="13.5" customHeight="1">
      <c r="A35" s="776" t="s">
        <v>351</v>
      </c>
      <c r="B35" s="214" t="s">
        <v>1527</v>
      </c>
      <c r="C35" s="219">
        <f ca="1">ROUND(C34*F35,0)</f>
        <v>1797</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1967</v>
      </c>
      <c r="D36" s="219"/>
      <c r="E36" s="219"/>
      <c r="F36" s="258">
        <f>'数据-取费表'!B34</f>
        <v>7.0000000000000007E-2</v>
      </c>
      <c r="G36" s="259" t="s">
        <v>1530</v>
      </c>
    </row>
    <row r="37" spans="1:7" s="257" customFormat="1" ht="13.5" customHeight="1">
      <c r="A37" s="776" t="s">
        <v>353</v>
      </c>
      <c r="B37" s="214" t="s">
        <v>1531</v>
      </c>
      <c r="C37" s="248">
        <f ca="1">ROUND(E37*D37*F34/10000,0)</f>
        <v>1897</v>
      </c>
      <c r="D37" s="216">
        <f ca="1">D19</f>
        <v>185933.89999999997</v>
      </c>
      <c r="E37" s="248">
        <f>'数据-取费表'!B35</f>
        <v>170</v>
      </c>
      <c r="F37" s="258"/>
      <c r="G37" s="260" t="s">
        <v>1532</v>
      </c>
    </row>
    <row r="38" spans="1:7" ht="13.5" customHeight="1">
      <c r="A38" s="776" t="s">
        <v>354</v>
      </c>
      <c r="B38" s="214" t="s">
        <v>1533</v>
      </c>
      <c r="C38" s="219">
        <f ca="1">ROUND(C34*F38,0)</f>
        <v>539</v>
      </c>
      <c r="D38" s="219"/>
      <c r="E38" s="219"/>
      <c r="F38" s="258">
        <f>'数据-取费表'!B36</f>
        <v>1.4999999999999999E-2</v>
      </c>
      <c r="G38" s="218" t="s">
        <v>1528</v>
      </c>
    </row>
    <row r="39" spans="1:7" s="213" customFormat="1" ht="13.5" customHeight="1">
      <c r="A39" s="254" t="s">
        <v>1534</v>
      </c>
      <c r="B39" s="209" t="s">
        <v>1535</v>
      </c>
      <c r="C39" s="231">
        <f ca="1">ROUND(C33*F20,0)</f>
        <v>843</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1331</v>
      </c>
      <c r="D41" s="234">
        <f ca="1">C44</f>
        <v>5.9999999999999995E-4</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1305</v>
      </c>
      <c r="D42" s="237"/>
      <c r="E42" s="237"/>
      <c r="F42" s="238"/>
      <c r="G42" s="3936" t="s">
        <v>1544</v>
      </c>
    </row>
    <row r="43" spans="1:7" ht="13.5" customHeight="1">
      <c r="A43" s="776" t="s">
        <v>347</v>
      </c>
      <c r="B43" s="214" t="s">
        <v>1545</v>
      </c>
      <c r="C43" s="237">
        <f ca="1">ROUND(IF('数据-取费表'!B22&lt;=1,C39*F22*'数据-取费表'!B21/2,C39*(POWER((1+F22),'数据-取费表'!B21/2)-1)),0)</f>
        <v>26</v>
      </c>
      <c r="D43" s="237"/>
      <c r="E43" s="237"/>
      <c r="F43" s="238"/>
      <c r="G43" s="3937"/>
    </row>
    <row r="44" spans="1:7" ht="13.5" customHeight="1">
      <c r="A44" s="776" t="s">
        <v>348</v>
      </c>
      <c r="B44" s="214" t="s">
        <v>1546</v>
      </c>
      <c r="C44" s="237">
        <f ca="1">ROUND(IF('数据-取费表'!B22&lt;=1,C40*F22*'数据-取费表'!B21/2,C40*(POWER((1+F22),'数据-取费表'!B21/2)-1)),4)</f>
        <v>5.9999999999999995E-4</v>
      </c>
      <c r="D44" s="237"/>
      <c r="E44" s="237"/>
      <c r="F44" s="238"/>
      <c r="G44" s="3938"/>
    </row>
    <row r="45" spans="1:7" s="213" customFormat="1" ht="13.5" customHeight="1">
      <c r="A45" s="254" t="s">
        <v>1547</v>
      </c>
      <c r="B45" s="243" t="s">
        <v>1513</v>
      </c>
      <c r="C45" s="244">
        <f ca="1">C46</f>
        <v>7306</v>
      </c>
      <c r="D45" s="234">
        <f ca="1">C47</f>
        <v>3.3999999999999998E-3</v>
      </c>
      <c r="E45" s="235" t="s">
        <v>1539</v>
      </c>
      <c r="F45" s="245">
        <f ca="1">F27</f>
        <v>0.17</v>
      </c>
      <c r="G45" s="246" t="s">
        <v>1548</v>
      </c>
    </row>
    <row r="46" spans="1:7" s="213" customFormat="1" ht="13.5" customHeight="1">
      <c r="A46" s="776" t="s">
        <v>346</v>
      </c>
      <c r="B46" s="247" t="s">
        <v>1549</v>
      </c>
      <c r="C46" s="248">
        <f ca="1">ROUND((C33+C39)*F27,0)</f>
        <v>7306</v>
      </c>
      <c r="D46" s="262"/>
      <c r="E46" s="235"/>
      <c r="F46" s="245"/>
      <c r="G46" s="246"/>
    </row>
    <row r="47" spans="1:7" s="213" customFormat="1" ht="13.5" customHeight="1">
      <c r="A47" s="776" t="s">
        <v>347</v>
      </c>
      <c r="B47" s="247" t="s">
        <v>1550</v>
      </c>
      <c r="C47" s="237">
        <f ca="1">ROUND(C40*F27,4)</f>
        <v>3.3999999999999998E-3</v>
      </c>
      <c r="D47" s="262"/>
      <c r="E47" s="235"/>
      <c r="F47" s="245"/>
      <c r="G47" s="246"/>
    </row>
    <row r="48" spans="1:7" s="213" customFormat="1" ht="13.5" customHeight="1">
      <c r="A48" s="254" t="s">
        <v>1512</v>
      </c>
      <c r="B48" s="209" t="s">
        <v>1551</v>
      </c>
      <c r="C48" s="1322">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55940</v>
      </c>
      <c r="D49" s="231"/>
      <c r="E49" s="231"/>
      <c r="F49" s="263"/>
      <c r="G49" s="233" t="s">
        <v>1554</v>
      </c>
    </row>
    <row r="50" spans="1:7" s="257" customFormat="1" ht="24">
      <c r="A50" s="254" t="s">
        <v>1555</v>
      </c>
      <c r="B50" s="209" t="s">
        <v>1556</v>
      </c>
      <c r="C50" s="231"/>
      <c r="D50" s="231"/>
      <c r="E50" s="231"/>
      <c r="F50" s="263">
        <f>IF('数据-取费表'!B24=0,'数据-取费表'!N16,1)</f>
        <v>1</v>
      </c>
      <c r="G50" s="246" t="s">
        <v>1557</v>
      </c>
    </row>
    <row r="51" spans="1:7" ht="16.5" customHeight="1">
      <c r="A51" s="254" t="s">
        <v>1558</v>
      </c>
      <c r="B51" s="209" t="s">
        <v>1559</v>
      </c>
      <c r="C51" s="231">
        <f ca="1">ROUND(C49*F50,0)</f>
        <v>55940</v>
      </c>
      <c r="D51" s="231"/>
      <c r="E51" s="231"/>
      <c r="F51" s="263"/>
      <c r="G51" s="233" t="s">
        <v>1560</v>
      </c>
    </row>
    <row r="52" spans="1:7" s="207" customFormat="1" ht="16.5" thickBot="1">
      <c r="A52" s="264" t="s">
        <v>1561</v>
      </c>
      <c r="B52" s="265"/>
      <c r="C52" s="266">
        <f ca="1">C31+C51</f>
        <v>189980</v>
      </c>
      <c r="D52" s="265"/>
      <c r="E52" s="265"/>
      <c r="F52" s="265"/>
      <c r="G52" s="267"/>
    </row>
    <row r="55" spans="1:7" ht="15">
      <c r="B55" s="269" t="s">
        <v>1562</v>
      </c>
      <c r="C55" s="270"/>
    </row>
    <row r="56" spans="1:7">
      <c r="B56" s="272" t="s">
        <v>802</v>
      </c>
      <c r="C56" s="274">
        <f ca="1">1-C57</f>
        <v>0.70599999999999996</v>
      </c>
    </row>
    <row r="57" spans="1:7">
      <c r="B57" s="272" t="s">
        <v>803</v>
      </c>
      <c r="C57" s="273">
        <f ca="1">ROUND(C51/C52,3)</f>
        <v>0.29399999999999998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9</v>
      </c>
      <c r="H1" s="1057" t="str">
        <f>IF(ISERROR(FIND("住宅",B1)),"非住宅","住宅")</f>
        <v>非住宅</v>
      </c>
    </row>
    <row r="2" spans="1:8" s="199" customFormat="1" ht="18" customHeight="1">
      <c r="A2" s="200" t="s">
        <v>1462</v>
      </c>
      <c r="B2" s="3410">
        <f ca="1">ROUND(IF(D2="——",C52/10000,C52/10000-E2),4)</f>
        <v>103836.7499</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5585</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31608763</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31608763</v>
      </c>
      <c r="D8" s="221"/>
      <c r="E8" s="219"/>
      <c r="F8" s="220"/>
      <c r="G8" s="1851"/>
    </row>
    <row r="9" spans="1:8" s="213" customFormat="1" ht="13.5" customHeight="1">
      <c r="A9" s="775" t="s">
        <v>355</v>
      </c>
      <c r="B9" s="223" t="s">
        <v>1478</v>
      </c>
      <c r="C9" s="224">
        <f ca="1">ROUND(D9*E9,0)</f>
        <v>22746000</v>
      </c>
      <c r="D9" s="841">
        <f ca="1">IF(B1="",'数据-汇总表'!E5,IF(INDIRECT("'数据-取费表'!c"&amp;$G$1)="住宅",INDIRECT("'数据-取费表'!k"&amp;$G$1),0))</f>
        <v>133800</v>
      </c>
      <c r="E9" s="224">
        <f>'数据-取费表'!B27</f>
        <v>170</v>
      </c>
      <c r="F9" s="220"/>
      <c r="G9" s="225"/>
    </row>
    <row r="10" spans="1:8" s="213" customFormat="1" ht="13.5" customHeight="1">
      <c r="A10" s="775" t="s">
        <v>356</v>
      </c>
      <c r="B10" s="223" t="s">
        <v>1480</v>
      </c>
      <c r="C10" s="224">
        <f ca="1">ROUND(D10*E10,0)</f>
        <v>8862763</v>
      </c>
      <c r="D10" s="841">
        <f ca="1">IF(B1="",'数据-汇总表'!E6,IF(INDIRECT("'数据-取费表'!c"&amp;$G$1)="住宅",INDIRECT("'数据-取费表'!s"&amp;$G$1),INDIRECT("'数据-取费表'!k"&amp;$G$1)+INDIRECT("'数据-取费表'!s"&amp;$G$1)))</f>
        <v>52133.899999999965</v>
      </c>
      <c r="E10" s="224">
        <f>'数据-取费表'!B28</f>
        <v>170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31608763</v>
      </c>
      <c r="D19" s="845">
        <f ca="1">D9+D10</f>
        <v>185933.89999999997</v>
      </c>
      <c r="E19" s="210">
        <f>'数据-取费表'!B31</f>
        <v>170</v>
      </c>
      <c r="F19" s="230"/>
      <c r="G19" s="1851"/>
    </row>
    <row r="20" spans="1:7" s="213" customFormat="1" ht="13.5" customHeight="1">
      <c r="A20" s="254" t="s">
        <v>1574</v>
      </c>
      <c r="B20" s="209" t="s">
        <v>1575</v>
      </c>
      <c r="C20" s="231">
        <f ca="1">ROUND((C5+C19)*F20,0)</f>
        <v>1264351</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6830291</v>
      </c>
      <c r="D22" s="234">
        <f ca="1">C26</f>
        <v>1E-3</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3382183</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3382183</v>
      </c>
      <c r="D24" s="237"/>
      <c r="E24" s="237"/>
      <c r="F24" s="238"/>
      <c r="G24" s="239" t="s">
        <v>1586</v>
      </c>
    </row>
    <row r="25" spans="1:7" s="213" customFormat="1" ht="24">
      <c r="A25" s="776" t="s">
        <v>1476</v>
      </c>
      <c r="B25" s="214" t="s">
        <v>1587</v>
      </c>
      <c r="C25" s="1124">
        <f ca="1">ROUND(IF('数据-取费表'!B22&lt;=1,C20*F22*'数据-取费表'!B22/2,C20*(POWER((1+F22),'数据-取费表'!B22/2)-1)),0)</f>
        <v>65925</v>
      </c>
      <c r="D25" s="237"/>
      <c r="E25" s="240"/>
      <c r="F25" s="238"/>
      <c r="G25" s="241" t="s">
        <v>1588</v>
      </c>
    </row>
    <row r="26" spans="1:7" s="213" customFormat="1">
      <c r="A26" s="776"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10961919</v>
      </c>
      <c r="D27" s="234">
        <f ca="1">C29</f>
        <v>3.3999999999999998E-3</v>
      </c>
      <c r="E27" s="235" t="s">
        <v>1514</v>
      </c>
      <c r="F27" s="245">
        <f ca="1">IF(B1="",'数据-取费表'!Q16,INDIRECT("'数据-取费表'!q"&amp;$G$1))</f>
        <v>0.17</v>
      </c>
      <c r="G27" s="246" t="s">
        <v>1515</v>
      </c>
    </row>
    <row r="28" spans="1:7" s="213" customFormat="1" ht="13.5" customHeight="1">
      <c r="A28" s="776" t="s">
        <v>346</v>
      </c>
      <c r="B28" s="247" t="s">
        <v>1516</v>
      </c>
      <c r="C28" s="248">
        <f ca="1">ROUND((C5+C19+C20)*F27,0)</f>
        <v>10961919</v>
      </c>
      <c r="D28" s="234"/>
      <c r="E28" s="235"/>
      <c r="F28" s="245"/>
      <c r="G28" s="246"/>
    </row>
    <row r="29" spans="1:7" s="213" customFormat="1" ht="13.5" customHeight="1">
      <c r="A29" s="776" t="s">
        <v>347</v>
      </c>
      <c r="B29" s="247" t="s">
        <v>1517</v>
      </c>
      <c r="C29" s="237">
        <f ca="1">ROUND(C21*F27,4)</f>
        <v>3.3999999999999998E-3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89205342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702248807</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598928680</v>
      </c>
      <c r="D34" s="216"/>
      <c r="E34" s="219"/>
      <c r="F34" s="256"/>
      <c r="G34" s="218"/>
    </row>
    <row r="35" spans="1:7" ht="13.5" customHeight="1">
      <c r="A35" s="776" t="s">
        <v>351</v>
      </c>
      <c r="B35" s="214" t="s">
        <v>1527</v>
      </c>
      <c r="C35" s="219">
        <f ca="1">ROUND(C34*F35,0)</f>
        <v>29946434</v>
      </c>
      <c r="D35" s="219"/>
      <c r="E35" s="219"/>
      <c r="F35" s="258">
        <f>'数据-取费表'!B33</f>
        <v>0.05</v>
      </c>
      <c r="G35" s="218" t="s">
        <v>1528</v>
      </c>
    </row>
    <row r="36" spans="1:7" ht="24">
      <c r="A36" s="776" t="s">
        <v>352</v>
      </c>
      <c r="B36" s="214" t="s">
        <v>1529</v>
      </c>
      <c r="C36" s="219">
        <f ca="1">ROUND(IF(B1="",SUM('数据-取费表'!AP6:AP13)*F36,IF(INDIRECT("'数据-取费表'!c"&amp;$G$1)="住宅",INDIRECT("'数据-取费表'!k"&amp;$G$1)*INDIRECT("'数据-取费表'!l"&amp;$G$1)*F36,0)),0)</f>
        <v>32781000</v>
      </c>
      <c r="D36" s="219"/>
      <c r="E36" s="219"/>
      <c r="F36" s="258">
        <f>'数据-取费表'!B34</f>
        <v>7.0000000000000007E-2</v>
      </c>
      <c r="G36" s="259" t="s">
        <v>1530</v>
      </c>
    </row>
    <row r="37" spans="1:7" s="257" customFormat="1" ht="13.5" customHeight="1">
      <c r="A37" s="776" t="s">
        <v>353</v>
      </c>
      <c r="B37" s="214" t="s">
        <v>1531</v>
      </c>
      <c r="C37" s="248">
        <f ca="1">ROUND(E37*D37,0)</f>
        <v>31608763</v>
      </c>
      <c r="D37" s="216">
        <f ca="1">D19</f>
        <v>185933.89999999997</v>
      </c>
      <c r="E37" s="248">
        <f>'数据-取费表'!B35</f>
        <v>170</v>
      </c>
      <c r="F37" s="258"/>
      <c r="G37" s="260"/>
    </row>
    <row r="38" spans="1:7" ht="13.5" customHeight="1">
      <c r="A38" s="776" t="s">
        <v>354</v>
      </c>
      <c r="B38" s="214" t="s">
        <v>1533</v>
      </c>
      <c r="C38" s="219">
        <f ca="1">ROUND(C34*F38,0)</f>
        <v>8983930</v>
      </c>
      <c r="D38" s="219"/>
      <c r="E38" s="219"/>
      <c r="F38" s="258">
        <f>'数据-取费表'!B36</f>
        <v>1.4999999999999999E-2</v>
      </c>
      <c r="G38" s="218" t="s">
        <v>1528</v>
      </c>
    </row>
    <row r="39" spans="1:7" s="213" customFormat="1" ht="13.5" customHeight="1">
      <c r="A39" s="254" t="s">
        <v>1534</v>
      </c>
      <c r="B39" s="209" t="s">
        <v>1535</v>
      </c>
      <c r="C39" s="231">
        <f ca="1">ROUND(C33*F20,0)</f>
        <v>14044976</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37348531</v>
      </c>
      <c r="D41" s="234">
        <f ca="1">C44</f>
        <v>1E-3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36616207</v>
      </c>
      <c r="D42" s="237"/>
      <c r="E42" s="237"/>
      <c r="F42" s="238"/>
      <c r="G42" s="3936" t="s">
        <v>1591</v>
      </c>
    </row>
    <row r="43" spans="1:7" ht="13.5" customHeight="1">
      <c r="A43" s="776" t="s">
        <v>347</v>
      </c>
      <c r="B43" s="214" t="s">
        <v>1545</v>
      </c>
      <c r="C43" s="237">
        <f ca="1">ROUND(IF('数据-取费表'!B22&lt;=1,C39*F22*'数据-取费表'!B20/2,C39*(POWER((1+F22),'数据-取费表'!B20/2)-1)),0)</f>
        <v>732324</v>
      </c>
      <c r="D43" s="237"/>
      <c r="E43" s="237"/>
      <c r="F43" s="238"/>
      <c r="G43" s="3937"/>
    </row>
    <row r="44" spans="1:7" ht="13.5" customHeight="1">
      <c r="A44" s="776" t="s">
        <v>348</v>
      </c>
      <c r="B44" s="214" t="s">
        <v>1546</v>
      </c>
      <c r="C44" s="237">
        <f ca="1">ROUND(IF('数据-取费表'!B22&lt;=1,C40*F22*'数据-取费表'!B20/2,C40*(POWER((1+F22),'数据-取费表'!B20/2)-1)),4)</f>
        <v>1E-3</v>
      </c>
      <c r="D44" s="237"/>
      <c r="E44" s="237"/>
      <c r="F44" s="238"/>
      <c r="G44" s="3938"/>
    </row>
    <row r="45" spans="1:7" s="213" customFormat="1" ht="13.5" customHeight="1">
      <c r="A45" s="254" t="s">
        <v>1547</v>
      </c>
      <c r="B45" s="243" t="s">
        <v>1513</v>
      </c>
      <c r="C45" s="244">
        <f ca="1">C46</f>
        <v>121769943</v>
      </c>
      <c r="D45" s="234">
        <f ca="1">C47</f>
        <v>3.3999999999999998E-3</v>
      </c>
      <c r="E45" s="235" t="s">
        <v>1539</v>
      </c>
      <c r="F45" s="245">
        <f ca="1">F27</f>
        <v>0.17</v>
      </c>
      <c r="G45" s="246" t="s">
        <v>1548</v>
      </c>
    </row>
    <row r="46" spans="1:7" s="213" customFormat="1" ht="13.5" customHeight="1">
      <c r="A46" s="776" t="s">
        <v>346</v>
      </c>
      <c r="B46" s="247" t="s">
        <v>1549</v>
      </c>
      <c r="C46" s="248">
        <f ca="1">ROUND((C33+C39)*F27,0)</f>
        <v>121769943</v>
      </c>
      <c r="D46" s="262"/>
      <c r="E46" s="235"/>
      <c r="F46" s="245"/>
      <c r="G46" s="246"/>
    </row>
    <row r="47" spans="1:7" s="213" customFormat="1" ht="13.5" customHeight="1">
      <c r="A47" s="776" t="s">
        <v>347</v>
      </c>
      <c r="B47" s="247" t="s">
        <v>1550</v>
      </c>
      <c r="C47" s="237">
        <f ca="1">ROUND(C40*F27,4)</f>
        <v>3.3999999999999998E-3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949162157</v>
      </c>
      <c r="D49" s="231"/>
      <c r="E49" s="231"/>
      <c r="F49" s="263"/>
      <c r="G49" s="233" t="s">
        <v>1554</v>
      </c>
    </row>
    <row r="50" spans="1:7" s="257" customFormat="1">
      <c r="A50" s="254" t="s">
        <v>1555</v>
      </c>
      <c r="B50" s="209" t="s">
        <v>1556</v>
      </c>
      <c r="C50" s="231"/>
      <c r="D50" s="231"/>
      <c r="E50" s="231"/>
      <c r="F50" s="263">
        <f>IF('数据-取费表'!B24=0,'数据-取费表'!N16,1)</f>
        <v>1</v>
      </c>
      <c r="G50" s="246"/>
    </row>
    <row r="51" spans="1:7" ht="16.5" customHeight="1">
      <c r="A51" s="254" t="s">
        <v>1558</v>
      </c>
      <c r="B51" s="209" t="s">
        <v>1593</v>
      </c>
      <c r="C51" s="231">
        <f ca="1">ROUND(C49*F50,0)</f>
        <v>949162157</v>
      </c>
      <c r="D51" s="231"/>
      <c r="E51" s="231"/>
      <c r="F51" s="263"/>
      <c r="G51" s="233" t="s">
        <v>1560</v>
      </c>
    </row>
    <row r="52" spans="1:7" s="207" customFormat="1" ht="16.5" thickBot="1">
      <c r="A52" s="264" t="s">
        <v>1561</v>
      </c>
      <c r="B52" s="265"/>
      <c r="C52" s="266">
        <f ca="1">C31+C51</f>
        <v>1038367499</v>
      </c>
      <c r="D52" s="265"/>
      <c r="E52" s="265"/>
      <c r="F52" s="265"/>
      <c r="G52" s="267"/>
    </row>
    <row r="55" spans="1:7" ht="15">
      <c r="B55" s="269" t="s">
        <v>1562</v>
      </c>
      <c r="C55" s="270"/>
    </row>
    <row r="56" spans="1:7">
      <c r="B56" s="272" t="s">
        <v>802</v>
      </c>
      <c r="C56" s="274">
        <f ca="1">1-C57</f>
        <v>8.5999999999999965E-2</v>
      </c>
    </row>
    <row r="57" spans="1:7">
      <c r="B57" s="272" t="s">
        <v>803</v>
      </c>
      <c r="C57" s="273">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P19" sqref="P19"/>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6"/>
      <c r="C1" s="1187"/>
      <c r="D1" s="1185"/>
      <c r="E1" s="2796"/>
      <c r="F1" s="2796"/>
      <c r="G1" s="2661"/>
      <c r="H1" s="2796"/>
      <c r="I1" s="2796"/>
      <c r="J1" s="2796"/>
      <c r="K1" s="2797">
        <f>MATCH(C1,'数据-取费表'!A6:A16,0)+5</f>
        <v>9</v>
      </c>
    </row>
    <row r="2" spans="1:33" ht="18" customHeight="1">
      <c r="A2" s="200" t="s">
        <v>1462</v>
      </c>
      <c r="B2" s="203">
        <f ca="1">C32</f>
        <v>137882</v>
      </c>
      <c r="C2" s="275" t="s">
        <v>1595</v>
      </c>
      <c r="D2" s="275"/>
      <c r="E2" s="2796"/>
      <c r="F2" s="2796"/>
      <c r="G2" s="2796"/>
      <c r="H2" s="2796"/>
      <c r="I2" s="2796"/>
      <c r="J2" s="2796"/>
      <c r="K2" s="2796"/>
    </row>
    <row r="3" spans="1:33" ht="18" customHeight="1" thickBot="1">
      <c r="A3" s="202" t="s">
        <v>1464</v>
      </c>
      <c r="B3" s="203">
        <f ca="1">ROUND(B2*10000/IF(C1="",'数据-汇总表'!E3,INDIRECT("'数据-取费表'!K"&amp;$K$1)),0)</f>
        <v>7416</v>
      </c>
      <c r="C3" s="275" t="s">
        <v>1596</v>
      </c>
      <c r="D3" s="275"/>
      <c r="E3" s="2796"/>
      <c r="F3" s="2796"/>
      <c r="G3" s="2796"/>
      <c r="H3" s="2796"/>
      <c r="I3" s="2796"/>
      <c r="J3" s="2796"/>
      <c r="K3" s="2796"/>
    </row>
    <row r="4" spans="1:33" s="781" customFormat="1" ht="16.5" customHeight="1">
      <c r="A4" s="778" t="s">
        <v>1597</v>
      </c>
      <c r="B4" s="779"/>
      <c r="C4" s="820">
        <f ca="1">SUM(C8:K8)</f>
        <v>204375</v>
      </c>
      <c r="D4" s="779"/>
      <c r="E4" s="779"/>
      <c r="F4" s="779"/>
      <c r="G4" s="779"/>
      <c r="H4" s="779"/>
      <c r="I4" s="779"/>
      <c r="J4" s="779"/>
      <c r="K4" s="780"/>
    </row>
    <row r="5" spans="1:33" s="785" customFormat="1" ht="15">
      <c r="A5" s="782" t="s">
        <v>1598</v>
      </c>
      <c r="B5" s="783" t="s">
        <v>1599</v>
      </c>
      <c r="C5" s="1855" t="s">
        <v>3782</v>
      </c>
      <c r="D5" s="1855" t="s">
        <v>673</v>
      </c>
      <c r="E5" s="1855" t="s">
        <v>3437</v>
      </c>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f>'比较法-住宅'!B3</f>
        <v>14550</v>
      </c>
      <c r="D6" s="787">
        <f ca="1">收益法!B3</f>
        <v>10956</v>
      </c>
      <c r="E6" s="787">
        <f ca="1">收益法车!B3</f>
        <v>2810</v>
      </c>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133800</v>
      </c>
      <c r="D7" s="276">
        <f>SUMIF('数据-汇总表'!$C19:$C33,假设开发法!D5,'数据-汇总表'!$E19:$E33)</f>
        <v>1558.08</v>
      </c>
      <c r="E7" s="276">
        <f>SUMIF('数据-汇总表'!$C19:$C33,假设开发法!E5,'数据-汇总表'!$E19:$E33)</f>
        <v>28431.67</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3" t="s">
        <v>1604</v>
      </c>
      <c r="C8" s="821">
        <f>C6*C7/10000</f>
        <v>194679</v>
      </c>
      <c r="D8" s="821">
        <f ca="1">收益法!B2</f>
        <v>1707</v>
      </c>
      <c r="E8" s="821">
        <f ca="1">收益法车!B2</f>
        <v>7989</v>
      </c>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23956</v>
      </c>
      <c r="D11" s="798"/>
      <c r="E11" s="328"/>
      <c r="F11" s="808">
        <f ca="1">1-IF('数据-取费表'!B24=0,1,IF(C1="",'数据-取费表'!N16,INDIRECT("'数据-取费表'!n"&amp;$K$1)))</f>
        <v>0.4</v>
      </c>
      <c r="G11" s="5"/>
      <c r="H11" s="793"/>
      <c r="I11" s="793"/>
      <c r="J11" s="793"/>
      <c r="K11" s="794"/>
    </row>
    <row r="12" spans="1:33" s="799" customFormat="1" ht="13.5" customHeight="1">
      <c r="A12" s="796" t="s">
        <v>636</v>
      </c>
      <c r="B12" s="797" t="s">
        <v>1613</v>
      </c>
      <c r="C12" s="21">
        <f ca="1">ROUND(C11*F12,0)</f>
        <v>1198</v>
      </c>
      <c r="D12" s="798"/>
      <c r="E12" s="328"/>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1311</v>
      </c>
      <c r="D13" s="842"/>
      <c r="E13" s="328"/>
      <c r="F13" s="808">
        <f>'数据-取费表'!B34</f>
        <v>7.0000000000000007E-2</v>
      </c>
      <c r="G13" s="5" t="s">
        <v>1616</v>
      </c>
      <c r="H13" s="793"/>
      <c r="I13" s="793"/>
      <c r="J13" s="793"/>
      <c r="K13" s="794"/>
    </row>
    <row r="14" spans="1:33" s="801" customFormat="1" ht="13.5" customHeight="1">
      <c r="A14" s="796" t="s">
        <v>638</v>
      </c>
      <c r="B14" s="797" t="s">
        <v>1617</v>
      </c>
      <c r="C14" s="21">
        <f ca="1">ROUND(D14*E14*F11/10000,0)</f>
        <v>1264</v>
      </c>
      <c r="D14" s="842">
        <f ca="1">IF(C1="",'数据-汇总表'!E3,INDIRECT("'数据-取费表'!K"&amp;$K$1)+INDIRECT("'数据-取费表'!S"&amp;$K$1))</f>
        <v>185933.89999999997</v>
      </c>
      <c r="E14" s="21">
        <f>'数据-取费表'!B35</f>
        <v>170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359</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28088</v>
      </c>
      <c r="D16" s="802"/>
      <c r="E16" s="807"/>
      <c r="F16" s="808"/>
      <c r="G16" s="130"/>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185933.89999999997</v>
      </c>
      <c r="E17" s="21">
        <f>'数据-取费表'!B32</f>
        <v>0</v>
      </c>
      <c r="F17" s="802"/>
      <c r="G17" s="130"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7" t="s">
        <v>3857</v>
      </c>
      <c r="H18" s="1182"/>
      <c r="I18" s="1858" t="s">
        <v>1625</v>
      </c>
      <c r="J18" s="803"/>
      <c r="K18" s="804"/>
    </row>
    <row r="19" spans="1:33" s="799" customFormat="1" ht="13.5" customHeight="1">
      <c r="A19" s="796" t="s">
        <v>360</v>
      </c>
      <c r="B19" s="797" t="s">
        <v>1626</v>
      </c>
      <c r="C19" s="21">
        <f ca="1">ROUND(D19*E19/10000,0)</f>
        <v>2275</v>
      </c>
      <c r="D19" s="842">
        <f ca="1">IF(C1="",'数据-汇总表'!E5,IF(INDIRECT("'数据-取费表'!c"&amp;$K$1)="住宅",INDIRECT("'数据-取费表'!k"&amp;$K$1),0))</f>
        <v>133800</v>
      </c>
      <c r="E19" s="21">
        <f>'数据-取费表'!B27</f>
        <v>170</v>
      </c>
      <c r="F19" s="800"/>
      <c r="G19" s="12"/>
      <c r="H19" s="1184"/>
      <c r="I19" s="805"/>
      <c r="J19" s="805"/>
      <c r="K19" s="806"/>
    </row>
    <row r="20" spans="1:33" s="799" customFormat="1" ht="13.5" customHeight="1">
      <c r="A20" s="796" t="s">
        <v>361</v>
      </c>
      <c r="B20" s="797" t="s">
        <v>1627</v>
      </c>
      <c r="C20" s="21">
        <f ca="1">ROUND(D20*E20/10000,0)</f>
        <v>886</v>
      </c>
      <c r="D20" s="842">
        <f ca="1">IF(C1="",'数据-汇总表'!E6,IF(INDIRECT("'数据-取费表'!c"&amp;$K$1)="住宅",INDIRECT("'数据-取费表'!s"&amp;$K$1),INDIRECT("'数据-取费表'!k"&amp;$K$1)+INDIRECT("'数据-取费表'!s"&amp;$K$1)))</f>
        <v>52133.899999999965</v>
      </c>
      <c r="E20" s="21">
        <f>'数据-取费表'!B28</f>
        <v>170</v>
      </c>
      <c r="F20" s="800"/>
      <c r="G20" s="12"/>
      <c r="H20" s="805"/>
      <c r="I20" s="805"/>
      <c r="J20" s="805"/>
      <c r="K20" s="806"/>
    </row>
    <row r="21" spans="1:33" s="799" customFormat="1" ht="13.5" customHeight="1">
      <c r="A21" s="786" t="s">
        <v>357</v>
      </c>
      <c r="B21" s="809" t="s">
        <v>1628</v>
      </c>
      <c r="C21" s="810">
        <f ca="1">C16+C17+C18</f>
        <v>28088</v>
      </c>
      <c r="D21" s="811"/>
      <c r="E21" s="280"/>
      <c r="F21" s="280"/>
      <c r="G21" s="130" t="s">
        <v>1629</v>
      </c>
      <c r="H21" s="803"/>
      <c r="I21" s="803"/>
      <c r="J21" s="803"/>
      <c r="K21" s="804"/>
    </row>
    <row r="22" spans="1:33" s="799" customFormat="1" ht="13.5" customHeight="1">
      <c r="A22" s="786" t="s">
        <v>1601</v>
      </c>
      <c r="B22" s="809" t="s">
        <v>1630</v>
      </c>
      <c r="C22" s="810">
        <f ca="1">ROUND(C21*F22,0)</f>
        <v>562</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1635</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622</v>
      </c>
      <c r="D25" s="279">
        <f ca="1">C26</f>
        <v>4.2700000000000002E-2</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4.2700000000000002E-2</v>
      </c>
      <c r="D26" s="283"/>
      <c r="E26" s="284"/>
      <c r="F26" s="285"/>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622</v>
      </c>
      <c r="D27" s="283"/>
      <c r="E27" s="284"/>
      <c r="F27" s="285"/>
      <c r="G27" s="1859" t="str">
        <f>IF('数据-取费表'!B22&lt;=1,"（1）-（3）项×年利率×建设期÷2","（1）-（3）项×((1+年利率)^(建设期÷2)-1)")</f>
        <v>（1）-（3）项×((1+年利率)^(建设期÷2)-1)</v>
      </c>
      <c r="H27" s="803"/>
      <c r="I27" s="803"/>
      <c r="J27" s="803"/>
      <c r="K27" s="804"/>
    </row>
    <row r="28" spans="1:33" s="288" customFormat="1" ht="13.5" customHeight="1">
      <c r="A28" s="786" t="s">
        <v>1641</v>
      </c>
      <c r="B28" s="1860" t="s">
        <v>1642</v>
      </c>
      <c r="C28" s="286">
        <f ca="1">C30</f>
        <v>5148</v>
      </c>
      <c r="D28" s="279">
        <f ca="1">C29</f>
        <v>7.0000000000000007E-2</v>
      </c>
      <c r="E28" s="281" t="s">
        <v>12</v>
      </c>
      <c r="F28" s="287">
        <f ca="1">IF(C1="",'数据-取费表'!Q16,INDIRECT("'数据-取费表'!q"&amp;$K$1))</f>
        <v>0.17</v>
      </c>
      <c r="G28" s="813"/>
      <c r="H28" s="814"/>
      <c r="I28" s="814"/>
      <c r="J28" s="814"/>
      <c r="K28" s="815"/>
    </row>
    <row r="29" spans="1:33" s="290" customFormat="1" ht="13.5" customHeight="1">
      <c r="A29" s="796" t="s">
        <v>358</v>
      </c>
      <c r="B29" s="818" t="s">
        <v>1643</v>
      </c>
      <c r="C29" s="283">
        <f ca="1">ROUND((1+C24)*F28*'数据-取费表'!B24/'数据-取费表'!B20,4)</f>
        <v>7.0000000000000007E-2</v>
      </c>
      <c r="D29" s="283"/>
      <c r="E29" s="284"/>
      <c r="F29" s="289"/>
      <c r="G29" s="130" t="s">
        <v>1644</v>
      </c>
      <c r="H29" s="803"/>
      <c r="I29" s="803"/>
      <c r="J29" s="803"/>
      <c r="K29" s="804"/>
    </row>
    <row r="30" spans="1:33" s="290" customFormat="1" ht="13.5" customHeight="1">
      <c r="A30" s="796" t="s">
        <v>359</v>
      </c>
      <c r="B30" s="818" t="s">
        <v>1645</v>
      </c>
      <c r="C30" s="291">
        <f ca="1">ROUND((C21+C22+C23)*F28,0)</f>
        <v>5148</v>
      </c>
      <c r="D30" s="283"/>
      <c r="E30" s="284"/>
      <c r="F30" s="289"/>
      <c r="G30" s="130"/>
      <c r="H30" s="803"/>
      <c r="I30" s="803"/>
      <c r="J30" s="803"/>
      <c r="K30" s="804"/>
    </row>
    <row r="31" spans="1:33" s="799" customFormat="1" ht="13.5" customHeight="1" thickBot="1">
      <c r="A31" s="1861" t="s">
        <v>1646</v>
      </c>
      <c r="B31" s="829" t="s">
        <v>1647</v>
      </c>
      <c r="C31" s="830">
        <f ca="1">ROUND(C4*F31/(1+'数据-取费表'!C42),0)</f>
        <v>10900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137882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c r="D1" s="1357" t="s">
        <v>43</v>
      </c>
      <c r="E1" s="1358" t="s">
        <v>678</v>
      </c>
      <c r="F1" s="1058">
        <f ca="1">J53</f>
        <v>0</v>
      </c>
      <c r="G1" s="1373">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411" t="e">
        <f ca="1">ROUND(D2/10000,4)</f>
        <v>#DIV/0!</v>
      </c>
      <c r="C2" s="1382" t="s">
        <v>879</v>
      </c>
      <c r="D2" s="1466" t="e">
        <f ca="1">C40+J29+L46</f>
        <v>#DIV/0!</v>
      </c>
      <c r="E2" s="1383" t="s">
        <v>880</v>
      </c>
      <c r="F2" s="1384"/>
      <c r="G2" s="2696"/>
      <c r="H2" s="2685"/>
      <c r="I2" s="2685"/>
      <c r="J2" s="2685"/>
      <c r="K2" s="2686"/>
      <c r="L2" s="2685"/>
      <c r="M2" s="2685"/>
    </row>
    <row r="3" spans="1:37" ht="18" customHeight="1" thickBot="1">
      <c r="A3" s="1385" t="s">
        <v>881</v>
      </c>
      <c r="B3" s="1386">
        <f ca="1">IF(ISERROR(D2/F43),0,ROUND(D2/F43,0))</f>
        <v>0</v>
      </c>
      <c r="C3" s="1382" t="s">
        <v>882</v>
      </c>
      <c r="D3" s="1382"/>
      <c r="E3" s="1383"/>
      <c r="F3" s="1384"/>
      <c r="G3" s="2696"/>
      <c r="H3" s="682"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0</v>
      </c>
      <c r="D5" s="1359" t="s">
        <v>889</v>
      </c>
      <c r="E5" s="1067"/>
      <c r="F5" s="1068"/>
      <c r="G5" s="1379"/>
      <c r="H5" s="298">
        <v>1</v>
      </c>
      <c r="I5" s="299" t="s">
        <v>888</v>
      </c>
      <c r="J5" s="1066">
        <f ca="1">J6+J10+J12</f>
        <v>0</v>
      </c>
      <c r="K5" s="1359" t="s">
        <v>889</v>
      </c>
      <c r="L5" s="1067"/>
      <c r="M5" s="1068"/>
    </row>
    <row r="6" spans="1:37" ht="18" customHeight="1">
      <c r="A6" s="1065" t="s">
        <v>398</v>
      </c>
      <c r="B6" s="3939" t="s">
        <v>694</v>
      </c>
      <c r="C6" s="1070">
        <f ca="1">ROUND(F6*F8*F7*(1-F9),0)</f>
        <v>0</v>
      </c>
      <c r="D6" s="154" t="s">
        <v>2105</v>
      </c>
      <c r="E6" s="301" t="s">
        <v>696</v>
      </c>
      <c r="F6" s="302">
        <f ca="1">INDIRECT("'数据-取费表'!u"&amp;$G$1)</f>
        <v>0</v>
      </c>
      <c r="G6" s="1379"/>
      <c r="H6" s="1065" t="s">
        <v>398</v>
      </c>
      <c r="I6" s="3939" t="s">
        <v>694</v>
      </c>
      <c r="J6" s="300">
        <f ca="1">ROUND(M6*M8*M7*(1-M9),0)</f>
        <v>0</v>
      </c>
      <c r="K6" s="1371" t="s">
        <v>2106</v>
      </c>
      <c r="L6" s="301" t="s">
        <v>696</v>
      </c>
      <c r="M6" s="302">
        <f ca="1">INDIRECT("'数据-取费表'!z"&amp;$G$1)</f>
        <v>0</v>
      </c>
    </row>
    <row r="7" spans="1:37" ht="18" customHeight="1">
      <c r="A7" s="1069"/>
      <c r="B7" s="3940"/>
      <c r="C7" s="1071"/>
      <c r="D7" s="306"/>
      <c r="E7" s="1072" t="s">
        <v>697</v>
      </c>
      <c r="F7" s="302">
        <f ca="1">IF(INDIRECT("'数据-取费表'!ah"&amp;$G$1)="",INDIRECT("'数据-取费表'!k"&amp;$G$1),INDIRECT("'数据-取费表'!ah"&amp;$G$1))</f>
        <v>0</v>
      </c>
      <c r="G7" s="1379"/>
      <c r="H7" s="303"/>
      <c r="I7" s="3940"/>
      <c r="J7" s="305"/>
      <c r="K7" s="306"/>
      <c r="L7" s="301" t="s">
        <v>697</v>
      </c>
      <c r="M7" s="302">
        <f ca="1">F7</f>
        <v>0</v>
      </c>
    </row>
    <row r="8" spans="1:37" ht="18" customHeight="1">
      <c r="A8" s="303"/>
      <c r="B8" s="3940"/>
      <c r="C8" s="305"/>
      <c r="D8" s="306"/>
      <c r="E8" s="301" t="s">
        <v>698</v>
      </c>
      <c r="F8" s="302">
        <f ca="1">INDIRECT("'数据-取费表'!ai"&amp;$G$1)</f>
        <v>0</v>
      </c>
      <c r="G8" s="1379"/>
      <c r="H8" s="303"/>
      <c r="I8" s="3940"/>
      <c r="J8" s="305"/>
      <c r="K8" s="306"/>
      <c r="L8" s="301" t="s">
        <v>698</v>
      </c>
      <c r="M8" s="302">
        <f ca="1">INDIRECT("'数据-取费表'!ai"&amp;$G$1)</f>
        <v>0</v>
      </c>
    </row>
    <row r="9" spans="1:37" ht="18" customHeight="1">
      <c r="A9" s="303"/>
      <c r="B9" s="3941"/>
      <c r="C9" s="305"/>
      <c r="D9" s="306"/>
      <c r="E9" s="301" t="s">
        <v>699</v>
      </c>
      <c r="F9" s="311">
        <f ca="1">INDIRECT("'数据-取费表'!w"&amp;$G$1)</f>
        <v>0</v>
      </c>
      <c r="G9" s="1379"/>
      <c r="H9" s="303"/>
      <c r="I9" s="3941"/>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72" t="s">
        <v>2117</v>
      </c>
      <c r="L10" s="312" t="s">
        <v>701</v>
      </c>
      <c r="M10" s="1112"/>
    </row>
    <row r="11" spans="1:37" ht="18" customHeight="1">
      <c r="A11" s="307"/>
      <c r="B11" s="1362" t="s">
        <v>890</v>
      </c>
      <c r="C11" s="955"/>
      <c r="D11" s="306"/>
      <c r="E11" s="312" t="s">
        <v>702</v>
      </c>
      <c r="F11" s="313">
        <f ca="1">'数据-取费表'!B39</f>
        <v>1.4999999999999999E-2</v>
      </c>
      <c r="G11" s="1379"/>
      <c r="H11" s="1073"/>
      <c r="I11" s="1362" t="s">
        <v>891</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1" t="s">
        <v>707</v>
      </c>
      <c r="C14" s="317">
        <f ca="1">ROUND(INDIRECT("'数据-取费表'!l"&amp;$G$1)*F43+'数据-取费表'!L14*INDIRECT("'数据-取费表'!S"&amp;$G$1),0)</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ROUND(F17*(F43+INDIRECT("'数据-取费表'!S"&amp;$G$1)),0)</f>
        <v>0</v>
      </c>
      <c r="D17" s="301" t="s">
        <v>717</v>
      </c>
      <c r="E17" s="301" t="s">
        <v>718</v>
      </c>
      <c r="F17" s="23">
        <f>'数据-取费表'!B35</f>
        <v>170</v>
      </c>
      <c r="G17" s="1391"/>
      <c r="H17" s="978" t="s">
        <v>398</v>
      </c>
      <c r="I17" s="301" t="s">
        <v>719</v>
      </c>
      <c r="J17" s="2308">
        <f ca="1">ROUND(IF(AND(项目基本情况!B11="自然人",项目基本情况!B10="北京市"),J6*M17/(1+'数据-取费表'!C42),J18+J19+J20),0)</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ROUND(J6*M18/(1+'数据-取费表'!C42),0)</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IF(K19="按租金收入计税",ROUND(J6*M19/(1+'数据-取费表'!C42),0),ROUND(C29*M19*0.7,0))</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ROUND(M20*M21,0)</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ROUND(J14*M22,0)</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2.5</v>
      </c>
      <c r="G23" s="1391"/>
      <c r="H23" s="978" t="s">
        <v>437</v>
      </c>
      <c r="I23" s="301" t="s">
        <v>742</v>
      </c>
      <c r="J23" s="21">
        <f ca="1">ROUND(J13*M23,0)</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ROUND(IF(AND(项目基本情况!B11="自然人",项目基本情况!B10="北京市"),C6*F31/(1+'数据-取费表'!C42),C32+C33+C34),0)</f>
        <v>0</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IF(项目基本情况!B11="自然人","——",ROUND(C6*F32/(1+'数据-取费表'!C42),0))</f>
        <v>0</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IF(项目基本情况!B11="自然人","——",ROUND(F34*F35,0))</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ROUND(C29*F36,0)</f>
        <v>0</v>
      </c>
      <c r="D36" s="1339" t="s">
        <v>771</v>
      </c>
      <c r="E36" s="301" t="s">
        <v>712</v>
      </c>
      <c r="F36" s="327">
        <f ca="1">INDIRECT("'数据-取费表'!Ak"&amp;$G$1)</f>
        <v>0</v>
      </c>
      <c r="G36" s="1379"/>
      <c r="H36" s="2690"/>
      <c r="I36" s="1393"/>
      <c r="J36" s="1394"/>
      <c r="K36" s="2535"/>
      <c r="L36" s="2690"/>
      <c r="M36" s="2690"/>
    </row>
    <row r="37" spans="1:18" ht="18" customHeight="1">
      <c r="A37" s="978" t="s">
        <v>437</v>
      </c>
      <c r="B37" s="301" t="s">
        <v>742</v>
      </c>
      <c r="C37" s="21">
        <f ca="1">ROUND(C13*F37,0)</f>
        <v>0</v>
      </c>
      <c r="D37" s="1339" t="s">
        <v>743</v>
      </c>
      <c r="E37" s="301" t="s">
        <v>744</v>
      </c>
      <c r="F37" s="329">
        <f ca="1">INDIRECT("'数据-取费表'!Al"&amp;$G$1)</f>
        <v>0</v>
      </c>
      <c r="G37" s="1379"/>
      <c r="H37" s="2690"/>
      <c r="I37" s="1393"/>
      <c r="J37" s="1394"/>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5"/>
      <c r="L41" s="1186"/>
      <c r="M41" s="1186"/>
    </row>
    <row r="42" spans="1:18" ht="18" customHeight="1">
      <c r="A42" s="307"/>
      <c r="B42" s="308"/>
      <c r="C42" s="309"/>
      <c r="D42" s="326"/>
      <c r="E42" s="301" t="s">
        <v>766</v>
      </c>
      <c r="F42" s="311">
        <f ca="1">INDIRECT("'数据-取费表'!v"&amp;$G$1)</f>
        <v>0</v>
      </c>
      <c r="G42" s="1379"/>
      <c r="H42" s="1186"/>
      <c r="I42" s="1393"/>
      <c r="J42" s="1394"/>
      <c r="K42" s="2535"/>
      <c r="L42" s="1186"/>
      <c r="M42" s="1186"/>
    </row>
    <row r="43" spans="1:18" ht="18" customHeight="1" thickBot="1">
      <c r="A43" s="333" t="s">
        <v>396</v>
      </c>
      <c r="B43" s="334" t="s">
        <v>776</v>
      </c>
      <c r="C43" s="335" t="e">
        <f ca="1">ROUND(C40/F43,0)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3417" t="s">
        <v>3355</v>
      </c>
      <c r="B45" s="1395"/>
      <c r="C45" s="1467" t="e">
        <f ca="1">ROUND((C68-C40)/10000,4)</f>
        <v>#DIV/0!</v>
      </c>
      <c r="D45" s="3418" t="s">
        <v>3356</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2" t="s">
        <v>700</v>
      </c>
      <c r="C53" s="315">
        <f ca="1">ROUND(IF(F53="押一",C49/12*F11,IF(F53="押二",C49/12*2*F11,IF(F53="押三",C49/12*3*F11,C54*F11))),0)</f>
        <v>0</v>
      </c>
      <c r="D53" s="1361" t="s">
        <v>2118</v>
      </c>
      <c r="E53" s="312" t="s">
        <v>701</v>
      </c>
      <c r="F53" s="1112"/>
      <c r="I53" s="1434" t="s">
        <v>836</v>
      </c>
      <c r="J53" s="2160">
        <f ca="1">IF(M47="住宅",IF(D1="——",MAX(J51,L48),MAX(J51,L48-'数据-取费表'!B24)),IF(D1="——",MIN(J51,L48),MIN(J51,L48-'数据-取费表'!B24)))</f>
        <v>0</v>
      </c>
      <c r="K53" s="3942" t="s">
        <v>837</v>
      </c>
      <c r="L53" s="3943"/>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1">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4">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受贵公司委托，我公司对河南省郑州市经开区房地产抵押价值进行了预评估。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估价对象为河南省郑州市经开区房地产，为所有。根据《国有土地使用证》[]，估价对象（分摊）出让国有建设用地使用权面积为61753.05平方米，建筑面积为185933.9平方米。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估价对象为河南省郑州市经开区房地产,属开发建设的，该项目尚在开发建设中。根据《国有土地使用证》[]，估价对象（分摊）出让国有建设用地使用权面积为61753.05平方米，规划建筑面积为185933.9平方米。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拟使用河南省郑州市经开区房地产作为抵押担保物，向办理贷款手续。特委托北京康正宏基房地产评估有限公司对上述抵押物进行评估。本次评估为确定房地产抵押贷款额度提供参考依据而评估房地产抵押价值。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2023年3月14日（评估专业人员实地查勘之日）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本次评估采用的主估价方法为成本法和假设开发法。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B3" sqref="B3"/>
    </sheetView>
  </sheetViews>
  <sheetFormatPr defaultRowHeight="13.15" customHeight="1"/>
  <cols>
    <col min="1" max="1" width="9.5" style="2832" customWidth="1"/>
    <col min="2" max="2" width="8.875" style="2832"/>
    <col min="3" max="5" width="12.875" style="2832" customWidth="1"/>
    <col min="6" max="6" width="47.5" style="2832" customWidth="1"/>
    <col min="7" max="7" width="13" style="2987" customWidth="1"/>
    <col min="8" max="8" width="8.875" style="2826"/>
    <col min="9" max="9" width="8.875" style="2827"/>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2434</v>
      </c>
      <c r="B1" s="2822"/>
      <c r="C1" s="2834"/>
      <c r="D1" s="2834"/>
      <c r="E1" s="2823"/>
      <c r="F1" s="2824"/>
      <c r="G1" s="2825"/>
      <c r="J1" s="2828" t="s">
        <v>2314</v>
      </c>
      <c r="K1" s="2829"/>
      <c r="L1" s="2829"/>
      <c r="M1" s="2829"/>
      <c r="N1" s="2829"/>
      <c r="O1" s="2829"/>
      <c r="P1" s="2829"/>
      <c r="Q1" s="2829"/>
      <c r="R1" s="2830"/>
      <c r="S1" s="2831"/>
      <c r="T1" s="2831"/>
      <c r="U1" s="2831"/>
    </row>
    <row r="2" spans="1:22" s="2843" customFormat="1" ht="13.15" customHeight="1">
      <c r="A2" s="1380" t="s">
        <v>2315</v>
      </c>
      <c r="B2" s="2833">
        <f ca="1">IF(D2="——",C40,C40+E2)</f>
        <v>36578</v>
      </c>
      <c r="C2" s="2834" t="s">
        <v>2316</v>
      </c>
      <c r="D2" s="3429" t="s">
        <v>43</v>
      </c>
      <c r="E2" s="3430"/>
      <c r="F2" s="2836"/>
      <c r="G2" s="2837"/>
      <c r="H2" s="2838"/>
      <c r="I2" s="2839"/>
      <c r="J2" s="3944" t="s">
        <v>2317</v>
      </c>
      <c r="K2" s="3945"/>
      <c r="L2" s="2840" t="s">
        <v>2318</v>
      </c>
      <c r="M2" s="2840" t="s">
        <v>2319</v>
      </c>
      <c r="N2" s="2840" t="s">
        <v>2320</v>
      </c>
      <c r="O2" s="2840" t="s">
        <v>2321</v>
      </c>
      <c r="P2" s="2840" t="s">
        <v>2322</v>
      </c>
      <c r="Q2" s="2841" t="s">
        <v>2323</v>
      </c>
      <c r="R2" s="2842" t="s">
        <v>2324</v>
      </c>
      <c r="S2" s="2831"/>
      <c r="T2" s="2831"/>
      <c r="U2" s="2831"/>
      <c r="V2" s="2839"/>
    </row>
    <row r="3" spans="1:22" s="2843" customFormat="1" ht="13.15" customHeight="1">
      <c r="A3" s="2844" t="s">
        <v>2325</v>
      </c>
      <c r="B3" s="2845">
        <f ca="1">ROUND(B2*10000/B4,0)</f>
        <v>1574</v>
      </c>
      <c r="C3" s="2834" t="s">
        <v>2326</v>
      </c>
      <c r="D3" s="2834"/>
      <c r="E3" s="2835"/>
      <c r="F3" s="2836"/>
      <c r="G3" s="2837"/>
      <c r="H3" s="2838"/>
      <c r="I3" s="2839"/>
      <c r="J3" s="3946" t="s">
        <v>2327</v>
      </c>
      <c r="K3" s="3947"/>
      <c r="L3" s="2846"/>
      <c r="M3" s="2846"/>
      <c r="N3" s="2846"/>
      <c r="O3" s="2846"/>
      <c r="P3" s="2846"/>
      <c r="Q3" s="2847"/>
      <c r="R3" s="2848">
        <f>SUM(L3:Q3)</f>
        <v>0</v>
      </c>
      <c r="S3" s="2831"/>
      <c r="T3" s="2831"/>
      <c r="U3" s="2831"/>
      <c r="V3" s="2839"/>
    </row>
    <row r="4" spans="1:22" s="2843" customFormat="1" ht="13.15" customHeight="1">
      <c r="A4" s="2849" t="s">
        <v>2328</v>
      </c>
      <c r="B4" s="2850">
        <f>'数据-基础表'!B3</f>
        <v>232346.00999999995</v>
      </c>
      <c r="C4" s="2834"/>
      <c r="D4" s="2834"/>
      <c r="E4" s="2835"/>
      <c r="F4" s="2836"/>
      <c r="G4" s="2837"/>
      <c r="H4" s="2838"/>
      <c r="I4" s="2839"/>
      <c r="J4" s="3946" t="s">
        <v>2329</v>
      </c>
      <c r="K4" s="3947"/>
      <c r="L4" s="2851"/>
      <c r="M4" s="2851"/>
      <c r="N4" s="2851"/>
      <c r="O4" s="2851"/>
      <c r="P4" s="2851"/>
      <c r="Q4" s="2852"/>
      <c r="R4" s="2853">
        <f>SUM(L4:Q4)</f>
        <v>0</v>
      </c>
      <c r="S4" s="2831"/>
      <c r="T4" s="2831"/>
      <c r="U4" s="2831"/>
      <c r="V4" s="2839"/>
    </row>
    <row r="5" spans="1:22" s="2843" customFormat="1" ht="13.15" customHeight="1" thickBot="1">
      <c r="A5" s="2854" t="s">
        <v>2330</v>
      </c>
      <c r="B5" s="2855">
        <f>'数据-基础表'!A3</f>
        <v>77167.61</v>
      </c>
      <c r="C5" s="2834"/>
      <c r="D5" s="2856"/>
      <c r="E5" s="2836"/>
      <c r="F5" s="2836"/>
      <c r="G5" s="2837"/>
      <c r="H5" s="2838"/>
      <c r="I5" s="2839"/>
      <c r="J5" s="2857" t="s">
        <v>2331</v>
      </c>
      <c r="K5" s="2858"/>
      <c r="L5" s="2858"/>
      <c r="M5" s="2859"/>
      <c r="N5" s="2859"/>
      <c r="O5" s="2859"/>
      <c r="P5" s="2859"/>
      <c r="Q5" s="2859"/>
      <c r="R5" s="2842">
        <f>SUM(R14,R19,R24,R25,R27,R28)</f>
        <v>2712</v>
      </c>
      <c r="S5" s="2831"/>
      <c r="T5" s="2831" t="s">
        <v>2332</v>
      </c>
      <c r="U5" s="2831" t="e">
        <f>ROUND(R5*10000/365/R3,1)</f>
        <v>#DIV/0!</v>
      </c>
      <c r="V5" s="2839"/>
    </row>
    <row r="6" spans="1:22" s="2843" customFormat="1" ht="13.15" customHeight="1" thickBot="1">
      <c r="A6" s="3948" t="s">
        <v>2333</v>
      </c>
      <c r="B6" s="3949"/>
      <c r="C6" s="3950"/>
      <c r="D6" s="2860">
        <f>R5</f>
        <v>2712</v>
      </c>
      <c r="E6" s="2861"/>
      <c r="F6" s="2862"/>
      <c r="G6" s="2863"/>
      <c r="H6" s="2838"/>
      <c r="I6" s="2839"/>
      <c r="J6" s="3951">
        <v>1</v>
      </c>
      <c r="K6" s="3952" t="s">
        <v>2334</v>
      </c>
      <c r="L6" s="2864" t="s">
        <v>2335</v>
      </c>
      <c r="M6" s="2865" t="s">
        <v>2336</v>
      </c>
      <c r="N6" s="2865" t="s">
        <v>2337</v>
      </c>
      <c r="O6" s="2865" t="s">
        <v>2338</v>
      </c>
      <c r="P6" s="2865" t="s">
        <v>2339</v>
      </c>
      <c r="Q6" s="2865" t="s">
        <v>2340</v>
      </c>
      <c r="R6" s="2848" t="s">
        <v>2341</v>
      </c>
      <c r="S6" s="2831"/>
      <c r="T6" s="2831" t="s">
        <v>2342</v>
      </c>
      <c r="U6" s="2831"/>
      <c r="V6" s="2839"/>
    </row>
    <row r="7" spans="1:22" s="2843" customFormat="1" ht="13.15" customHeight="1">
      <c r="A7" s="2866" t="s">
        <v>2343</v>
      </c>
      <c r="B7" s="2867"/>
      <c r="C7" s="2868"/>
      <c r="D7" s="2869">
        <f ca="1">SUM(D9,D10,D11,D17,0)</f>
        <v>1433</v>
      </c>
      <c r="E7" s="2870">
        <f ca="1">E9+E10+E11+E17</f>
        <v>0.52824483775811215</v>
      </c>
      <c r="F7" s="2871"/>
      <c r="G7" s="2872"/>
      <c r="H7" s="2838"/>
      <c r="I7" s="2839"/>
      <c r="J7" s="3951"/>
      <c r="K7" s="3953"/>
      <c r="L7" s="2873" t="s">
        <v>2344</v>
      </c>
      <c r="M7" s="2874"/>
      <c r="N7" s="2850"/>
      <c r="O7" s="2875"/>
      <c r="P7" s="2875"/>
      <c r="Q7" s="2876">
        <v>365</v>
      </c>
      <c r="R7" s="2877">
        <f>ROUND(M7*N7*O7*P7*Q7/10000,0)</f>
        <v>0</v>
      </c>
      <c r="S7" s="2831"/>
      <c r="T7" s="2831" t="s">
        <v>2345</v>
      </c>
      <c r="U7" s="2831"/>
      <c r="V7" s="2839"/>
    </row>
    <row r="8" spans="1:22" s="2843" customFormat="1" ht="13.15" customHeight="1">
      <c r="A8" s="2878" t="s">
        <v>2346</v>
      </c>
      <c r="B8" s="3955" t="s">
        <v>2347</v>
      </c>
      <c r="C8" s="3956"/>
      <c r="D8" s="2879" t="s">
        <v>2348</v>
      </c>
      <c r="E8" s="2880" t="s">
        <v>2349</v>
      </c>
      <c r="F8" s="2881" t="s">
        <v>2350</v>
      </c>
      <c r="G8" s="2882"/>
      <c r="H8" s="2838"/>
      <c r="I8" s="2839"/>
      <c r="J8" s="3951"/>
      <c r="K8" s="3953"/>
      <c r="L8" s="2873" t="s">
        <v>2351</v>
      </c>
      <c r="M8" s="2874"/>
      <c r="N8" s="2850"/>
      <c r="O8" s="2875"/>
      <c r="P8" s="2875"/>
      <c r="Q8" s="2876">
        <v>365</v>
      </c>
      <c r="R8" s="2877">
        <f t="shared" ref="R8:R13" si="0">ROUND(M8*N8*O8*P8*Q8/10000,0)</f>
        <v>0</v>
      </c>
      <c r="S8" s="2831"/>
      <c r="T8" s="2831" t="s">
        <v>2352</v>
      </c>
      <c r="U8" s="2831"/>
      <c r="V8" s="2839"/>
    </row>
    <row r="9" spans="1:22" s="2843" customFormat="1" ht="13.15" customHeight="1">
      <c r="A9" s="2878">
        <v>1</v>
      </c>
      <c r="B9" s="3955" t="s">
        <v>2353</v>
      </c>
      <c r="C9" s="3956"/>
      <c r="D9" s="2879">
        <f>ROUND(D6*E9,0)</f>
        <v>407</v>
      </c>
      <c r="E9" s="3462">
        <v>0.15</v>
      </c>
      <c r="F9" s="2883" t="s">
        <v>2354</v>
      </c>
      <c r="G9" s="2863"/>
      <c r="H9" s="2838"/>
      <c r="I9" s="2839"/>
      <c r="J9" s="3951"/>
      <c r="K9" s="3953"/>
      <c r="L9" s="2873" t="s">
        <v>2355</v>
      </c>
      <c r="M9" s="2874"/>
      <c r="N9" s="2850"/>
      <c r="O9" s="2875"/>
      <c r="P9" s="2875"/>
      <c r="Q9" s="2876">
        <v>365</v>
      </c>
      <c r="R9" s="2877">
        <f t="shared" si="0"/>
        <v>0</v>
      </c>
      <c r="S9" s="2831"/>
      <c r="T9" s="2831"/>
      <c r="U9" s="2831"/>
      <c r="V9" s="2839"/>
    </row>
    <row r="10" spans="1:22" s="2843" customFormat="1" ht="13.15" customHeight="1">
      <c r="A10" s="2878">
        <v>2</v>
      </c>
      <c r="B10" s="3955" t="s">
        <v>2356</v>
      </c>
      <c r="C10" s="3956"/>
      <c r="D10" s="2879">
        <f>ROUND(D6*E10,0)</f>
        <v>271</v>
      </c>
      <c r="E10" s="3462">
        <v>0.1</v>
      </c>
      <c r="F10" s="2883" t="s">
        <v>2357</v>
      </c>
      <c r="G10" s="2863"/>
      <c r="H10" s="2838"/>
      <c r="I10" s="2839"/>
      <c r="J10" s="3951"/>
      <c r="K10" s="3953"/>
      <c r="L10" s="2873" t="s">
        <v>2358</v>
      </c>
      <c r="M10" s="2874">
        <v>190</v>
      </c>
      <c r="N10" s="2850">
        <v>600</v>
      </c>
      <c r="O10" s="2875">
        <v>0.7</v>
      </c>
      <c r="P10" s="2875">
        <v>0.7</v>
      </c>
      <c r="Q10" s="2876">
        <v>365</v>
      </c>
      <c r="R10" s="2877">
        <f t="shared" si="0"/>
        <v>2039</v>
      </c>
      <c r="S10" s="2831"/>
      <c r="T10" s="2831"/>
      <c r="U10" s="2831"/>
      <c r="V10" s="2839"/>
    </row>
    <row r="11" spans="1:22" s="2843" customFormat="1" ht="13.15" customHeight="1">
      <c r="A11" s="2878">
        <v>3</v>
      </c>
      <c r="B11" s="3955" t="s">
        <v>2359</v>
      </c>
      <c r="C11" s="3956"/>
      <c r="D11" s="2879">
        <f ca="1">D12+D14+D15+D16</f>
        <v>619</v>
      </c>
      <c r="E11" s="2884">
        <f ca="1">D11/D6</f>
        <v>0.22824483775811211</v>
      </c>
      <c r="F11" s="2881"/>
      <c r="G11" s="2882"/>
      <c r="H11" s="2838"/>
      <c r="I11" s="2839"/>
      <c r="J11" s="3951"/>
      <c r="K11" s="3953"/>
      <c r="L11" s="2873" t="s">
        <v>2360</v>
      </c>
      <c r="M11" s="2874"/>
      <c r="N11" s="2850"/>
      <c r="O11" s="2875"/>
      <c r="P11" s="2875"/>
      <c r="Q11" s="2876">
        <v>365</v>
      </c>
      <c r="R11" s="2877">
        <f t="shared" si="0"/>
        <v>0</v>
      </c>
      <c r="S11" s="2831"/>
      <c r="T11" s="2831"/>
      <c r="U11" s="2831"/>
      <c r="V11" s="2839"/>
    </row>
    <row r="12" spans="1:22" s="2843" customFormat="1" ht="13.15" customHeight="1">
      <c r="A12" s="2885" t="s">
        <v>2361</v>
      </c>
      <c r="B12" s="3957" t="s">
        <v>2362</v>
      </c>
      <c r="C12" s="3958"/>
      <c r="D12" s="2886">
        <f ca="1">ROUND(D13*1.2%*(1-30%),0)</f>
        <v>470</v>
      </c>
      <c r="E12" s="2887">
        <v>1.2E-2</v>
      </c>
      <c r="F12" s="2881" t="s">
        <v>2363</v>
      </c>
      <c r="G12" s="2882"/>
      <c r="H12" s="2838"/>
      <c r="I12" s="2839"/>
      <c r="J12" s="3951"/>
      <c r="K12" s="3953"/>
      <c r="L12" s="2873" t="s">
        <v>2364</v>
      </c>
      <c r="M12" s="2874"/>
      <c r="N12" s="2850"/>
      <c r="O12" s="2875"/>
      <c r="P12" s="2875"/>
      <c r="Q12" s="2876">
        <v>365</v>
      </c>
      <c r="R12" s="2877">
        <f t="shared" si="0"/>
        <v>0</v>
      </c>
      <c r="S12" s="2831"/>
      <c r="T12" s="2831"/>
      <c r="U12" s="2831"/>
      <c r="V12" s="2839"/>
    </row>
    <row r="13" spans="1:22" s="2843" customFormat="1" ht="13.15" customHeight="1">
      <c r="A13" s="2885"/>
      <c r="B13" s="2888"/>
      <c r="C13" s="2889" t="s">
        <v>2365</v>
      </c>
      <c r="D13" s="2890">
        <f ca="1">成本法!C49</f>
        <v>55940</v>
      </c>
      <c r="E13" s="2891"/>
      <c r="F13" s="2881"/>
      <c r="G13" s="2882"/>
      <c r="H13" s="2838"/>
      <c r="I13" s="2839"/>
      <c r="J13" s="3951"/>
      <c r="K13" s="3953"/>
      <c r="L13" s="2873" t="s">
        <v>2366</v>
      </c>
      <c r="M13" s="2874"/>
      <c r="N13" s="2850"/>
      <c r="O13" s="2875"/>
      <c r="P13" s="2875"/>
      <c r="Q13" s="2876">
        <v>365</v>
      </c>
      <c r="R13" s="2877">
        <f t="shared" si="0"/>
        <v>0</v>
      </c>
      <c r="S13" s="2831"/>
      <c r="T13" s="2831"/>
      <c r="U13" s="2831"/>
      <c r="V13" s="2839"/>
    </row>
    <row r="14" spans="1:22" s="2843" customFormat="1" ht="13.15" customHeight="1">
      <c r="A14" s="2885" t="s">
        <v>2367</v>
      </c>
      <c r="B14" s="3957" t="s">
        <v>2368</v>
      </c>
      <c r="C14" s="3958"/>
      <c r="D14" s="2886">
        <f>ROUND(E14*B5/10000,0)</f>
        <v>0</v>
      </c>
      <c r="E14" s="2876">
        <f>'数据-取费表'!B56</f>
        <v>0</v>
      </c>
      <c r="F14" s="2881" t="s">
        <v>2369</v>
      </c>
      <c r="G14" s="2882"/>
      <c r="H14" s="2838"/>
      <c r="I14" s="2839"/>
      <c r="J14" s="3951"/>
      <c r="K14" s="3954"/>
      <c r="L14" s="2892" t="s">
        <v>2370</v>
      </c>
      <c r="M14" s="2893">
        <f>SUM(M7:M13)</f>
        <v>190</v>
      </c>
      <c r="N14" s="2893">
        <f>ROUND((N7*M7+N8*M8+N9*M9+N10*M10+N11*M11+N12*M12+N13*M13)/M14,0)</f>
        <v>600</v>
      </c>
      <c r="O14" s="2894"/>
      <c r="P14" s="2894"/>
      <c r="Q14" s="2895"/>
      <c r="R14" s="2842">
        <f>SUM(R7:R13)</f>
        <v>2039</v>
      </c>
      <c r="S14" s="2831"/>
      <c r="T14" s="2831"/>
      <c r="U14" s="2831"/>
      <c r="V14" s="2839"/>
    </row>
    <row r="15" spans="1:22" s="2843" customFormat="1" ht="13.15" customHeight="1">
      <c r="A15" s="2885" t="s">
        <v>2371</v>
      </c>
      <c r="B15" s="3957" t="s">
        <v>2372</v>
      </c>
      <c r="C15" s="3958"/>
      <c r="D15" s="2886">
        <f>ROUND(D6*E15,0)</f>
        <v>149</v>
      </c>
      <c r="E15" s="2887">
        <v>5.5E-2</v>
      </c>
      <c r="F15" s="2881" t="s">
        <v>2373</v>
      </c>
      <c r="G15" s="2863"/>
      <c r="H15" s="2838"/>
      <c r="I15" s="2839"/>
      <c r="J15" s="3951">
        <v>2</v>
      </c>
      <c r="K15" s="3952" t="s">
        <v>2374</v>
      </c>
      <c r="L15" s="2873" t="s">
        <v>2375</v>
      </c>
      <c r="M15" s="2874" t="s">
        <v>2376</v>
      </c>
      <c r="N15" s="2874" t="s">
        <v>2377</v>
      </c>
      <c r="O15" s="2875" t="s">
        <v>2378</v>
      </c>
      <c r="P15" s="2875" t="s">
        <v>2340</v>
      </c>
      <c r="Q15" s="2850" t="s">
        <v>2379</v>
      </c>
      <c r="R15" s="2896" t="s">
        <v>2341</v>
      </c>
      <c r="S15" s="2831"/>
      <c r="T15" s="2831"/>
      <c r="U15" s="2831"/>
      <c r="V15" s="2839"/>
    </row>
    <row r="16" spans="1:22" s="2843" customFormat="1" ht="13.15" customHeight="1">
      <c r="A16" s="2885" t="s">
        <v>2380</v>
      </c>
      <c r="B16" s="3957" t="s">
        <v>2381</v>
      </c>
      <c r="C16" s="3958"/>
      <c r="D16" s="2897">
        <f>D6*E16</f>
        <v>0</v>
      </c>
      <c r="E16" s="2898"/>
      <c r="F16" s="2883" t="s">
        <v>2382</v>
      </c>
      <c r="G16" s="2863"/>
      <c r="H16" s="2838"/>
      <c r="I16" s="2839"/>
      <c r="J16" s="3951"/>
      <c r="K16" s="3953"/>
      <c r="L16" s="2873" t="s">
        <v>2383</v>
      </c>
      <c r="M16" s="2874"/>
      <c r="N16" s="2874"/>
      <c r="O16" s="2875"/>
      <c r="P16" s="2876">
        <v>365</v>
      </c>
      <c r="Q16" s="2850"/>
      <c r="R16" s="2896">
        <f>ROUND(M16*N16*O16*P16/10000,0)</f>
        <v>0</v>
      </c>
      <c r="S16" s="2831"/>
      <c r="T16" s="2831"/>
      <c r="U16" s="2831"/>
      <c r="V16" s="2839"/>
    </row>
    <row r="17" spans="1:22" s="2843" customFormat="1" ht="13.15" customHeight="1" thickBot="1">
      <c r="A17" s="2899">
        <v>4</v>
      </c>
      <c r="B17" s="3959" t="s">
        <v>2384</v>
      </c>
      <c r="C17" s="3960"/>
      <c r="D17" s="2900">
        <f>ROUND(D6*E17,0)</f>
        <v>136</v>
      </c>
      <c r="E17" s="2901">
        <v>0.05</v>
      </c>
      <c r="F17" s="2902" t="s">
        <v>2385</v>
      </c>
      <c r="G17" s="2863"/>
      <c r="H17" s="2838"/>
      <c r="I17" s="2839"/>
      <c r="J17" s="3951"/>
      <c r="K17" s="3953"/>
      <c r="L17" s="2873" t="s">
        <v>2386</v>
      </c>
      <c r="M17" s="2874"/>
      <c r="N17" s="2874"/>
      <c r="O17" s="2875"/>
      <c r="P17" s="2876">
        <v>365</v>
      </c>
      <c r="Q17" s="2850"/>
      <c r="R17" s="2896">
        <f>ROUND(M17*N17*O17*P17/10000,0)</f>
        <v>0</v>
      </c>
      <c r="S17" s="2831"/>
      <c r="T17" s="2831"/>
      <c r="U17" s="2831"/>
      <c r="V17" s="2839"/>
    </row>
    <row r="18" spans="1:22" s="2843" customFormat="1" ht="13.15" customHeight="1" thickBot="1">
      <c r="A18" s="2866" t="s">
        <v>2387</v>
      </c>
      <c r="B18" s="2867"/>
      <c r="C18" s="2867"/>
      <c r="D18" s="2903">
        <f>ROUND(D6*E18,0)</f>
        <v>136</v>
      </c>
      <c r="E18" s="2904">
        <v>0.05</v>
      </c>
      <c r="F18" s="2905" t="s">
        <v>2388</v>
      </c>
      <c r="G18" s="2863"/>
      <c r="H18" s="2838"/>
      <c r="I18" s="2839"/>
      <c r="J18" s="3951"/>
      <c r="K18" s="3953"/>
      <c r="L18" s="2873" t="s">
        <v>2389</v>
      </c>
      <c r="M18" s="2874"/>
      <c r="N18" s="2874"/>
      <c r="O18" s="2875"/>
      <c r="P18" s="2876">
        <v>365</v>
      </c>
      <c r="Q18" s="2850"/>
      <c r="R18" s="2896">
        <f>ROUND(M18*N18*O18*P18/10000,0)</f>
        <v>0</v>
      </c>
      <c r="S18" s="2831"/>
      <c r="T18" s="2831"/>
      <c r="U18" s="2831"/>
      <c r="V18" s="2839"/>
    </row>
    <row r="19" spans="1:22" s="2843" customFormat="1" ht="13.15" customHeight="1" thickBot="1">
      <c r="A19" s="2906" t="s">
        <v>2390</v>
      </c>
      <c r="B19" s="2861"/>
      <c r="C19" s="2861"/>
      <c r="D19" s="2861"/>
      <c r="E19" s="2861"/>
      <c r="F19" s="2862"/>
      <c r="G19" s="2882"/>
      <c r="H19" s="2838"/>
      <c r="I19" s="2839"/>
      <c r="J19" s="3951"/>
      <c r="K19" s="3954"/>
      <c r="L19" s="2892" t="s">
        <v>2370</v>
      </c>
      <c r="M19" s="2893"/>
      <c r="N19" s="2893">
        <f>SUM(N16:N18)</f>
        <v>0</v>
      </c>
      <c r="O19" s="2894"/>
      <c r="P19" s="2907" t="s">
        <v>3397</v>
      </c>
      <c r="Q19" s="2875">
        <v>0.2</v>
      </c>
      <c r="R19" s="2908">
        <f>ROUND(IF(P19="按比例",R14*Q19,SUM(R16:R18)),0)</f>
        <v>408</v>
      </c>
      <c r="S19" s="2831"/>
      <c r="T19" s="2831"/>
      <c r="U19" s="2831"/>
      <c r="V19" s="2839"/>
    </row>
    <row r="20" spans="1:22" s="2843" customFormat="1" ht="13.15" customHeight="1">
      <c r="A20" s="2866"/>
      <c r="B20" s="2867"/>
      <c r="C20" s="2867"/>
      <c r="D20" s="2867"/>
      <c r="E20" s="2867"/>
      <c r="F20" s="2909"/>
      <c r="G20" s="2882"/>
      <c r="H20" s="2838"/>
      <c r="I20" s="2839"/>
      <c r="J20" s="3951">
        <v>3</v>
      </c>
      <c r="K20" s="3952" t="s">
        <v>2391</v>
      </c>
      <c r="L20" s="2873" t="s">
        <v>2392</v>
      </c>
      <c r="M20" s="2874" t="s">
        <v>2393</v>
      </c>
      <c r="N20" s="2910" t="s">
        <v>2394</v>
      </c>
      <c r="O20" s="2875" t="s">
        <v>2395</v>
      </c>
      <c r="P20" s="2876" t="s">
        <v>2396</v>
      </c>
      <c r="Q20" s="2850" t="s">
        <v>2397</v>
      </c>
      <c r="R20" s="2896" t="s">
        <v>2398</v>
      </c>
      <c r="S20" s="2911"/>
      <c r="T20" s="2911"/>
      <c r="U20" s="2911"/>
      <c r="V20" s="2839"/>
    </row>
    <row r="21" spans="1:22" s="2843" customFormat="1" ht="13.15" customHeight="1">
      <c r="A21" s="2866"/>
      <c r="B21" s="2867"/>
      <c r="C21" s="2912" t="s">
        <v>2399</v>
      </c>
      <c r="D21" s="2913" t="s">
        <v>2400</v>
      </c>
      <c r="E21" s="2914" t="s">
        <v>2401</v>
      </c>
      <c r="F21" s="2909"/>
      <c r="G21" s="2882"/>
      <c r="H21" s="2838"/>
      <c r="I21" s="2839"/>
      <c r="J21" s="3951"/>
      <c r="K21" s="3953"/>
      <c r="L21" s="2873" t="s">
        <v>2402</v>
      </c>
      <c r="M21" s="2874"/>
      <c r="N21" s="2874"/>
      <c r="O21" s="2875"/>
      <c r="P21" s="2876">
        <v>365</v>
      </c>
      <c r="Q21" s="2850"/>
      <c r="R21" s="2915">
        <f>ROUND(M21*N21*O21*P21/10000,0)</f>
        <v>0</v>
      </c>
      <c r="S21" s="2911"/>
      <c r="T21" s="2911"/>
      <c r="U21" s="2911"/>
      <c r="V21" s="2839"/>
    </row>
    <row r="22" spans="1:22" s="2843" customFormat="1" ht="13.15" customHeight="1">
      <c r="A22" s="2866"/>
      <c r="B22" s="2867"/>
      <c r="C22" s="2916" t="s">
        <v>2403</v>
      </c>
      <c r="D22" s="2917" t="s">
        <v>2404</v>
      </c>
      <c r="E22" s="2918" t="s">
        <v>2405</v>
      </c>
      <c r="F22" s="2909"/>
      <c r="G22" s="2919"/>
      <c r="H22" s="2838"/>
      <c r="I22" s="2839"/>
      <c r="J22" s="3951"/>
      <c r="K22" s="3953"/>
      <c r="L22" s="2873" t="s">
        <v>2406</v>
      </c>
      <c r="M22" s="2874"/>
      <c r="N22" s="2874"/>
      <c r="O22" s="2875"/>
      <c r="P22" s="2876">
        <v>365</v>
      </c>
      <c r="Q22" s="2850"/>
      <c r="R22" s="2915">
        <f>ROUND(M22*N22*O22*P22/10000,0)</f>
        <v>0</v>
      </c>
      <c r="S22" s="2911"/>
      <c r="T22" s="2911"/>
      <c r="U22" s="2911"/>
      <c r="V22" s="2839"/>
    </row>
    <row r="23" spans="1:22" s="2843" customFormat="1" ht="13.15" customHeight="1">
      <c r="A23" s="2920">
        <v>1</v>
      </c>
      <c r="B23" s="2921" t="s">
        <v>2407</v>
      </c>
      <c r="C23" s="2922">
        <f>D6</f>
        <v>2712</v>
      </c>
      <c r="D23" s="2923">
        <f>C23*(1+D24)</f>
        <v>2712</v>
      </c>
      <c r="E23" s="2924">
        <f>D23*(1+E24)</f>
        <v>2712</v>
      </c>
      <c r="F23" s="2925"/>
      <c r="G23" s="2926"/>
      <c r="H23" s="2838"/>
      <c r="I23" s="2839"/>
      <c r="J23" s="3951"/>
      <c r="K23" s="3953"/>
      <c r="L23" s="2873" t="s">
        <v>2408</v>
      </c>
      <c r="M23" s="2874"/>
      <c r="N23" s="2874"/>
      <c r="O23" s="2875"/>
      <c r="P23" s="2876">
        <v>365</v>
      </c>
      <c r="Q23" s="2850"/>
      <c r="R23" s="2915">
        <f>ROUND(M23*N23*O23*P23/10000,0)</f>
        <v>0</v>
      </c>
      <c r="S23" s="2831"/>
      <c r="T23" s="2831"/>
      <c r="U23" s="2831"/>
      <c r="V23" s="2839"/>
    </row>
    <row r="24" spans="1:22" s="2843" customFormat="1" ht="13.15" customHeight="1">
      <c r="A24" s="2927"/>
      <c r="B24" s="2928" t="s">
        <v>2409</v>
      </c>
      <c r="C24" s="2929"/>
      <c r="D24" s="2930"/>
      <c r="E24" s="2931"/>
      <c r="F24" s="2932"/>
      <c r="G24" s="2926"/>
      <c r="H24" s="2838"/>
      <c r="I24" s="2839"/>
      <c r="J24" s="3951"/>
      <c r="K24" s="3954"/>
      <c r="L24" s="2892" t="s">
        <v>2370</v>
      </c>
      <c r="M24" s="2893">
        <f>SUM(M21:M23)</f>
        <v>0</v>
      </c>
      <c r="N24" s="2893"/>
      <c r="O24" s="2894"/>
      <c r="P24" s="2907" t="s">
        <v>3397</v>
      </c>
      <c r="Q24" s="2875">
        <v>0.1</v>
      </c>
      <c r="R24" s="2908">
        <f>ROUND(IF(P24="按比例",R14*Q24,SUM(R21:R23)),0)</f>
        <v>204</v>
      </c>
      <c r="S24" s="2831"/>
      <c r="T24" s="2831"/>
      <c r="U24" s="2831"/>
      <c r="V24" s="2839"/>
    </row>
    <row r="25" spans="1:22" s="2939" customFormat="1" ht="13.15" customHeight="1">
      <c r="A25" s="2927"/>
      <c r="B25" s="2928"/>
      <c r="C25" s="2929"/>
      <c r="D25" s="2930"/>
      <c r="E25" s="2931"/>
      <c r="F25" s="2932"/>
      <c r="G25" s="2919"/>
      <c r="H25" s="2838"/>
      <c r="I25" s="2839"/>
      <c r="J25" s="2933">
        <v>4</v>
      </c>
      <c r="K25" s="2934" t="s">
        <v>2410</v>
      </c>
      <c r="L25" s="2935"/>
      <c r="M25" s="2935"/>
      <c r="N25" s="2935"/>
      <c r="O25" s="2935"/>
      <c r="P25" s="2936"/>
      <c r="Q25" s="2937">
        <v>0.03</v>
      </c>
      <c r="R25" s="2908">
        <f>ROUND(R14*Q25,0)</f>
        <v>61</v>
      </c>
      <c r="S25" s="2831"/>
      <c r="T25" s="2831"/>
      <c r="U25" s="2831"/>
      <c r="V25" s="2938"/>
    </row>
    <row r="26" spans="1:22" s="2939" customFormat="1" ht="13.15" customHeight="1">
      <c r="A26" s="2920">
        <v>2</v>
      </c>
      <c r="B26" s="2921" t="s">
        <v>2411</v>
      </c>
      <c r="C26" s="2922">
        <f ca="1">D7</f>
        <v>1433</v>
      </c>
      <c r="D26" s="2923">
        <f>D23*D27</f>
        <v>0</v>
      </c>
      <c r="E26" s="2924">
        <f>E23*E27</f>
        <v>0</v>
      </c>
      <c r="F26" s="2925"/>
      <c r="G26" s="2926"/>
      <c r="H26" s="2838"/>
      <c r="I26" s="2839"/>
      <c r="J26" s="3961">
        <v>5</v>
      </c>
      <c r="K26" s="2940" t="s">
        <v>2412</v>
      </c>
      <c r="L26" s="2941"/>
      <c r="M26" s="2942"/>
      <c r="N26" s="2943" t="s">
        <v>2413</v>
      </c>
      <c r="O26" s="2943" t="s">
        <v>2414</v>
      </c>
      <c r="P26" s="2944" t="s">
        <v>2415</v>
      </c>
      <c r="Q26" s="2944" t="s">
        <v>2416</v>
      </c>
      <c r="R26" s="2848" t="s">
        <v>2341</v>
      </c>
      <c r="S26" s="2945"/>
      <c r="T26" s="2945"/>
      <c r="U26" s="2945"/>
      <c r="V26" s="2938"/>
    </row>
    <row r="27" spans="1:22" s="2843" customFormat="1" ht="13.15" customHeight="1">
      <c r="A27" s="2927"/>
      <c r="B27" s="2928" t="s">
        <v>2417</v>
      </c>
      <c r="C27" s="2946">
        <f ca="1">E7</f>
        <v>0.52824483775811215</v>
      </c>
      <c r="D27" s="2930"/>
      <c r="E27" s="2931"/>
      <c r="F27" s="2932"/>
      <c r="G27" s="2926"/>
      <c r="H27" s="2947"/>
      <c r="I27" s="2938"/>
      <c r="J27" s="3962"/>
      <c r="K27" s="2948"/>
      <c r="L27" s="2949"/>
      <c r="M27" s="2950"/>
      <c r="N27" s="2951"/>
      <c r="O27" s="2951"/>
      <c r="P27" s="2951"/>
      <c r="Q27" s="2952"/>
      <c r="R27" s="2908">
        <f>ROUND(O27*N27*P27*(1-Q27)/10000,0)</f>
        <v>0</v>
      </c>
      <c r="S27" s="2831"/>
      <c r="T27" s="2831"/>
      <c r="U27" s="2831"/>
      <c r="V27" s="2839"/>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135.6</v>
      </c>
      <c r="D29" s="2923">
        <f>D23*C30</f>
        <v>135.6</v>
      </c>
      <c r="E29" s="2924">
        <f>E23*C30</f>
        <v>135.6</v>
      </c>
      <c r="F29" s="2925"/>
      <c r="G29" s="2926"/>
      <c r="H29" s="2838"/>
      <c r="I29" s="2839"/>
      <c r="J29" s="2911"/>
      <c r="K29" s="2911"/>
      <c r="L29" s="2911"/>
      <c r="M29" s="2911"/>
      <c r="N29" s="2911"/>
      <c r="O29" s="2911"/>
      <c r="P29" s="2911"/>
      <c r="Q29" s="2911"/>
      <c r="R29" s="2911"/>
      <c r="S29" s="2911"/>
      <c r="T29" s="2911"/>
      <c r="U29" s="2911"/>
      <c r="V29" s="2938"/>
    </row>
    <row r="30" spans="1:22" s="2843" customFormat="1" ht="13.15" customHeight="1" thickBot="1">
      <c r="A30" s="2927"/>
      <c r="B30" s="2928" t="s">
        <v>2417</v>
      </c>
      <c r="C30" s="2946">
        <f>E18</f>
        <v>0.05</v>
      </c>
      <c r="D30" s="2960"/>
      <c r="E30" s="2891"/>
      <c r="F30" s="2932"/>
      <c r="G30" s="2926"/>
      <c r="H30" s="2947"/>
      <c r="I30" s="2938"/>
      <c r="J30" s="2911"/>
      <c r="K30" s="2911"/>
      <c r="L30" s="2911"/>
      <c r="M30" s="2911"/>
      <c r="N30" s="2911"/>
      <c r="O30" s="2911"/>
      <c r="P30" s="2911"/>
      <c r="Q30" s="2911"/>
      <c r="R30" s="2911"/>
      <c r="S30" s="2911"/>
      <c r="T30" s="2911"/>
      <c r="U30" s="2831"/>
      <c r="V30" s="2839"/>
    </row>
    <row r="31" spans="1:22" s="2939" customFormat="1" ht="13.15" customHeight="1">
      <c r="A31" s="2927"/>
      <c r="B31" s="2928"/>
      <c r="C31" s="2961"/>
      <c r="D31" s="2960"/>
      <c r="E31" s="2891"/>
      <c r="F31" s="2932"/>
      <c r="G31" s="2919"/>
      <c r="H31" s="2947"/>
      <c r="I31" s="2938"/>
      <c r="J31" s="2828" t="s">
        <v>2424</v>
      </c>
      <c r="K31" s="2829"/>
      <c r="L31" s="2829"/>
      <c r="M31" s="2829"/>
      <c r="N31" s="2829"/>
      <c r="O31" s="2829"/>
      <c r="P31" s="2829"/>
      <c r="Q31" s="2829"/>
      <c r="R31" s="2830"/>
      <c r="S31" s="2911"/>
      <c r="T31" s="2831"/>
      <c r="U31" s="2831"/>
      <c r="V31" s="2938"/>
    </row>
    <row r="32" spans="1:22" s="2939" customFormat="1" ht="13.15" customHeight="1">
      <c r="A32" s="2920">
        <v>4</v>
      </c>
      <c r="B32" s="2921" t="s">
        <v>2425</v>
      </c>
      <c r="C32" s="2922">
        <f ca="1">C23-C26-C29</f>
        <v>1143.4000000000001</v>
      </c>
      <c r="D32" s="2923">
        <f>D23-D26-D29</f>
        <v>2576.4</v>
      </c>
      <c r="E32" s="2924">
        <f>E23-E26-E29</f>
        <v>2576.4</v>
      </c>
      <c r="F32" s="2925"/>
      <c r="G32" s="2919"/>
      <c r="H32" s="2838"/>
      <c r="I32" s="2839"/>
      <c r="J32" s="3944" t="s">
        <v>2317</v>
      </c>
      <c r="K32" s="3945"/>
      <c r="L32" s="2840" t="s">
        <v>2318</v>
      </c>
      <c r="M32" s="2840" t="s">
        <v>2319</v>
      </c>
      <c r="N32" s="2840" t="s">
        <v>2320</v>
      </c>
      <c r="O32" s="2840" t="s">
        <v>2321</v>
      </c>
      <c r="P32" s="2840" t="s">
        <v>2322</v>
      </c>
      <c r="Q32" s="2841" t="s">
        <v>2323</v>
      </c>
      <c r="R32" s="2962" t="s">
        <v>2324</v>
      </c>
      <c r="S32" s="2911"/>
      <c r="T32" s="2831"/>
      <c r="U32" s="2831"/>
      <c r="V32" s="2938"/>
    </row>
    <row r="33" spans="1:23" s="2843" customFormat="1" ht="13.15" customHeight="1">
      <c r="A33" s="2920"/>
      <c r="B33" s="2921"/>
      <c r="C33" s="2922"/>
      <c r="D33" s="2963"/>
      <c r="E33" s="2964"/>
      <c r="F33" s="2925"/>
      <c r="G33" s="2919"/>
      <c r="H33" s="2947"/>
      <c r="I33" s="2938"/>
      <c r="J33" s="3946" t="s">
        <v>2327</v>
      </c>
      <c r="K33" s="3947"/>
      <c r="L33" s="2846"/>
      <c r="M33" s="2846"/>
      <c r="N33" s="2846"/>
      <c r="O33" s="2846"/>
      <c r="P33" s="2846"/>
      <c r="Q33" s="2847"/>
      <c r="R33" s="2965">
        <f>SUM(L33:Q33)</f>
        <v>0</v>
      </c>
      <c r="S33" s="2911"/>
      <c r="T33" s="2831"/>
      <c r="U33" s="2831"/>
      <c r="V33" s="2839"/>
    </row>
    <row r="34" spans="1:23" s="2843" customFormat="1" ht="13.15" customHeight="1">
      <c r="A34" s="2920">
        <v>5</v>
      </c>
      <c r="B34" s="2921" t="s">
        <v>2426</v>
      </c>
      <c r="C34" s="3463">
        <f>'[5]数据-取费表'!I6</f>
        <v>5.5E-2</v>
      </c>
      <c r="D34" s="2966"/>
      <c r="E34" s="2967"/>
      <c r="F34" s="2925"/>
      <c r="G34" s="2919"/>
      <c r="H34" s="2947"/>
      <c r="I34" s="2938"/>
      <c r="J34" s="3946" t="s">
        <v>2329</v>
      </c>
      <c r="K34" s="3947"/>
      <c r="L34" s="2851"/>
      <c r="M34" s="2851"/>
      <c r="N34" s="2851"/>
      <c r="O34" s="2851"/>
      <c r="P34" s="2851"/>
      <c r="Q34" s="2852"/>
      <c r="R34" s="2968">
        <f>SUM(L34:Q34)</f>
        <v>0</v>
      </c>
      <c r="S34" s="2911"/>
      <c r="T34" s="2831"/>
      <c r="U34" s="2831" t="e">
        <f>ROUND(R35*10000/365/R33,1)</f>
        <v>#DIV/0!</v>
      </c>
      <c r="V34" s="2839"/>
    </row>
    <row r="35" spans="1:23" s="2843" customFormat="1" ht="13.15" customHeight="1">
      <c r="A35" s="2920">
        <v>6</v>
      </c>
      <c r="B35" s="2921" t="s">
        <v>2427</v>
      </c>
      <c r="C35" s="3464">
        <v>0.03</v>
      </c>
      <c r="D35" s="2969"/>
      <c r="E35" s="2970"/>
      <c r="F35" s="2925"/>
      <c r="G35" s="2971"/>
      <c r="H35" s="2838"/>
      <c r="I35" s="2938"/>
      <c r="J35" s="2857" t="s">
        <v>2331</v>
      </c>
      <c r="K35" s="2858"/>
      <c r="L35" s="2858"/>
      <c r="M35" s="2859"/>
      <c r="N35" s="2859"/>
      <c r="O35" s="2859"/>
      <c r="P35" s="2859"/>
      <c r="Q35" s="2859"/>
      <c r="R35" s="2972">
        <f>R40+R41+R43</f>
        <v>0</v>
      </c>
      <c r="S35" s="2911"/>
      <c r="T35" s="2831" t="s">
        <v>2332</v>
      </c>
      <c r="U35" s="2831"/>
      <c r="V35" s="2839"/>
    </row>
    <row r="36" spans="1:23" s="2843" customFormat="1" ht="13.15" customHeight="1" thickBot="1">
      <c r="A36" s="2920">
        <v>7</v>
      </c>
      <c r="B36" s="2973" t="s">
        <v>2428</v>
      </c>
      <c r="C36" s="3465">
        <f>'数据-取费表'!F6</f>
        <v>67.06</v>
      </c>
      <c r="D36" s="2974"/>
      <c r="E36" s="2975"/>
      <c r="F36" s="2976">
        <f>C36+D36+E36</f>
        <v>67.06</v>
      </c>
      <c r="G36" s="2919"/>
      <c r="H36" s="2838"/>
      <c r="I36" s="2839"/>
      <c r="J36" s="3951">
        <v>1</v>
      </c>
      <c r="K36" s="3952" t="s">
        <v>2429</v>
      </c>
      <c r="L36" s="2864"/>
      <c r="M36" s="2865"/>
      <c r="N36" s="2865"/>
      <c r="O36" s="2865"/>
      <c r="P36" s="2865"/>
      <c r="Q36" s="2865"/>
      <c r="R36" s="2848" t="s">
        <v>2341</v>
      </c>
      <c r="S36" s="2911"/>
      <c r="T36" s="2831" t="s">
        <v>2342</v>
      </c>
      <c r="U36" s="2831"/>
      <c r="V36" s="2839"/>
    </row>
    <row r="37" spans="1:23" s="2843" customFormat="1" ht="13.15" customHeight="1">
      <c r="A37" s="2920"/>
      <c r="B37" s="2921"/>
      <c r="C37" s="2921"/>
      <c r="D37" s="2921"/>
      <c r="E37" s="2921"/>
      <c r="F37" s="2925"/>
      <c r="G37" s="2919"/>
      <c r="H37" s="2838"/>
      <c r="I37" s="2839"/>
      <c r="J37" s="3951"/>
      <c r="K37" s="3953"/>
      <c r="L37" s="2873"/>
      <c r="M37" s="2874"/>
      <c r="N37" s="2850"/>
      <c r="O37" s="2875"/>
      <c r="P37" s="2875"/>
      <c r="Q37" s="2876"/>
      <c r="R37" s="2877"/>
      <c r="S37" s="2911"/>
      <c r="T37" s="2831" t="s">
        <v>2345</v>
      </c>
      <c r="U37" s="2831"/>
      <c r="V37" s="2839"/>
    </row>
    <row r="38" spans="1:23" s="2843" customFormat="1" ht="13.15" customHeight="1">
      <c r="A38" s="2920">
        <v>8</v>
      </c>
      <c r="B38" s="2921"/>
      <c r="C38" s="2879">
        <f ca="1">ROUND(C32*(1-((1+C35)/(1+C34))^C36)/(C34-C35),0)</f>
        <v>36578</v>
      </c>
      <c r="D38" s="2879">
        <v>0</v>
      </c>
      <c r="E38" s="2879">
        <v>0</v>
      </c>
      <c r="F38" s="2925"/>
      <c r="G38" s="2919"/>
      <c r="H38" s="2838"/>
      <c r="I38" s="2839"/>
      <c r="J38" s="3951"/>
      <c r="K38" s="3953"/>
      <c r="L38" s="2873"/>
      <c r="M38" s="2874"/>
      <c r="N38" s="2850"/>
      <c r="O38" s="2875"/>
      <c r="P38" s="2875"/>
      <c r="Q38" s="2876"/>
      <c r="R38" s="2877"/>
      <c r="S38" s="2911"/>
      <c r="T38" s="2831" t="s">
        <v>2352</v>
      </c>
      <c r="U38" s="2831"/>
      <c r="V38" s="2839"/>
    </row>
    <row r="39" spans="1:23" s="2843" customFormat="1" ht="13.15" customHeight="1">
      <c r="A39" s="2920">
        <v>9</v>
      </c>
      <c r="B39" s="2921" t="s">
        <v>2430</v>
      </c>
      <c r="C39" s="2886">
        <f ca="1">C38</f>
        <v>36578</v>
      </c>
      <c r="D39" s="2921">
        <f>D38/(1+D34)^C36</f>
        <v>0</v>
      </c>
      <c r="E39" s="2921">
        <f>E38/(1+E34)^(C36+D36)</f>
        <v>0</v>
      </c>
      <c r="F39" s="2925"/>
      <c r="G39" s="2977"/>
      <c r="H39" s="2838"/>
      <c r="I39" s="2839"/>
      <c r="J39" s="3951"/>
      <c r="K39" s="3953"/>
      <c r="L39" s="2873"/>
      <c r="M39" s="2874"/>
      <c r="N39" s="2850"/>
      <c r="O39" s="2875"/>
      <c r="P39" s="2875"/>
      <c r="Q39" s="2876"/>
      <c r="R39" s="2877"/>
      <c r="S39" s="2911"/>
      <c r="T39" s="2831"/>
      <c r="U39" s="2831"/>
      <c r="V39" s="2839"/>
    </row>
    <row r="40" spans="1:23" s="2843" customFormat="1" ht="13.15" customHeight="1">
      <c r="A40" s="2978">
        <v>10</v>
      </c>
      <c r="B40" s="2921" t="s">
        <v>2431</v>
      </c>
      <c r="C40" s="2979">
        <f ca="1">C39+D39+E39</f>
        <v>36578</v>
      </c>
      <c r="D40" s="2980"/>
      <c r="E40" s="2980"/>
      <c r="F40" s="2981"/>
      <c r="G40" s="2919"/>
      <c r="H40" s="2838"/>
      <c r="I40" s="2839"/>
      <c r="J40" s="3951"/>
      <c r="K40" s="3954"/>
      <c r="L40" s="2892" t="s">
        <v>2370</v>
      </c>
      <c r="M40" s="2893"/>
      <c r="N40" s="2893"/>
      <c r="O40" s="2894"/>
      <c r="P40" s="2894"/>
      <c r="Q40" s="2895"/>
      <c r="R40" s="2842">
        <f>SUM(R37:R39)</f>
        <v>0</v>
      </c>
      <c r="S40" s="2911"/>
      <c r="T40" s="2831"/>
      <c r="U40" s="2831"/>
      <c r="V40" s="2839"/>
    </row>
    <row r="41" spans="1:23" s="2843" customFormat="1" ht="13.15" customHeight="1" thickBot="1">
      <c r="A41" s="2982">
        <v>11</v>
      </c>
      <c r="B41" s="2983" t="s">
        <v>2432</v>
      </c>
      <c r="C41" s="2983">
        <f ca="1">ROUND(C40*10000/B4,0)</f>
        <v>1574</v>
      </c>
      <c r="D41" s="2984"/>
      <c r="E41" s="2984"/>
      <c r="F41" s="2985"/>
      <c r="G41" s="2986"/>
      <c r="H41" s="2838"/>
      <c r="I41" s="2839"/>
      <c r="J41" s="2933">
        <v>2</v>
      </c>
      <c r="K41" s="2934" t="s">
        <v>2410</v>
      </c>
      <c r="L41" s="2935"/>
      <c r="M41" s="2935"/>
      <c r="N41" s="2935"/>
      <c r="O41" s="2935"/>
      <c r="P41" s="2936"/>
      <c r="Q41" s="2937"/>
      <c r="R41" s="2908">
        <f>ROUND(R40*Q41,0)</f>
        <v>0</v>
      </c>
      <c r="S41" s="2911"/>
      <c r="T41" s="2831"/>
      <c r="U41" s="2945"/>
      <c r="V41" s="2839"/>
    </row>
    <row r="42" spans="1:23" s="2843" customFormat="1" ht="13.15" customHeight="1">
      <c r="G42" s="2986"/>
      <c r="H42" s="2838"/>
      <c r="I42" s="2839"/>
      <c r="J42" s="3961">
        <v>3</v>
      </c>
      <c r="K42" s="2940" t="s">
        <v>2412</v>
      </c>
      <c r="L42" s="2941"/>
      <c r="M42" s="2942"/>
      <c r="N42" s="2943" t="s">
        <v>2413</v>
      </c>
      <c r="O42" s="2943" t="s">
        <v>2414</v>
      </c>
      <c r="P42" s="2944" t="s">
        <v>2415</v>
      </c>
      <c r="Q42" s="2944" t="s">
        <v>2416</v>
      </c>
      <c r="R42" s="2848" t="s">
        <v>2341</v>
      </c>
      <c r="S42" s="2945"/>
      <c r="T42" s="2945"/>
      <c r="U42" s="2831"/>
      <c r="V42" s="2839"/>
    </row>
    <row r="43" spans="1:23" ht="13.15" customHeight="1">
      <c r="A43" s="2843"/>
      <c r="B43" s="2843" t="s">
        <v>3401</v>
      </c>
      <c r="C43" s="2843">
        <v>31.15</v>
      </c>
      <c r="D43" s="2843"/>
      <c r="E43" s="2843"/>
      <c r="F43" s="2843"/>
      <c r="I43" s="2826"/>
      <c r="J43" s="3962"/>
      <c r="K43" s="2948"/>
      <c r="L43" s="2949"/>
      <c r="M43" s="2950"/>
      <c r="N43" s="2874"/>
      <c r="O43" s="2874"/>
      <c r="P43" s="2874"/>
      <c r="Q43" s="2937"/>
      <c r="R43" s="2908">
        <f>ROUND(O43*N43*P43*(1-Q43)/10000,0)</f>
        <v>0</v>
      </c>
      <c r="S43" s="2911"/>
      <c r="T43" s="2831"/>
      <c r="V43" s="2988"/>
      <c r="W43" s="2989"/>
    </row>
    <row r="44" spans="1:23" ht="13.15" customHeight="1" thickBot="1">
      <c r="J44" s="2953">
        <v>6</v>
      </c>
      <c r="K44" s="2954" t="s">
        <v>2419</v>
      </c>
      <c r="L44" s="2990" t="s">
        <v>2420</v>
      </c>
      <c r="M44" s="2956"/>
      <c r="N44" s="2990" t="s">
        <v>2421</v>
      </c>
      <c r="O44" s="2956"/>
      <c r="P44" s="2990" t="s">
        <v>2422</v>
      </c>
      <c r="Q44" s="2958">
        <v>1.4999999999999999E-2</v>
      </c>
      <c r="R44" s="2959"/>
    </row>
    <row r="46" spans="1:23" ht="13.15" customHeight="1">
      <c r="B46" s="2832" t="s">
        <v>3398</v>
      </c>
      <c r="C46" s="2832">
        <v>31435</v>
      </c>
    </row>
    <row r="47" spans="1:23" ht="13.15" customHeight="1">
      <c r="B47" s="2832" t="s">
        <v>3399</v>
      </c>
      <c r="C47" s="2832">
        <v>31435</v>
      </c>
    </row>
    <row r="48" spans="1:23" ht="13.15" customHeight="1">
      <c r="B48" s="2832" t="s">
        <v>3400</v>
      </c>
      <c r="C48" s="2832">
        <v>19439</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697"/>
      <c r="G1" s="1484"/>
      <c r="H1" s="1484"/>
      <c r="I1" s="1484"/>
      <c r="J1" s="1484"/>
      <c r="K1" s="1484"/>
      <c r="L1" s="1484"/>
      <c r="M1" s="1484"/>
      <c r="N1" s="1484"/>
      <c r="O1" s="1484"/>
      <c r="P1" s="1484"/>
      <c r="Q1" s="1484"/>
      <c r="R1" s="1484"/>
      <c r="S1" s="1484"/>
    </row>
    <row r="2" spans="1:22" ht="15.75">
      <c r="A2" s="1865" t="s">
        <v>1462</v>
      </c>
      <c r="B2" s="1866">
        <f ca="1">SUMIF(B6:B13,"&lt;&gt;#ref!",B6:B13)</f>
        <v>9696</v>
      </c>
      <c r="C2" s="1867" t="s">
        <v>1651</v>
      </c>
      <c r="D2" s="1868" t="s">
        <v>1652</v>
      </c>
      <c r="E2" s="2598">
        <f>SUM(E6:E13)</f>
        <v>31332.36</v>
      </c>
      <c r="F2" s="2697"/>
      <c r="G2" s="1484"/>
      <c r="H2" s="1484"/>
      <c r="I2" s="1484"/>
      <c r="J2" s="1484"/>
      <c r="K2" s="1484"/>
      <c r="L2" s="1484"/>
      <c r="M2" s="1484"/>
      <c r="N2" s="1484"/>
      <c r="O2" s="1484"/>
      <c r="P2" s="1484"/>
      <c r="Q2" s="1484"/>
      <c r="R2" s="1484"/>
      <c r="S2" s="1484"/>
    </row>
    <row r="3" spans="1:22" ht="15.75">
      <c r="A3" s="1865" t="s">
        <v>686</v>
      </c>
      <c r="B3" s="2592">
        <f ca="1">ROUND(B2*10000/E2,0)</f>
        <v>3095</v>
      </c>
      <c r="C3" s="1867" t="s">
        <v>1659</v>
      </c>
      <c r="D3" s="2699"/>
      <c r="E3" s="2701"/>
      <c r="F3" s="2697"/>
      <c r="G3" s="1484"/>
      <c r="H3" s="1484"/>
      <c r="I3" s="1484"/>
      <c r="J3" s="1484"/>
      <c r="K3" s="1484"/>
      <c r="L3" s="1484"/>
      <c r="M3" s="1484"/>
      <c r="N3" s="1484"/>
      <c r="O3" s="1484"/>
      <c r="P3" s="1484"/>
      <c r="Q3" s="1484"/>
      <c r="R3" s="1484"/>
      <c r="S3" s="1484"/>
    </row>
    <row r="4" spans="1:22" ht="15.75">
      <c r="A4" s="2702"/>
      <c r="B4" s="2699"/>
      <c r="C4" s="2699"/>
      <c r="D4" s="2699"/>
      <c r="E4" s="2701"/>
      <c r="F4" s="2697"/>
      <c r="G4" s="1484"/>
      <c r="H4" s="1484"/>
      <c r="I4" s="1484"/>
      <c r="J4" s="1484"/>
      <c r="K4" s="1484"/>
      <c r="L4" s="1484"/>
      <c r="M4" s="1484"/>
      <c r="N4" s="1484"/>
      <c r="O4" s="1484"/>
      <c r="P4" s="1484"/>
      <c r="Q4" s="1484"/>
      <c r="R4" s="1484"/>
      <c r="S4" s="1484"/>
    </row>
    <row r="5" spans="1:22" ht="15">
      <c r="A5" s="2594" t="s">
        <v>1653</v>
      </c>
      <c r="B5" s="3963" t="s">
        <v>1654</v>
      </c>
      <c r="C5" s="3964"/>
      <c r="D5" s="2698"/>
      <c r="E5" s="1869" t="s">
        <v>1655</v>
      </c>
      <c r="F5" s="1870" t="s">
        <v>1656</v>
      </c>
      <c r="G5" s="1484"/>
      <c r="H5" s="1484"/>
      <c r="I5" s="1484"/>
      <c r="J5" s="1484"/>
      <c r="K5" s="1484"/>
      <c r="L5" s="1484"/>
      <c r="M5" s="1484"/>
      <c r="N5" s="1484"/>
      <c r="O5" s="1484"/>
      <c r="P5" s="1484"/>
      <c r="Q5" s="1484"/>
      <c r="R5" s="1484"/>
      <c r="S5" s="1484"/>
    </row>
    <row r="6" spans="1:22">
      <c r="A6" s="2595">
        <f>'数据-取费表'!AN6</f>
        <v>0</v>
      </c>
      <c r="B6" s="2593" t="e">
        <f ca="1">IF(F6="是",'数据-取费表'!AO6,0)</f>
        <v>#REF!</v>
      </c>
      <c r="C6" s="1867" t="s">
        <v>1651</v>
      </c>
      <c r="D6" s="2699"/>
      <c r="E6" s="2597">
        <f>IF(OR(A6=0,F6="否"),0,'数据-取费表'!K6+'数据-取费表'!S6)</f>
        <v>0</v>
      </c>
      <c r="F6" s="1871" t="s">
        <v>1657</v>
      </c>
      <c r="G6" s="1484"/>
      <c r="H6" s="1484"/>
      <c r="I6" s="1484"/>
      <c r="J6" s="1484"/>
      <c r="K6" s="1484"/>
      <c r="L6" s="1484"/>
      <c r="M6" s="1484"/>
      <c r="N6" s="1484"/>
      <c r="O6" s="1484"/>
      <c r="P6" s="1484"/>
      <c r="Q6" s="1484"/>
      <c r="R6" s="1484"/>
      <c r="S6" s="1484"/>
    </row>
    <row r="7" spans="1:22">
      <c r="A7" s="2595" t="str">
        <f>'数据-取费表'!AN7</f>
        <v>收益法</v>
      </c>
      <c r="B7" s="2593">
        <f ca="1">IF(F7="是",'数据-取费表'!AO7,0)</f>
        <v>1707</v>
      </c>
      <c r="C7" s="1867" t="s">
        <v>1651</v>
      </c>
      <c r="D7" s="2699"/>
      <c r="E7" s="2597">
        <f>IF(OR(A7=0,F7="否"),0,'数据-取费表'!K7+'数据-取费表'!S7)</f>
        <v>1627.83</v>
      </c>
      <c r="F7" s="1871" t="s">
        <v>1657</v>
      </c>
      <c r="G7" s="1484"/>
      <c r="H7" s="1484"/>
      <c r="I7" s="1484"/>
      <c r="J7" s="1484"/>
      <c r="K7" s="1484"/>
      <c r="L7" s="1484"/>
      <c r="M7" s="1484"/>
      <c r="N7" s="1484"/>
      <c r="O7" s="1484"/>
      <c r="P7" s="1484"/>
      <c r="Q7" s="1484"/>
      <c r="R7" s="1484"/>
      <c r="S7" s="1484"/>
    </row>
    <row r="8" spans="1:22">
      <c r="A8" s="2595" t="str">
        <f>'数据-取费表'!AN8</f>
        <v>收益法车</v>
      </c>
      <c r="B8" s="2593">
        <f ca="1">IF(F8="是",'数据-取费表'!AO8,0)</f>
        <v>7989</v>
      </c>
      <c r="C8" s="1867" t="s">
        <v>1651</v>
      </c>
      <c r="D8" s="2699"/>
      <c r="E8" s="2597">
        <f>IF(OR(A8=0,F8="否"),0,'数据-取费表'!K8+'数据-取费表'!S8)</f>
        <v>29704.53</v>
      </c>
      <c r="F8" s="1871" t="s">
        <v>1657</v>
      </c>
      <c r="G8" s="1484"/>
      <c r="H8" s="1484"/>
      <c r="I8" s="1484"/>
      <c r="J8" s="1484"/>
      <c r="K8" s="1484"/>
      <c r="L8" s="1484"/>
      <c r="M8" s="1484"/>
      <c r="N8" s="1484"/>
      <c r="O8" s="1484"/>
      <c r="P8" s="1484"/>
      <c r="Q8" s="1484"/>
      <c r="R8" s="1484"/>
      <c r="S8" s="1484"/>
    </row>
    <row r="9" spans="1:22">
      <c r="A9" s="2595">
        <f>'数据-取费表'!AN9</f>
        <v>0</v>
      </c>
      <c r="B9" s="2593" t="e">
        <f ca="1">IF(F9="是",'数据-取费表'!AO9,0)</f>
        <v>#REF!</v>
      </c>
      <c r="C9" s="1867" t="s">
        <v>1651</v>
      </c>
      <c r="D9" s="2699"/>
      <c r="E9" s="2597">
        <f>IF(OR(A9=0,F9="否"),0,'数据-取费表'!K9+'数据-取费表'!S9)</f>
        <v>0</v>
      </c>
      <c r="F9" s="1871" t="s">
        <v>1657</v>
      </c>
      <c r="G9" s="1484"/>
      <c r="H9" s="1484"/>
      <c r="I9" s="1484"/>
      <c r="J9" s="1484"/>
      <c r="K9" s="1484"/>
      <c r="L9" s="1484"/>
      <c r="M9" s="1484"/>
      <c r="N9" s="1484"/>
      <c r="O9" s="1484"/>
      <c r="P9" s="1484"/>
      <c r="Q9" s="1484"/>
      <c r="R9" s="1484"/>
      <c r="S9" s="1484"/>
    </row>
    <row r="10" spans="1:22">
      <c r="A10" s="2595">
        <f>'数据-取费表'!AN10</f>
        <v>0</v>
      </c>
      <c r="B10" s="2593" t="e">
        <f ca="1">IF(F10="是",'数据-取费表'!AO10,0)</f>
        <v>#REF!</v>
      </c>
      <c r="C10" s="1867" t="s">
        <v>1651</v>
      </c>
      <c r="D10" s="2699"/>
      <c r="E10" s="2597">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5">
        <f>'数据-取费表'!AN11</f>
        <v>0</v>
      </c>
      <c r="B11" s="2593" t="e">
        <f ca="1">IF(F11="是",'数据-取费表'!AO11,0)</f>
        <v>#REF!</v>
      </c>
      <c r="C11" s="1867" t="s">
        <v>1651</v>
      </c>
      <c r="D11" s="2699"/>
      <c r="E11" s="2597">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5">
        <f>'数据-取费表'!AN12</f>
        <v>0</v>
      </c>
      <c r="B12" s="2593" t="e">
        <f ca="1">IF(F12="是",'数据-取费表'!AO12,0)</f>
        <v>#REF!</v>
      </c>
      <c r="C12" s="1867" t="s">
        <v>1651</v>
      </c>
      <c r="D12" s="2699"/>
      <c r="E12" s="2597">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6">
        <f>'数据-取费表'!AN13</f>
        <v>0</v>
      </c>
      <c r="B13" s="2593" t="e">
        <f ca="1">IF(F13="是",'数据-取费表'!AO13,0)</f>
        <v>#REF!</v>
      </c>
      <c r="C13" s="1872" t="s">
        <v>1651</v>
      </c>
      <c r="D13" s="2700"/>
      <c r="E13" s="2597">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M15" sqref="M15"/>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1661</v>
      </c>
      <c r="C1" s="1233" t="s">
        <v>1662</v>
      </c>
      <c r="D1" s="1220" t="s">
        <v>3782</v>
      </c>
      <c r="E1" s="3412" t="s">
        <v>3824</v>
      </c>
      <c r="F1" s="1874" t="s">
        <v>3825</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6" customFormat="1" ht="28.5" customHeight="1" thickTop="1">
      <c r="A2" s="1216" t="s">
        <v>685</v>
      </c>
      <c r="B2" s="3413">
        <f>IF(E1="项目模式",IF(C2="——",ROUND(C49*D3/10000,0),ROUND(C49*D3/10000,0)-D2),IF(E1="单套模式",IF(C2="——",ROUND(C49*D3/10000,4),ROUND(C49*D3/10000,4)-D2)))</f>
        <v>194679</v>
      </c>
      <c r="C2" s="1876" t="s">
        <v>43</v>
      </c>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3"/>
      <c r="M2" s="2704"/>
      <c r="N2" s="2704"/>
      <c r="O2" s="2704"/>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14550</v>
      </c>
      <c r="C3" s="353" t="s">
        <v>1665</v>
      </c>
      <c r="D3" s="352">
        <f>IF(D1="",'数据-汇总表'!E3,SUMIF('数据-汇总表'!$C19:$C33,D1,'数据-汇总表'!$E19:$E33))</f>
        <v>133800</v>
      </c>
      <c r="E3" s="903"/>
      <c r="F3" s="1883"/>
      <c r="G3" s="903"/>
      <c r="H3" s="903"/>
      <c r="I3" s="903"/>
      <c r="J3" s="903"/>
      <c r="K3" s="1879"/>
      <c r="L3" s="2703"/>
      <c r="M3" s="2704"/>
      <c r="N3" s="2704"/>
      <c r="O3" s="2704"/>
      <c r="P3" s="1880"/>
      <c r="Q3" s="1881"/>
      <c r="R3" s="1881"/>
      <c r="S3" s="1881"/>
      <c r="T3" s="1881"/>
      <c r="U3" s="1881"/>
      <c r="V3" s="1881"/>
      <c r="W3" s="1881"/>
      <c r="X3" s="1881"/>
      <c r="Y3" s="1881"/>
      <c r="Z3" s="1881"/>
      <c r="AA3" s="1881"/>
      <c r="AB3" s="1881"/>
      <c r="AC3" s="1057"/>
    </row>
    <row r="4" spans="1:29" ht="15">
      <c r="A4" s="354" t="s">
        <v>1666</v>
      </c>
      <c r="B4" s="355"/>
      <c r="C4" s="3912" t="s">
        <v>1667</v>
      </c>
      <c r="D4" s="3913"/>
      <c r="E4" s="3914" t="s">
        <v>1668</v>
      </c>
      <c r="F4" s="3915"/>
      <c r="G4" s="3912" t="s">
        <v>1669</v>
      </c>
      <c r="H4" s="3913"/>
      <c r="I4" s="3912" t="s">
        <v>1670</v>
      </c>
      <c r="J4" s="3913"/>
      <c r="K4" s="1884" t="s">
        <v>1671</v>
      </c>
      <c r="L4" s="2705"/>
      <c r="M4" s="2706"/>
      <c r="N4" s="2706"/>
      <c r="O4" s="2706"/>
      <c r="P4" s="3916" t="s">
        <v>1672</v>
      </c>
      <c r="Q4" s="3917"/>
      <c r="R4" s="3899" t="s">
        <v>1668</v>
      </c>
      <c r="S4" s="3900"/>
      <c r="T4" s="3899" t="s">
        <v>1669</v>
      </c>
      <c r="U4" s="3900"/>
      <c r="V4" s="3924" t="s">
        <v>1670</v>
      </c>
      <c r="W4" s="3924"/>
      <c r="X4" s="1350"/>
      <c r="Y4" s="3899" t="s">
        <v>1672</v>
      </c>
      <c r="Z4" s="3900"/>
      <c r="AA4" s="3894" t="s">
        <v>1668</v>
      </c>
      <c r="AB4" s="3894" t="s">
        <v>1669</v>
      </c>
      <c r="AC4" s="3894" t="s">
        <v>1670</v>
      </c>
    </row>
    <row r="5" spans="1:29" ht="15">
      <c r="A5" s="357"/>
      <c r="B5" s="358"/>
      <c r="C5" s="3905" t="s">
        <v>1673</v>
      </c>
      <c r="D5" s="3906"/>
      <c r="E5" s="3965" t="s">
        <v>3858</v>
      </c>
      <c r="F5" s="3904"/>
      <c r="G5" s="3966" t="s">
        <v>3850</v>
      </c>
      <c r="H5" s="3906"/>
      <c r="I5" s="3966" t="s">
        <v>3859</v>
      </c>
      <c r="J5" s="3906"/>
      <c r="K5" s="1885"/>
      <c r="L5" s="2705"/>
      <c r="M5" s="2706"/>
      <c r="N5" s="2706"/>
      <c r="O5" s="2706"/>
      <c r="P5" s="3918"/>
      <c r="Q5" s="3919"/>
      <c r="R5" s="3901"/>
      <c r="S5" s="3902"/>
      <c r="T5" s="3901"/>
      <c r="U5" s="3902"/>
      <c r="V5" s="3924"/>
      <c r="W5" s="3924"/>
      <c r="X5" s="1350"/>
      <c r="Y5" s="3901"/>
      <c r="Z5" s="3902"/>
      <c r="AA5" s="3895"/>
      <c r="AB5" s="3895"/>
      <c r="AC5" s="3895"/>
    </row>
    <row r="6" spans="1:29" ht="15.75" thickBot="1">
      <c r="A6" s="359"/>
      <c r="B6" s="360"/>
      <c r="C6" s="3907" t="s">
        <v>1677</v>
      </c>
      <c r="D6" s="3908"/>
      <c r="E6" s="3909" t="s">
        <v>1677</v>
      </c>
      <c r="F6" s="3910"/>
      <c r="G6" s="3907" t="s">
        <v>1677</v>
      </c>
      <c r="H6" s="3908"/>
      <c r="I6" s="3907" t="s">
        <v>1677</v>
      </c>
      <c r="J6" s="3908"/>
      <c r="K6" s="1885" t="s">
        <v>1678</v>
      </c>
      <c r="L6" s="2705"/>
      <c r="M6" s="2706"/>
      <c r="N6" s="2706"/>
      <c r="O6" s="2706"/>
      <c r="P6" s="3920"/>
      <c r="Q6" s="3921"/>
      <c r="R6" s="3901"/>
      <c r="S6" s="3902"/>
      <c r="T6" s="3922"/>
      <c r="U6" s="3923"/>
      <c r="V6" s="3924"/>
      <c r="W6" s="3924"/>
      <c r="X6" s="1350"/>
      <c r="Y6" s="3922"/>
      <c r="Z6" s="3923"/>
      <c r="AA6" s="3896"/>
      <c r="AB6" s="3896"/>
      <c r="AC6" s="3896"/>
    </row>
    <row r="7" spans="1:29" s="107" customFormat="1" ht="15.75" thickBot="1">
      <c r="A7" s="361" t="s">
        <v>1679</v>
      </c>
      <c r="B7" s="362"/>
      <c r="C7" s="363">
        <f>'数据-取费表'!B2</f>
        <v>44999</v>
      </c>
      <c r="D7" s="364">
        <v>100</v>
      </c>
      <c r="E7" s="365">
        <v>44986</v>
      </c>
      <c r="F7" s="366">
        <f>SUMIF(58:58,YEAR(E7)&amp;"-"&amp;MONTH(E7),59:59)</f>
        <v>100</v>
      </c>
      <c r="G7" s="365">
        <v>44986</v>
      </c>
      <c r="H7" s="364">
        <f>SUMIF(58:58,YEAR(G7)&amp;"-"&amp;MONTH(G7),59:59)</f>
        <v>100</v>
      </c>
      <c r="I7" s="365">
        <v>44986</v>
      </c>
      <c r="J7" s="364">
        <f>SUMIF(58:58,YEAR(I7)&amp;"-"&amp;MONTH(I7),59:59)</f>
        <v>100</v>
      </c>
      <c r="K7" s="1886"/>
      <c r="L7" s="2707"/>
      <c r="M7" s="2708"/>
      <c r="N7" s="2708"/>
      <c r="O7" s="2708"/>
      <c r="P7" s="3897" t="s">
        <v>1680</v>
      </c>
      <c r="Q7" s="3925"/>
      <c r="R7" s="700" t="s">
        <v>20</v>
      </c>
      <c r="S7" s="701">
        <f t="shared" ref="S7:S15" si="0">F7</f>
        <v>100</v>
      </c>
      <c r="T7" s="700" t="s">
        <v>20</v>
      </c>
      <c r="U7" s="701">
        <f t="shared" ref="U7:U15" si="1">H7</f>
        <v>100</v>
      </c>
      <c r="V7" s="700" t="s">
        <v>20</v>
      </c>
      <c r="W7" s="701">
        <f t="shared" ref="W7:W15" si="2">J7</f>
        <v>100</v>
      </c>
      <c r="X7" s="702"/>
      <c r="Y7" s="3897" t="s">
        <v>1680</v>
      </c>
      <c r="Z7" s="3898"/>
      <c r="AA7" s="703">
        <f>D7/F7</f>
        <v>1</v>
      </c>
      <c r="AB7" s="703">
        <f>D7/H7</f>
        <v>1</v>
      </c>
      <c r="AC7" s="703">
        <f>D7/J7</f>
        <v>1</v>
      </c>
    </row>
    <row r="8" spans="1:29" s="107" customFormat="1" ht="15.75" thickBot="1">
      <c r="A8" s="361" t="s">
        <v>1681</v>
      </c>
      <c r="B8" s="362"/>
      <c r="C8" s="367" t="s">
        <v>3848</v>
      </c>
      <c r="D8" s="364">
        <v>100</v>
      </c>
      <c r="E8" s="367" t="s">
        <v>3848</v>
      </c>
      <c r="F8" s="366">
        <f>SUMIF(61:61,E8,62:62)-SUMIF(61:61,C8,62:62)+100</f>
        <v>100</v>
      </c>
      <c r="G8" s="367" t="s">
        <v>3848</v>
      </c>
      <c r="H8" s="364">
        <f>SUMIF(61:61,G8,62:62)-SUMIF(61:61,C8,62:62)+100</f>
        <v>100</v>
      </c>
      <c r="I8" s="367" t="s">
        <v>3848</v>
      </c>
      <c r="J8" s="364">
        <f>SUMIF(61:61,I8,62:62)-SUMIF(61:61,C8,62:62)+100</f>
        <v>100</v>
      </c>
      <c r="K8" s="1886"/>
      <c r="L8" s="2707"/>
      <c r="M8" s="2708"/>
      <c r="N8" s="2708"/>
      <c r="O8" s="2708"/>
      <c r="P8" s="3897" t="s">
        <v>1683</v>
      </c>
      <c r="Q8" s="3898"/>
      <c r="R8" s="700" t="s">
        <v>20</v>
      </c>
      <c r="S8" s="701">
        <f t="shared" si="0"/>
        <v>100</v>
      </c>
      <c r="T8" s="700" t="s">
        <v>20</v>
      </c>
      <c r="U8" s="701">
        <f t="shared" si="1"/>
        <v>100</v>
      </c>
      <c r="V8" s="700" t="s">
        <v>20</v>
      </c>
      <c r="W8" s="701">
        <f t="shared" si="2"/>
        <v>100</v>
      </c>
      <c r="X8" s="702"/>
      <c r="Y8" s="3897" t="s">
        <v>1683</v>
      </c>
      <c r="Z8" s="3898"/>
      <c r="AA8" s="703">
        <f t="shared" ref="AA8:AA19" si="3">D8/F8</f>
        <v>1</v>
      </c>
      <c r="AB8" s="703">
        <f t="shared" ref="AB8:AB19" si="4">D8/H8</f>
        <v>1</v>
      </c>
      <c r="AC8" s="703">
        <f t="shared" ref="AC8:AC19" si="5">D8/J8</f>
        <v>1</v>
      </c>
    </row>
    <row r="9" spans="1:29" s="107" customFormat="1">
      <c r="A9" s="368" t="s">
        <v>1684</v>
      </c>
      <c r="B9" s="63" t="s">
        <v>1685</v>
      </c>
      <c r="C9" s="3675" t="s">
        <v>3849</v>
      </c>
      <c r="D9" s="125">
        <v>100</v>
      </c>
      <c r="E9" s="370" t="s">
        <v>3782</v>
      </c>
      <c r="F9" s="371">
        <f>SUMIF(63:63,E9,64:64)-SUMIF(63:63,C9,64:64)+100</f>
        <v>100</v>
      </c>
      <c r="G9" s="370" t="s">
        <v>3782</v>
      </c>
      <c r="H9" s="125">
        <f>SUMIF(63:63,G9,64:64)-SUMIF(63:63,C9,64:64)+100</f>
        <v>100</v>
      </c>
      <c r="I9" s="370" t="s">
        <v>3782</v>
      </c>
      <c r="J9" s="125">
        <f>SUMIF(63:63,I9,64:64)-SUMIF(63:63,C9,64:64)+100</f>
        <v>100</v>
      </c>
      <c r="K9" s="1886"/>
      <c r="L9" s="2707"/>
      <c r="M9" s="2708"/>
      <c r="N9" s="2708"/>
      <c r="O9" s="2708"/>
      <c r="P9" s="3935"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1886"/>
      <c r="L10" s="2709"/>
      <c r="M10" s="2710"/>
      <c r="N10" s="2710"/>
      <c r="O10" s="2710"/>
      <c r="P10" s="3935"/>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703">
        <f t="shared" si="5"/>
        <v>1</v>
      </c>
    </row>
    <row r="11" spans="1:29" ht="15">
      <c r="A11" s="378"/>
      <c r="B11" s="374" t="s">
        <v>1689</v>
      </c>
      <c r="C11" s="379">
        <f>'数据-汇总表'!I7</f>
        <v>2.5</v>
      </c>
      <c r="D11" s="126">
        <v>100</v>
      </c>
      <c r="E11" s="380">
        <v>2.4900000000000002</v>
      </c>
      <c r="F11" s="375">
        <f>LOOKUP(E11,68:68,69:69)-LOOKUP(C11,68:68,69:69)+100</f>
        <v>100</v>
      </c>
      <c r="G11" s="380">
        <v>2.4900000000000002</v>
      </c>
      <c r="H11" s="126">
        <f>LOOKUP(G11,68:68,69:69)-LOOKUP(C11,68:68,69:69)+100</f>
        <v>100</v>
      </c>
      <c r="I11" s="380">
        <v>2.4900000000000002</v>
      </c>
      <c r="J11" s="126">
        <f>LOOKUP(I11,68:68,69:69)-LOOKUP(C11,68:68,69:69)+100</f>
        <v>100</v>
      </c>
      <c r="K11" s="376">
        <v>1</v>
      </c>
      <c r="L11" s="2711"/>
      <c r="M11" s="2706"/>
      <c r="N11" s="2706"/>
      <c r="O11" s="2706"/>
      <c r="P11" s="3935"/>
      <c r="Q11" s="1338" t="str">
        <f t="shared" si="6"/>
        <v>容积率</v>
      </c>
      <c r="R11" s="700" t="s">
        <v>18</v>
      </c>
      <c r="S11" s="701">
        <f t="shared" si="0"/>
        <v>100</v>
      </c>
      <c r="T11" s="700" t="s">
        <v>18</v>
      </c>
      <c r="U11" s="701">
        <f t="shared" si="1"/>
        <v>100</v>
      </c>
      <c r="V11" s="700" t="s">
        <v>18</v>
      </c>
      <c r="W11" s="701">
        <f t="shared" si="2"/>
        <v>100</v>
      </c>
      <c r="X11" s="702"/>
      <c r="Y11" s="3851"/>
      <c r="Z11" s="52" t="str">
        <f t="shared" si="7"/>
        <v>容积率</v>
      </c>
      <c r="AA11" s="703">
        <f t="shared" si="3"/>
        <v>1</v>
      </c>
      <c r="AB11" s="703">
        <f t="shared" si="4"/>
        <v>1</v>
      </c>
      <c r="AC11" s="703">
        <f t="shared" si="5"/>
        <v>1</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07"/>
      <c r="M12" s="2708"/>
      <c r="N12" s="2708"/>
      <c r="O12" s="2708"/>
      <c r="P12" s="3935"/>
      <c r="Q12" s="1338">
        <f t="shared" si="6"/>
        <v>111</v>
      </c>
      <c r="R12" s="700" t="s">
        <v>18</v>
      </c>
      <c r="S12" s="701">
        <f t="shared" si="0"/>
        <v>100</v>
      </c>
      <c r="T12" s="700" t="s">
        <v>18</v>
      </c>
      <c r="U12" s="701">
        <f t="shared" si="1"/>
        <v>100</v>
      </c>
      <c r="V12" s="700" t="s">
        <v>18</v>
      </c>
      <c r="W12" s="701">
        <f t="shared" si="2"/>
        <v>100</v>
      </c>
      <c r="X12" s="702"/>
      <c r="Y12" s="3851"/>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2"/>
      <c r="M13" s="2706"/>
      <c r="N13" s="2706"/>
      <c r="O13" s="2706"/>
      <c r="P13" s="3935"/>
      <c r="Q13" s="1338">
        <f t="shared" si="6"/>
        <v>111</v>
      </c>
      <c r="R13" s="700" t="s">
        <v>18</v>
      </c>
      <c r="S13" s="701">
        <f t="shared" si="0"/>
        <v>100</v>
      </c>
      <c r="T13" s="700" t="s">
        <v>18</v>
      </c>
      <c r="U13" s="701">
        <f t="shared" si="1"/>
        <v>100</v>
      </c>
      <c r="V13" s="700" t="s">
        <v>18</v>
      </c>
      <c r="W13" s="701">
        <f t="shared" si="2"/>
        <v>100</v>
      </c>
      <c r="X13" s="702"/>
      <c r="Y13" s="3851"/>
      <c r="Z13" s="52">
        <f t="shared" si="7"/>
        <v>111</v>
      </c>
      <c r="AA13" s="703">
        <f t="shared" si="3"/>
        <v>1</v>
      </c>
      <c r="AB13" s="703">
        <f t="shared" si="4"/>
        <v>1</v>
      </c>
      <c r="AC13" s="703">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2"/>
      <c r="M14" s="2706"/>
      <c r="N14" s="2706"/>
      <c r="O14" s="2706"/>
      <c r="P14" s="3935"/>
      <c r="Q14" s="1338">
        <f t="shared" si="6"/>
        <v>111</v>
      </c>
      <c r="R14" s="700" t="s">
        <v>18</v>
      </c>
      <c r="S14" s="701">
        <f t="shared" si="0"/>
        <v>100</v>
      </c>
      <c r="T14" s="700" t="s">
        <v>18</v>
      </c>
      <c r="U14" s="701">
        <f t="shared" si="1"/>
        <v>100</v>
      </c>
      <c r="V14" s="700" t="s">
        <v>18</v>
      </c>
      <c r="W14" s="701">
        <f t="shared" si="2"/>
        <v>100</v>
      </c>
      <c r="X14" s="702"/>
      <c r="Y14" s="3851"/>
      <c r="Z14" s="52">
        <f t="shared" si="7"/>
        <v>111</v>
      </c>
      <c r="AA14" s="703">
        <f t="shared" si="3"/>
        <v>1</v>
      </c>
      <c r="AB14" s="703">
        <f t="shared" si="4"/>
        <v>1</v>
      </c>
      <c r="AC14" s="703">
        <f t="shared" si="5"/>
        <v>1</v>
      </c>
    </row>
    <row r="15" spans="1:29" ht="85.5">
      <c r="A15" s="390" t="s">
        <v>1690</v>
      </c>
      <c r="B15" s="61" t="s">
        <v>1257</v>
      </c>
      <c r="C15" s="1890"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f>'土地比较法-住宅、综合'!K15</f>
        <v>3</v>
      </c>
      <c r="L15" s="2712"/>
      <c r="M15" s="2706"/>
      <c r="N15" s="2706"/>
      <c r="O15" s="2706"/>
      <c r="P15" s="3973" t="s">
        <v>1691</v>
      </c>
      <c r="Q15" s="1347" t="str">
        <f t="shared" si="6"/>
        <v>居住社区成熟度</v>
      </c>
      <c r="R15" s="704" t="s">
        <v>18</v>
      </c>
      <c r="S15" s="705">
        <f t="shared" si="0"/>
        <v>100</v>
      </c>
      <c r="T15" s="704" t="s">
        <v>18</v>
      </c>
      <c r="U15" s="705">
        <f t="shared" si="1"/>
        <v>100</v>
      </c>
      <c r="V15" s="704" t="s">
        <v>18</v>
      </c>
      <c r="W15" s="705">
        <f t="shared" si="2"/>
        <v>100</v>
      </c>
      <c r="X15" s="1350"/>
      <c r="Y15" s="3926" t="s">
        <v>1691</v>
      </c>
      <c r="Z15" s="1351" t="str">
        <f t="shared" si="7"/>
        <v>居住社区成熟度</v>
      </c>
      <c r="AA15" s="1348">
        <f t="shared" si="3"/>
        <v>1</v>
      </c>
      <c r="AB15" s="1348">
        <f t="shared" si="4"/>
        <v>1</v>
      </c>
      <c r="AC15" s="1348">
        <f t="shared" si="5"/>
        <v>1</v>
      </c>
    </row>
    <row r="16" spans="1:29" ht="15">
      <c r="A16" s="378"/>
      <c r="B16" s="396"/>
      <c r="C16" s="397" t="s">
        <v>3392</v>
      </c>
      <c r="D16" s="398"/>
      <c r="E16" s="397" t="s">
        <v>3392</v>
      </c>
      <c r="F16" s="398"/>
      <c r="G16" s="397" t="s">
        <v>3392</v>
      </c>
      <c r="H16" s="400"/>
      <c r="I16" s="397" t="s">
        <v>3392</v>
      </c>
      <c r="J16" s="398"/>
      <c r="K16" s="1893"/>
      <c r="L16" s="2712"/>
      <c r="M16" s="2706"/>
      <c r="N16" s="2706"/>
      <c r="O16" s="2706"/>
      <c r="P16" s="3974"/>
      <c r="Q16" s="1347"/>
      <c r="R16" s="704"/>
      <c r="S16" s="705"/>
      <c r="T16" s="704"/>
      <c r="U16" s="705"/>
      <c r="V16" s="704"/>
      <c r="W16" s="705"/>
      <c r="X16" s="1350"/>
      <c r="Y16" s="3927"/>
      <c r="Z16" s="1351"/>
      <c r="AA16" s="1348">
        <v>1</v>
      </c>
      <c r="AB16" s="1348">
        <v>1</v>
      </c>
      <c r="AC16" s="1348">
        <v>1</v>
      </c>
    </row>
    <row r="17" spans="1:29" ht="71.25">
      <c r="A17" s="378"/>
      <c r="B17" s="401" t="s">
        <v>1259</v>
      </c>
      <c r="C17" s="1894"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100</v>
      </c>
      <c r="I17" s="402"/>
      <c r="J17" s="405">
        <f>SUMIF(78:78,I18,79:79)-SUMIF(78:78,C18,79:79)+100</f>
        <v>100</v>
      </c>
      <c r="K17" s="395">
        <f>'土地比较法-住宅、综合'!K21</f>
        <v>3</v>
      </c>
      <c r="L17" s="2712"/>
      <c r="M17" s="2706"/>
      <c r="N17" s="2706"/>
      <c r="O17" s="2706"/>
      <c r="P17" s="3974"/>
      <c r="Q17" s="1347" t="str">
        <f>B17</f>
        <v>交通便捷度</v>
      </c>
      <c r="R17" s="704" t="s">
        <v>18</v>
      </c>
      <c r="S17" s="705">
        <f>F17</f>
        <v>100</v>
      </c>
      <c r="T17" s="704" t="s">
        <v>18</v>
      </c>
      <c r="U17" s="705">
        <f>H17</f>
        <v>100</v>
      </c>
      <c r="V17" s="704" t="s">
        <v>18</v>
      </c>
      <c r="W17" s="705">
        <f>J17</f>
        <v>100</v>
      </c>
      <c r="X17" s="1350"/>
      <c r="Y17" s="3927"/>
      <c r="Z17" s="1351" t="str">
        <f>Q17</f>
        <v>交通便捷度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1893"/>
      <c r="L18" s="2712"/>
      <c r="M18" s="2706"/>
      <c r="N18" s="2706"/>
      <c r="O18" s="2706"/>
      <c r="P18" s="3974"/>
      <c r="Q18" s="1347"/>
      <c r="R18" s="704"/>
      <c r="S18" s="705"/>
      <c r="T18" s="704"/>
      <c r="U18" s="705"/>
      <c r="V18" s="704"/>
      <c r="W18" s="705"/>
      <c r="X18" s="1350"/>
      <c r="Y18" s="3927"/>
      <c r="Z18" s="1351"/>
      <c r="AA18" s="1348">
        <v>1</v>
      </c>
      <c r="AB18" s="1348">
        <v>1</v>
      </c>
      <c r="AC18" s="1348">
        <v>1</v>
      </c>
    </row>
    <row r="19" spans="1:29" ht="42.75">
      <c r="A19" s="378"/>
      <c r="B19" s="401" t="s">
        <v>1258</v>
      </c>
      <c r="C19" s="1894" t="str">
        <f>估价对象房地状况!C7</f>
        <v>估价对象所在区域公共配套设施齐备情况一般</v>
      </c>
      <c r="D19" s="405">
        <v>100</v>
      </c>
      <c r="E19" s="409"/>
      <c r="F19" s="405">
        <f>SUMIF(80:80,E20,81:81)-SUMIF(80:80,C20,81:81)+100</f>
        <v>100</v>
      </c>
      <c r="G19" s="407"/>
      <c r="H19" s="400">
        <f>SUMIF(80:80,G20,81:81)-SUMIF(80:80,C20,81:81)+100</f>
        <v>100</v>
      </c>
      <c r="I19" s="407"/>
      <c r="J19" s="400">
        <f>SUMIF(80:80,I20,81:81)-SUMIF(80:80,C20,81:81)+100</f>
        <v>100</v>
      </c>
      <c r="K19" s="395">
        <f>'土地比较法-住宅、综合'!K27</f>
        <v>2</v>
      </c>
      <c r="L19" s="2712"/>
      <c r="M19" s="2706"/>
      <c r="N19" s="2706"/>
      <c r="O19" s="2706"/>
      <c r="P19" s="3974"/>
      <c r="Q19" s="1347" t="str">
        <f>B19</f>
        <v>公共配套设施</v>
      </c>
      <c r="R19" s="704" t="s">
        <v>18</v>
      </c>
      <c r="S19" s="705">
        <f>F19</f>
        <v>100</v>
      </c>
      <c r="T19" s="704" t="s">
        <v>18</v>
      </c>
      <c r="U19" s="705">
        <f>H19</f>
        <v>100</v>
      </c>
      <c r="V19" s="704" t="s">
        <v>18</v>
      </c>
      <c r="W19" s="705">
        <f>J19</f>
        <v>100</v>
      </c>
      <c r="X19" s="1350"/>
      <c r="Y19" s="3927"/>
      <c r="Z19" s="1351" t="str">
        <f>Q19</f>
        <v>公共配套设施</v>
      </c>
      <c r="AA19" s="1348">
        <f t="shared" si="3"/>
        <v>1</v>
      </c>
      <c r="AB19" s="1348">
        <f t="shared" si="4"/>
        <v>1</v>
      </c>
      <c r="AC19" s="1348">
        <f t="shared" si="5"/>
        <v>1</v>
      </c>
    </row>
    <row r="20" spans="1:29" ht="15">
      <c r="A20" s="378"/>
      <c r="B20" s="406"/>
      <c r="C20" s="397" t="s">
        <v>3392</v>
      </c>
      <c r="D20" s="398"/>
      <c r="E20" s="397" t="s">
        <v>3392</v>
      </c>
      <c r="F20" s="398"/>
      <c r="G20" s="397" t="s">
        <v>3392</v>
      </c>
      <c r="H20" s="398"/>
      <c r="I20" s="397" t="s">
        <v>3392</v>
      </c>
      <c r="J20" s="398"/>
      <c r="K20" s="1893"/>
      <c r="L20" s="2712"/>
      <c r="M20" s="2706"/>
      <c r="N20" s="2706"/>
      <c r="O20" s="2706"/>
      <c r="P20" s="3974"/>
      <c r="Q20" s="1347"/>
      <c r="R20" s="704"/>
      <c r="S20" s="705"/>
      <c r="T20" s="704"/>
      <c r="U20" s="705"/>
      <c r="V20" s="704"/>
      <c r="W20" s="705"/>
      <c r="X20" s="1350"/>
      <c r="Y20" s="3927"/>
      <c r="Z20" s="1351"/>
      <c r="AA20" s="1348">
        <v>1</v>
      </c>
      <c r="AB20" s="1348">
        <v>1</v>
      </c>
      <c r="AC20" s="1348">
        <v>1</v>
      </c>
    </row>
    <row r="21" spans="1:29" ht="28.5">
      <c r="A21" s="378"/>
      <c r="B21" s="1127" t="s">
        <v>1260</v>
      </c>
      <c r="C21" s="1894"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f>'土地比较法-住宅、综合'!K29</f>
        <v>1</v>
      </c>
      <c r="L21" s="2712"/>
      <c r="M21" s="2706"/>
      <c r="N21" s="2706"/>
      <c r="O21" s="2706"/>
      <c r="P21" s="3974"/>
      <c r="Q21" s="1347" t="str">
        <f>B21</f>
        <v>基础设施水平</v>
      </c>
      <c r="R21" s="704" t="s">
        <v>14</v>
      </c>
      <c r="S21" s="705">
        <f>F21</f>
        <v>100</v>
      </c>
      <c r="T21" s="704" t="s">
        <v>14</v>
      </c>
      <c r="U21" s="705">
        <f>H21</f>
        <v>100</v>
      </c>
      <c r="V21" s="704" t="s">
        <v>14</v>
      </c>
      <c r="W21" s="705">
        <f>J21</f>
        <v>100</v>
      </c>
      <c r="X21" s="1350"/>
      <c r="Y21" s="3927"/>
      <c r="Z21" s="1351" t="str">
        <f>Q21</f>
        <v>基础设施水平</v>
      </c>
      <c r="AA21" s="1348">
        <f t="shared" ref="AA21" si="8">D21/F21</f>
        <v>1</v>
      </c>
      <c r="AB21" s="1348">
        <f t="shared" ref="AB21" si="9">D21/H21</f>
        <v>1</v>
      </c>
      <c r="AC21" s="1348">
        <f t="shared" ref="AC21" si="10">D21/J21</f>
        <v>1</v>
      </c>
    </row>
    <row r="22" spans="1:29" ht="15">
      <c r="A22" s="378"/>
      <c r="B22" s="1127"/>
      <c r="C22" s="1895" t="s">
        <v>3814</v>
      </c>
      <c r="D22" s="398"/>
      <c r="E22" s="1895" t="s">
        <v>3814</v>
      </c>
      <c r="F22" s="398"/>
      <c r="G22" s="1895" t="s">
        <v>3814</v>
      </c>
      <c r="H22" s="398"/>
      <c r="I22" s="1895" t="s">
        <v>3814</v>
      </c>
      <c r="J22" s="398"/>
      <c r="K22" s="1899"/>
      <c r="L22" s="2712"/>
      <c r="M22" s="2706"/>
      <c r="N22" s="2706"/>
      <c r="O22" s="2706"/>
      <c r="P22" s="3974"/>
      <c r="Q22" s="1347"/>
      <c r="R22" s="704"/>
      <c r="S22" s="705"/>
      <c r="T22" s="704"/>
      <c r="U22" s="705"/>
      <c r="V22" s="704"/>
      <c r="W22" s="705"/>
      <c r="X22" s="1350"/>
      <c r="Y22" s="3927"/>
      <c r="Z22" s="1351"/>
      <c r="AA22" s="1348">
        <v>1</v>
      </c>
      <c r="AB22" s="1348">
        <v>1</v>
      </c>
      <c r="AC22" s="1348">
        <v>1</v>
      </c>
    </row>
    <row r="23" spans="1:29" ht="42.75">
      <c r="A23" s="378"/>
      <c r="B23" s="401" t="s">
        <v>1261</v>
      </c>
      <c r="C23" s="1894"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f>'土地比较法-住宅、综合'!K25</f>
        <v>3</v>
      </c>
      <c r="L23" s="2712"/>
      <c r="M23" s="2706"/>
      <c r="N23" s="2706"/>
      <c r="O23" s="2706"/>
      <c r="P23" s="3974"/>
      <c r="Q23" s="1347" t="str">
        <f>B23</f>
        <v>自然及人文环境</v>
      </c>
      <c r="R23" s="704" t="s">
        <v>18</v>
      </c>
      <c r="S23" s="705">
        <f>F23</f>
        <v>100</v>
      </c>
      <c r="T23" s="704" t="s">
        <v>18</v>
      </c>
      <c r="U23" s="705">
        <f>H23</f>
        <v>100</v>
      </c>
      <c r="V23" s="704" t="s">
        <v>18</v>
      </c>
      <c r="W23" s="705">
        <f>J23</f>
        <v>100</v>
      </c>
      <c r="X23" s="1350"/>
      <c r="Y23" s="3927"/>
      <c r="Z23" s="1351" t="str">
        <f>Q23</f>
        <v>自然及人文环境</v>
      </c>
      <c r="AA23" s="1348">
        <f>D23/F23</f>
        <v>1</v>
      </c>
      <c r="AB23" s="1348">
        <f>D23/H23</f>
        <v>1</v>
      </c>
      <c r="AC23" s="1348">
        <f>D23/J23</f>
        <v>1</v>
      </c>
    </row>
    <row r="24" spans="1:29" ht="15">
      <c r="A24" s="378"/>
      <c r="B24" s="406"/>
      <c r="C24" s="397" t="s">
        <v>3392</v>
      </c>
      <c r="D24" s="398"/>
      <c r="E24" s="397" t="s">
        <v>3392</v>
      </c>
      <c r="F24" s="398"/>
      <c r="G24" s="397" t="s">
        <v>3392</v>
      </c>
      <c r="H24" s="398"/>
      <c r="I24" s="397" t="s">
        <v>3392</v>
      </c>
      <c r="J24" s="398"/>
      <c r="K24" s="1893"/>
      <c r="L24" s="2712"/>
      <c r="M24" s="2706"/>
      <c r="N24" s="2706"/>
      <c r="O24" s="2706"/>
      <c r="P24" s="3974"/>
      <c r="Q24" s="1347"/>
      <c r="R24" s="704"/>
      <c r="S24" s="705"/>
      <c r="T24" s="704"/>
      <c r="U24" s="705"/>
      <c r="V24" s="704"/>
      <c r="W24" s="705"/>
      <c r="X24" s="1350"/>
      <c r="Y24" s="3927"/>
      <c r="Z24" s="1351"/>
      <c r="AA24" s="1348">
        <v>1</v>
      </c>
      <c r="AB24" s="1348">
        <v>1</v>
      </c>
      <c r="AC24" s="1348">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2"/>
      <c r="M25" s="2706"/>
      <c r="N25" s="2706"/>
      <c r="O25" s="2706"/>
      <c r="P25" s="3974"/>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927"/>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2"/>
      <c r="M26" s="2706"/>
      <c r="N26" s="2706"/>
      <c r="O26" s="2706"/>
      <c r="P26" s="3974"/>
      <c r="Q26" s="1347" t="str">
        <f t="shared" si="11"/>
        <v>朝向</v>
      </c>
      <c r="R26" s="704" t="s">
        <v>18</v>
      </c>
      <c r="S26" s="705">
        <f t="shared" si="12"/>
        <v>100</v>
      </c>
      <c r="T26" s="704" t="s">
        <v>18</v>
      </c>
      <c r="U26" s="705">
        <f t="shared" si="13"/>
        <v>100</v>
      </c>
      <c r="V26" s="704" t="s">
        <v>18</v>
      </c>
      <c r="W26" s="705">
        <f t="shared" si="14"/>
        <v>100</v>
      </c>
      <c r="X26" s="1350"/>
      <c r="Y26" s="3927"/>
      <c r="Z26" s="1351" t="str">
        <f>Q26</f>
        <v>朝向</v>
      </c>
      <c r="AA26" s="1348">
        <f t="shared" si="15"/>
        <v>1</v>
      </c>
      <c r="AB26" s="1348">
        <f t="shared" si="16"/>
        <v>1</v>
      </c>
      <c r="AC26" s="1348">
        <f t="shared" si="17"/>
        <v>1</v>
      </c>
    </row>
    <row r="27" spans="1:29" s="107"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8"/>
      <c r="L27" s="2707"/>
      <c r="M27" s="2708"/>
      <c r="N27" s="2708"/>
      <c r="O27" s="2708"/>
      <c r="P27" s="3974"/>
      <c r="Q27" s="1338">
        <f t="shared" si="11"/>
        <v>111</v>
      </c>
      <c r="R27" s="700" t="s">
        <v>18</v>
      </c>
      <c r="S27" s="701">
        <f t="shared" si="12"/>
        <v>100</v>
      </c>
      <c r="T27" s="700" t="s">
        <v>18</v>
      </c>
      <c r="U27" s="701">
        <f t="shared" si="13"/>
        <v>100</v>
      </c>
      <c r="V27" s="700" t="s">
        <v>18</v>
      </c>
      <c r="W27" s="701">
        <f t="shared" si="14"/>
        <v>100</v>
      </c>
      <c r="X27" s="702"/>
      <c r="Y27" s="3927"/>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2"/>
      <c r="H28" s="385">
        <f>SUMIF(92:92,G28,93:93)-SUMIF(92:92,C28,93:93)+100</f>
        <v>100</v>
      </c>
      <c r="I28" s="384"/>
      <c r="J28" s="385">
        <f>SUMIF(92:92,I28,93:93)-SUMIF(92:92,C28,93:93)+100</f>
        <v>100</v>
      </c>
      <c r="K28" s="1888"/>
      <c r="L28" s="2712"/>
      <c r="M28" s="2706"/>
      <c r="N28" s="2706"/>
      <c r="O28" s="2706"/>
      <c r="P28" s="3974"/>
      <c r="Q28" s="1347">
        <f t="shared" si="11"/>
        <v>111</v>
      </c>
      <c r="R28" s="704" t="s">
        <v>18</v>
      </c>
      <c r="S28" s="705">
        <f t="shared" si="12"/>
        <v>100</v>
      </c>
      <c r="T28" s="704" t="s">
        <v>18</v>
      </c>
      <c r="U28" s="705">
        <f t="shared" si="13"/>
        <v>100</v>
      </c>
      <c r="V28" s="704" t="s">
        <v>18</v>
      </c>
      <c r="W28" s="705">
        <f t="shared" si="14"/>
        <v>100</v>
      </c>
      <c r="X28" s="1350"/>
      <c r="Y28" s="3927"/>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2"/>
      <c r="H29" s="385">
        <f>SUMIF(94:94,G29,95:95)-SUMIF(94:94,C29,95:95)+100</f>
        <v>100</v>
      </c>
      <c r="I29" s="384"/>
      <c r="J29" s="385">
        <f>SUMIF(94:94,I29,95:95)-SUMIF(94:94,C29,95:95)+100</f>
        <v>100</v>
      </c>
      <c r="K29" s="1888"/>
      <c r="L29" s="2712"/>
      <c r="M29" s="2706"/>
      <c r="N29" s="2706"/>
      <c r="O29" s="2706"/>
      <c r="P29" s="3974"/>
      <c r="Q29" s="1347">
        <f t="shared" si="11"/>
        <v>111</v>
      </c>
      <c r="R29" s="704" t="s">
        <v>18</v>
      </c>
      <c r="S29" s="705">
        <f t="shared" si="12"/>
        <v>100</v>
      </c>
      <c r="T29" s="704" t="s">
        <v>18</v>
      </c>
      <c r="U29" s="705">
        <f t="shared" si="13"/>
        <v>100</v>
      </c>
      <c r="V29" s="704" t="s">
        <v>18</v>
      </c>
      <c r="W29" s="705">
        <f t="shared" si="14"/>
        <v>100</v>
      </c>
      <c r="X29" s="1350"/>
      <c r="Y29" s="3927"/>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2"/>
      <c r="H30" s="385">
        <f>SUMIF(96:96,G30,97:97)-SUMIF(96:96,C30,97:97)+100</f>
        <v>100</v>
      </c>
      <c r="I30" s="384"/>
      <c r="J30" s="385">
        <f>SUMIF(96:96,I30,97:97)-SUMIF(96:96,C30,97:97)+100</f>
        <v>100</v>
      </c>
      <c r="K30" s="1888"/>
      <c r="L30" s="2712"/>
      <c r="M30" s="2706"/>
      <c r="N30" s="2706"/>
      <c r="O30" s="2706"/>
      <c r="P30" s="3974"/>
      <c r="Q30" s="1347">
        <f t="shared" si="11"/>
        <v>111</v>
      </c>
      <c r="R30" s="704" t="s">
        <v>18</v>
      </c>
      <c r="S30" s="705">
        <f t="shared" si="12"/>
        <v>100</v>
      </c>
      <c r="T30" s="704" t="s">
        <v>18</v>
      </c>
      <c r="U30" s="705">
        <f t="shared" si="13"/>
        <v>100</v>
      </c>
      <c r="V30" s="704" t="s">
        <v>18</v>
      </c>
      <c r="W30" s="705">
        <f t="shared" si="14"/>
        <v>100</v>
      </c>
      <c r="X30" s="1350"/>
      <c r="Y30" s="3927"/>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3"/>
      <c r="H31" s="388">
        <f>SUMIF(98:98,G31,99:99)-SUMIF(98:98,C31,99:99)+100</f>
        <v>100</v>
      </c>
      <c r="I31" s="387"/>
      <c r="J31" s="388">
        <f>SUMIF(98:98,I31,99:99)-SUMIF(98:98,C31,99:99)+100</f>
        <v>100</v>
      </c>
      <c r="K31" s="1888"/>
      <c r="L31" s="2712"/>
      <c r="M31" s="2706"/>
      <c r="N31" s="2706"/>
      <c r="O31" s="2706"/>
      <c r="P31" s="3974"/>
      <c r="Q31" s="1347">
        <f t="shared" si="11"/>
        <v>111</v>
      </c>
      <c r="R31" s="704" t="s">
        <v>18</v>
      </c>
      <c r="S31" s="705">
        <f t="shared" si="12"/>
        <v>100</v>
      </c>
      <c r="T31" s="704" t="s">
        <v>18</v>
      </c>
      <c r="U31" s="705">
        <f t="shared" si="13"/>
        <v>100</v>
      </c>
      <c r="V31" s="704" t="s">
        <v>18</v>
      </c>
      <c r="W31" s="705">
        <f t="shared" si="14"/>
        <v>100</v>
      </c>
      <c r="X31" s="1350"/>
      <c r="Y31" s="3927"/>
      <c r="Z31" s="1351">
        <f t="shared" si="18"/>
        <v>111</v>
      </c>
      <c r="AA31" s="1348">
        <f t="shared" si="15"/>
        <v>1</v>
      </c>
      <c r="AB31" s="1348">
        <f t="shared" si="16"/>
        <v>1</v>
      </c>
      <c r="AC31" s="1348">
        <f t="shared" si="17"/>
        <v>1</v>
      </c>
    </row>
    <row r="32" spans="1:29" ht="15">
      <c r="A32" s="390" t="s">
        <v>1694</v>
      </c>
      <c r="B32" s="63" t="s">
        <v>1695</v>
      </c>
      <c r="C32" s="1904" t="s">
        <v>3530</v>
      </c>
      <c r="D32" s="417">
        <v>100</v>
      </c>
      <c r="E32" s="1904" t="s">
        <v>3530</v>
      </c>
      <c r="F32" s="411">
        <f>SUMIF(100:100,E32,101:101)-SUMIF(100:100,C32,101:101)+100</f>
        <v>100</v>
      </c>
      <c r="G32" s="1904" t="s">
        <v>3530</v>
      </c>
      <c r="H32" s="417">
        <f>SUMIF(100:100,G32,101:101)-SUMIF(100:100,C32,101:101)+100</f>
        <v>100</v>
      </c>
      <c r="I32" s="1904" t="s">
        <v>3530</v>
      </c>
      <c r="J32" s="385">
        <f>SUMIF(100:100,I32,101:101)-SUMIF(100:100,C32,101:101)+100</f>
        <v>100</v>
      </c>
      <c r="K32" s="376"/>
      <c r="L32" s="2712"/>
      <c r="M32" s="2706"/>
      <c r="N32" s="2706"/>
      <c r="O32" s="2706"/>
      <c r="P32" s="3969" t="s">
        <v>1696</v>
      </c>
      <c r="Q32" s="1347" t="str">
        <f t="shared" si="11"/>
        <v>建筑类型</v>
      </c>
      <c r="R32" s="704" t="s">
        <v>18</v>
      </c>
      <c r="S32" s="705">
        <f t="shared" si="12"/>
        <v>100</v>
      </c>
      <c r="T32" s="704" t="s">
        <v>18</v>
      </c>
      <c r="U32" s="705">
        <f t="shared" si="13"/>
        <v>100</v>
      </c>
      <c r="V32" s="704" t="s">
        <v>18</v>
      </c>
      <c r="W32" s="705">
        <f t="shared" si="14"/>
        <v>100</v>
      </c>
      <c r="X32" s="1350"/>
      <c r="Y32" s="3929" t="s">
        <v>1696</v>
      </c>
      <c r="Z32" s="1351" t="str">
        <f t="shared" si="18"/>
        <v>建筑类型</v>
      </c>
      <c r="AA32" s="1348">
        <f t="shared" si="15"/>
        <v>1</v>
      </c>
      <c r="AB32" s="1348">
        <f t="shared" si="16"/>
        <v>1</v>
      </c>
      <c r="AC32" s="1348">
        <f t="shared" si="17"/>
        <v>1</v>
      </c>
    </row>
    <row r="33" spans="1:29" s="421" customFormat="1" ht="15">
      <c r="A33" s="418"/>
      <c r="B33" s="374" t="s">
        <v>1697</v>
      </c>
      <c r="C33" s="419">
        <f>项目情况!N68</f>
        <v>248721.26</v>
      </c>
      <c r="D33" s="126">
        <v>100</v>
      </c>
      <c r="E33" s="419">
        <v>149821.79999999999</v>
      </c>
      <c r="F33" s="375">
        <f>LOOKUP(E33,103:103,104:104)-LOOKUP(C33,103:103,104:104)+100</f>
        <v>99</v>
      </c>
      <c r="G33" s="419">
        <v>91784.68</v>
      </c>
      <c r="H33" s="126">
        <f>LOOKUP(G33,103:103,104:104)-LOOKUP(C33,103:103,104:104)+100</f>
        <v>98</v>
      </c>
      <c r="I33" s="419">
        <v>300000</v>
      </c>
      <c r="J33" s="126">
        <f>LOOKUP(I33,103:103,104:104)-LOOKUP(C33,103:103,104:104)+100</f>
        <v>101</v>
      </c>
      <c r="K33" s="1888"/>
      <c r="L33" s="2711"/>
      <c r="M33" s="2713"/>
      <c r="N33" s="2713"/>
      <c r="O33" s="2713"/>
      <c r="P33" s="3970"/>
      <c r="Q33" s="706" t="str">
        <f t="shared" si="11"/>
        <v>项目建筑规模</v>
      </c>
      <c r="R33" s="707" t="s">
        <v>18</v>
      </c>
      <c r="S33" s="708">
        <f t="shared" si="12"/>
        <v>99</v>
      </c>
      <c r="T33" s="707" t="s">
        <v>18</v>
      </c>
      <c r="U33" s="708">
        <f t="shared" si="13"/>
        <v>98</v>
      </c>
      <c r="V33" s="707" t="s">
        <v>18</v>
      </c>
      <c r="W33" s="708">
        <f t="shared" si="14"/>
        <v>101</v>
      </c>
      <c r="X33" s="709"/>
      <c r="Y33" s="3929"/>
      <c r="Z33" s="710" t="str">
        <f t="shared" si="18"/>
        <v>项目建筑规模</v>
      </c>
      <c r="AA33" s="1348">
        <f t="shared" si="15"/>
        <v>1.0101010101010102</v>
      </c>
      <c r="AB33" s="1348">
        <f t="shared" si="16"/>
        <v>1.0204081632653061</v>
      </c>
      <c r="AC33" s="1348">
        <f t="shared" si="17"/>
        <v>0.99009900990099009</v>
      </c>
    </row>
    <row r="34" spans="1:29" ht="15">
      <c r="A34" s="422"/>
      <c r="B34" s="374" t="s">
        <v>1698</v>
      </c>
      <c r="C34" s="1905" t="s">
        <v>3376</v>
      </c>
      <c r="D34" s="385">
        <v>100</v>
      </c>
      <c r="E34" s="1905" t="s">
        <v>3376</v>
      </c>
      <c r="F34" s="411">
        <f>SUMIF(105:105,E34,106:106)-SUMIF(105:105,C34,106:106)+100</f>
        <v>100</v>
      </c>
      <c r="G34" s="1905" t="s">
        <v>3376</v>
      </c>
      <c r="H34" s="385">
        <f>SUMIF(105:105,G34,106:106)-SUMIF(105:105,C34,106:106)+100</f>
        <v>100</v>
      </c>
      <c r="I34" s="1905" t="s">
        <v>3376</v>
      </c>
      <c r="J34" s="385">
        <f>SUMIF(105:105,I34,106:106)-SUMIF(105:105,C34,106:106)+100</f>
        <v>100</v>
      </c>
      <c r="K34" s="376"/>
      <c r="L34" s="2712"/>
      <c r="M34" s="2706"/>
      <c r="N34" s="2706"/>
      <c r="O34" s="2706"/>
      <c r="P34" s="3970"/>
      <c r="Q34" s="1347" t="str">
        <f t="shared" si="11"/>
        <v>建筑结构</v>
      </c>
      <c r="R34" s="704" t="s">
        <v>18</v>
      </c>
      <c r="S34" s="705">
        <f t="shared" si="12"/>
        <v>100</v>
      </c>
      <c r="T34" s="704" t="s">
        <v>18</v>
      </c>
      <c r="U34" s="705">
        <f t="shared" si="13"/>
        <v>100</v>
      </c>
      <c r="V34" s="704" t="s">
        <v>18</v>
      </c>
      <c r="W34" s="705">
        <f t="shared" si="14"/>
        <v>100</v>
      </c>
      <c r="X34" s="1350"/>
      <c r="Y34" s="3929"/>
      <c r="Z34" s="1351" t="str">
        <f t="shared" si="18"/>
        <v>建筑结构</v>
      </c>
      <c r="AA34" s="1348">
        <f t="shared" si="15"/>
        <v>1</v>
      </c>
      <c r="AB34" s="1348">
        <f t="shared" si="16"/>
        <v>1</v>
      </c>
      <c r="AC34" s="1348">
        <f t="shared" si="17"/>
        <v>1</v>
      </c>
    </row>
    <row r="35" spans="1:29" ht="15">
      <c r="A35" s="422"/>
      <c r="B35" s="374" t="s">
        <v>1699</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376"/>
      <c r="L35" s="2712"/>
      <c r="M35" s="2706"/>
      <c r="N35" s="2706"/>
      <c r="O35" s="2706"/>
      <c r="P35" s="3970"/>
      <c r="Q35" s="1347" t="str">
        <f t="shared" si="11"/>
        <v>建筑品质</v>
      </c>
      <c r="R35" s="704" t="s">
        <v>18</v>
      </c>
      <c r="S35" s="705">
        <f t="shared" si="12"/>
        <v>100</v>
      </c>
      <c r="T35" s="704" t="s">
        <v>18</v>
      </c>
      <c r="U35" s="705">
        <f t="shared" si="13"/>
        <v>100</v>
      </c>
      <c r="V35" s="704" t="s">
        <v>18</v>
      </c>
      <c r="W35" s="705">
        <f t="shared" si="14"/>
        <v>100</v>
      </c>
      <c r="X35" s="1350"/>
      <c r="Y35" s="3929"/>
      <c r="Z35" s="1351" t="str">
        <f t="shared" si="18"/>
        <v>建筑品质</v>
      </c>
      <c r="AA35" s="1348">
        <f t="shared" si="15"/>
        <v>1</v>
      </c>
      <c r="AB35" s="1348">
        <f t="shared" si="16"/>
        <v>1</v>
      </c>
      <c r="AC35" s="1348">
        <f t="shared" si="17"/>
        <v>1</v>
      </c>
    </row>
    <row r="36" spans="1:29" ht="15">
      <c r="A36" s="422"/>
      <c r="B36" s="374" t="s">
        <v>1700</v>
      </c>
      <c r="C36" s="1900" t="s">
        <v>3851</v>
      </c>
      <c r="D36" s="385">
        <v>100</v>
      </c>
      <c r="E36" s="1900" t="s">
        <v>3851</v>
      </c>
      <c r="F36" s="411">
        <f>SUMIF(109:109,E36,110:110)-SUMIF(109:109,C36,110:110)+100</f>
        <v>100</v>
      </c>
      <c r="G36" s="1900" t="s">
        <v>3851</v>
      </c>
      <c r="H36" s="385">
        <f>SUMIF(109:109,G36,110:110)-SUMIF(109:109,C36,110:110)+100</f>
        <v>100</v>
      </c>
      <c r="I36" s="1900" t="s">
        <v>3851</v>
      </c>
      <c r="J36" s="385">
        <f>SUMIF(109:109,I36,110:110)-SUMIF(109:109,C36,110:110)+100</f>
        <v>100</v>
      </c>
      <c r="K36" s="376"/>
      <c r="L36" s="2712"/>
      <c r="M36" s="2706"/>
      <c r="N36" s="2706"/>
      <c r="O36" s="2706"/>
      <c r="P36" s="3970"/>
      <c r="Q36" s="1347" t="str">
        <f t="shared" si="11"/>
        <v>公共部分装修</v>
      </c>
      <c r="R36" s="704" t="s">
        <v>18</v>
      </c>
      <c r="S36" s="705">
        <f t="shared" si="12"/>
        <v>100</v>
      </c>
      <c r="T36" s="704" t="s">
        <v>18</v>
      </c>
      <c r="U36" s="705">
        <f t="shared" si="13"/>
        <v>100</v>
      </c>
      <c r="V36" s="704" t="s">
        <v>18</v>
      </c>
      <c r="W36" s="705">
        <f t="shared" si="14"/>
        <v>100</v>
      </c>
      <c r="X36" s="1350"/>
      <c r="Y36" s="3929"/>
      <c r="Z36" s="1351" t="str">
        <f t="shared" si="18"/>
        <v>公共部分装修</v>
      </c>
      <c r="AA36" s="1348">
        <f t="shared" si="15"/>
        <v>1</v>
      </c>
      <c r="AB36" s="1348">
        <f t="shared" si="16"/>
        <v>1</v>
      </c>
      <c r="AC36" s="1348">
        <f t="shared" si="17"/>
        <v>1</v>
      </c>
    </row>
    <row r="37" spans="1:29" s="107" customFormat="1" ht="15">
      <c r="A37" s="423"/>
      <c r="B37" s="374" t="s">
        <v>1701</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c r="L37" s="2707"/>
      <c r="M37" s="2708"/>
      <c r="N37" s="2708"/>
      <c r="O37" s="2708"/>
      <c r="P37" s="3970"/>
      <c r="Q37" s="1338" t="str">
        <f t="shared" si="11"/>
        <v>成新度</v>
      </c>
      <c r="R37" s="700" t="s">
        <v>18</v>
      </c>
      <c r="S37" s="701">
        <f t="shared" si="12"/>
        <v>100</v>
      </c>
      <c r="T37" s="700" t="s">
        <v>18</v>
      </c>
      <c r="U37" s="701">
        <f t="shared" si="13"/>
        <v>100</v>
      </c>
      <c r="V37" s="700" t="s">
        <v>18</v>
      </c>
      <c r="W37" s="701">
        <f t="shared" si="14"/>
        <v>100</v>
      </c>
      <c r="X37" s="702"/>
      <c r="Y37" s="3929"/>
      <c r="Z37" s="52" t="str">
        <f t="shared" si="18"/>
        <v>成新度</v>
      </c>
      <c r="AA37" s="703">
        <f t="shared" si="15"/>
        <v>1</v>
      </c>
      <c r="AB37" s="703">
        <f t="shared" si="16"/>
        <v>1</v>
      </c>
      <c r="AC37" s="703">
        <f t="shared" si="17"/>
        <v>1</v>
      </c>
    </row>
    <row r="38" spans="1:29" ht="15">
      <c r="A38" s="422"/>
      <c r="B38" s="374" t="s">
        <v>1702</v>
      </c>
      <c r="C38" s="1900" t="s">
        <v>3852</v>
      </c>
      <c r="D38" s="385">
        <v>100</v>
      </c>
      <c r="E38" s="1900" t="s">
        <v>3852</v>
      </c>
      <c r="F38" s="411">
        <f>SUMIF(114:114,E38,115:115)-SUMIF(114:114,C38,115:115)+100</f>
        <v>100</v>
      </c>
      <c r="G38" s="1900" t="s">
        <v>3852</v>
      </c>
      <c r="H38" s="385">
        <f>SUMIF(114:114,G38,115:115)-SUMIF(114:114,C38,115:115)+100</f>
        <v>100</v>
      </c>
      <c r="I38" s="1900" t="s">
        <v>3852</v>
      </c>
      <c r="J38" s="385">
        <f>SUMIF(114:114,I38,115:115)-SUMIF(114:114,C38,115:115)+100</f>
        <v>100</v>
      </c>
      <c r="K38" s="376"/>
      <c r="L38" s="2712"/>
      <c r="M38" s="2706"/>
      <c r="N38" s="2706"/>
      <c r="O38" s="2706"/>
      <c r="P38" s="3970" t="s">
        <v>1696</v>
      </c>
      <c r="Q38" s="1347" t="str">
        <f t="shared" si="11"/>
        <v>物业管理</v>
      </c>
      <c r="R38" s="704" t="s">
        <v>18</v>
      </c>
      <c r="S38" s="705">
        <f t="shared" si="12"/>
        <v>100</v>
      </c>
      <c r="T38" s="704" t="s">
        <v>18</v>
      </c>
      <c r="U38" s="705">
        <f t="shared" si="13"/>
        <v>100</v>
      </c>
      <c r="V38" s="704" t="s">
        <v>18</v>
      </c>
      <c r="W38" s="705">
        <f t="shared" si="14"/>
        <v>100</v>
      </c>
      <c r="X38" s="1350"/>
      <c r="Y38" s="3929" t="s">
        <v>1696</v>
      </c>
      <c r="Z38" s="1351" t="str">
        <f t="shared" si="18"/>
        <v>物业管理</v>
      </c>
      <c r="AA38" s="1348">
        <f t="shared" si="15"/>
        <v>1</v>
      </c>
      <c r="AB38" s="1348">
        <f t="shared" si="16"/>
        <v>1</v>
      </c>
      <c r="AC38" s="1348">
        <f t="shared" si="17"/>
        <v>1</v>
      </c>
    </row>
    <row r="39" spans="1:29" ht="15">
      <c r="A39" s="422"/>
      <c r="B39" s="374" t="s">
        <v>1703</v>
      </c>
      <c r="C39" s="1900" t="s">
        <v>3815</v>
      </c>
      <c r="D39" s="385">
        <v>100</v>
      </c>
      <c r="E39" s="1900" t="s">
        <v>3815</v>
      </c>
      <c r="F39" s="411">
        <f>SUMIF(116:116,E39,117:117)-SUMIF(116:116,C39,117:117)+100</f>
        <v>100</v>
      </c>
      <c r="G39" s="1900" t="s">
        <v>3815</v>
      </c>
      <c r="H39" s="385">
        <f>SUMIF(116:116,G39,117:117)-SUMIF(116:116,C39,117:117)+100</f>
        <v>100</v>
      </c>
      <c r="I39" s="1900" t="s">
        <v>3815</v>
      </c>
      <c r="J39" s="385">
        <f>SUMIF(116:116,I39,117:117)-SUMIF(116:116,C39,117:117)+100</f>
        <v>100</v>
      </c>
      <c r="K39" s="376"/>
      <c r="L39" s="2712"/>
      <c r="M39" s="2706"/>
      <c r="N39" s="2706"/>
      <c r="O39" s="2706"/>
      <c r="P39" s="3970"/>
      <c r="Q39" s="1347" t="str">
        <f t="shared" si="11"/>
        <v>市政基础设施</v>
      </c>
      <c r="R39" s="704" t="s">
        <v>18</v>
      </c>
      <c r="S39" s="705">
        <f t="shared" si="12"/>
        <v>100</v>
      </c>
      <c r="T39" s="704" t="s">
        <v>18</v>
      </c>
      <c r="U39" s="705">
        <f t="shared" si="13"/>
        <v>100</v>
      </c>
      <c r="V39" s="704" t="s">
        <v>18</v>
      </c>
      <c r="W39" s="705">
        <f t="shared" si="14"/>
        <v>100</v>
      </c>
      <c r="X39" s="1350"/>
      <c r="Y39" s="3929"/>
      <c r="Z39" s="1351" t="str">
        <f t="shared" si="18"/>
        <v>市政基础设施</v>
      </c>
      <c r="AA39" s="1348">
        <f t="shared" si="15"/>
        <v>1</v>
      </c>
      <c r="AB39" s="1348">
        <f t="shared" si="16"/>
        <v>1</v>
      </c>
      <c r="AC39" s="1348">
        <f t="shared" si="17"/>
        <v>1</v>
      </c>
    </row>
    <row r="40" spans="1:29" ht="15">
      <c r="A40" s="422"/>
      <c r="B40" s="374" t="s">
        <v>1704</v>
      </c>
      <c r="C40" s="1900"/>
      <c r="D40" s="385">
        <v>100</v>
      </c>
      <c r="E40" s="1900"/>
      <c r="F40" s="411">
        <f>SUMIF(118:118,E40,119:119)-SUMIF(118:118,C40,119:119)+100</f>
        <v>100</v>
      </c>
      <c r="G40" s="1900"/>
      <c r="H40" s="385">
        <f>SUMIF(118:118,G40,119:119)-SUMIF(118:118,C40,119:119)+100</f>
        <v>100</v>
      </c>
      <c r="I40" s="1900"/>
      <c r="J40" s="385">
        <f>SUMIF(118:118,I40,119:119)-SUMIF(118:118,C40,119:119)+100</f>
        <v>100</v>
      </c>
      <c r="K40" s="376"/>
      <c r="L40" s="2712"/>
      <c r="M40" s="2706"/>
      <c r="N40" s="2706"/>
      <c r="O40" s="2706"/>
      <c r="P40" s="3970"/>
      <c r="Q40" s="1347" t="str">
        <f t="shared" si="11"/>
        <v>房型</v>
      </c>
      <c r="R40" s="704" t="s">
        <v>18</v>
      </c>
      <c r="S40" s="705">
        <f t="shared" si="12"/>
        <v>100</v>
      </c>
      <c r="T40" s="704" t="s">
        <v>18</v>
      </c>
      <c r="U40" s="705">
        <f t="shared" si="13"/>
        <v>100</v>
      </c>
      <c r="V40" s="704" t="s">
        <v>18</v>
      </c>
      <c r="W40" s="705">
        <f t="shared" si="14"/>
        <v>100</v>
      </c>
      <c r="X40" s="1350"/>
      <c r="Y40" s="3929"/>
      <c r="Z40" s="1351" t="str">
        <f t="shared" si="18"/>
        <v>房型</v>
      </c>
      <c r="AA40" s="1348">
        <f t="shared" si="15"/>
        <v>1</v>
      </c>
      <c r="AB40" s="1348">
        <f t="shared" si="16"/>
        <v>1</v>
      </c>
      <c r="AC40" s="1348">
        <f t="shared" si="17"/>
        <v>1</v>
      </c>
    </row>
    <row r="41" spans="1:29" s="421" customFormat="1" ht="28.5">
      <c r="A41" s="418"/>
      <c r="B41" s="374" t="s">
        <v>1705</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8"/>
      <c r="L41" s="2711"/>
      <c r="M41" s="2713"/>
      <c r="N41" s="2713"/>
      <c r="O41" s="2713"/>
      <c r="P41" s="3970"/>
      <c r="Q41" s="706" t="str">
        <f t="shared" si="11"/>
        <v>单套/主力户型建筑面积</v>
      </c>
      <c r="R41" s="707" t="s">
        <v>18</v>
      </c>
      <c r="S41" s="708">
        <f t="shared" si="12"/>
        <v>100</v>
      </c>
      <c r="T41" s="707" t="s">
        <v>18</v>
      </c>
      <c r="U41" s="708">
        <f t="shared" si="13"/>
        <v>100</v>
      </c>
      <c r="V41" s="707" t="s">
        <v>18</v>
      </c>
      <c r="W41" s="708">
        <f t="shared" si="14"/>
        <v>100</v>
      </c>
      <c r="X41" s="709"/>
      <c r="Y41" s="3929"/>
      <c r="Z41" s="710" t="str">
        <f t="shared" si="18"/>
        <v>单套/主力户型建筑面积</v>
      </c>
      <c r="AA41" s="1348">
        <f t="shared" si="15"/>
        <v>1</v>
      </c>
      <c r="AB41" s="1348">
        <f t="shared" si="16"/>
        <v>1</v>
      </c>
      <c r="AC41" s="1348">
        <f t="shared" si="17"/>
        <v>1</v>
      </c>
    </row>
    <row r="42" spans="1:29" ht="15">
      <c r="A42" s="422"/>
      <c r="B42" s="374" t="s">
        <v>1706</v>
      </c>
      <c r="C42" s="1900" t="s">
        <v>3853</v>
      </c>
      <c r="D42" s="385">
        <v>100</v>
      </c>
      <c r="E42" s="1900" t="s">
        <v>3853</v>
      </c>
      <c r="F42" s="411">
        <f>SUMIF(122:122,E42,123:123)-SUMIF(122:122,C42,123:123)+100</f>
        <v>100</v>
      </c>
      <c r="G42" s="1900" t="s">
        <v>3853</v>
      </c>
      <c r="H42" s="385">
        <f>SUMIF(122:122,G42,123:123)-SUMIF(122:122,C42,123:123)+100</f>
        <v>100</v>
      </c>
      <c r="I42" s="1900" t="s">
        <v>3853</v>
      </c>
      <c r="J42" s="385">
        <f>SUMIF(122:122,I42,123:123)-SUMIF(122:122,C42,123:123)+100</f>
        <v>100</v>
      </c>
      <c r="K42" s="376"/>
      <c r="L42" s="2712"/>
      <c r="M42" s="2706"/>
      <c r="N42" s="2706"/>
      <c r="O42" s="2706"/>
      <c r="P42" s="3970"/>
      <c r="Q42" s="1347" t="str">
        <f t="shared" si="11"/>
        <v>内部装修</v>
      </c>
      <c r="R42" s="704" t="s">
        <v>18</v>
      </c>
      <c r="S42" s="705">
        <f t="shared" si="12"/>
        <v>100</v>
      </c>
      <c r="T42" s="704" t="s">
        <v>18</v>
      </c>
      <c r="U42" s="705">
        <f t="shared" si="13"/>
        <v>100</v>
      </c>
      <c r="V42" s="704" t="s">
        <v>18</v>
      </c>
      <c r="W42" s="705">
        <f t="shared" si="14"/>
        <v>100</v>
      </c>
      <c r="X42" s="1350"/>
      <c r="Y42" s="3929"/>
      <c r="Z42" s="1351" t="str">
        <f t="shared" si="18"/>
        <v>内部装修</v>
      </c>
      <c r="AA42" s="1348">
        <f t="shared" si="15"/>
        <v>1</v>
      </c>
      <c r="AB42" s="1348">
        <f t="shared" si="16"/>
        <v>1</v>
      </c>
      <c r="AC42" s="1348">
        <f t="shared" si="17"/>
        <v>1</v>
      </c>
    </row>
    <row r="43" spans="1:29" ht="15">
      <c r="A43" s="422"/>
      <c r="B43" s="374" t="s">
        <v>1707</v>
      </c>
      <c r="C43" s="1900" t="s">
        <v>3391</v>
      </c>
      <c r="D43" s="385">
        <v>100</v>
      </c>
      <c r="E43" s="1900" t="s">
        <v>3391</v>
      </c>
      <c r="F43" s="411">
        <f>SUMIF(124:124,E43,125:125)-SUMIF(124:124,C43,125:125)+100</f>
        <v>100</v>
      </c>
      <c r="G43" s="1900" t="s">
        <v>3391</v>
      </c>
      <c r="H43" s="385">
        <f>SUMIF(124:124,G43,125:125)-SUMIF(124:124,C43,125:125)+100</f>
        <v>100</v>
      </c>
      <c r="I43" s="1900" t="s">
        <v>3391</v>
      </c>
      <c r="J43" s="385">
        <f>SUMIF(124:124,I43,125:125)-SUMIF(124:124,C43,125:125)+100</f>
        <v>100</v>
      </c>
      <c r="K43" s="376"/>
      <c r="L43" s="2712"/>
      <c r="M43" s="2706"/>
      <c r="N43" s="2706"/>
      <c r="O43" s="2706"/>
      <c r="P43" s="3970"/>
      <c r="Q43" s="1347" t="str">
        <f t="shared" si="11"/>
        <v>内部装修维护情况</v>
      </c>
      <c r="R43" s="704" t="s">
        <v>18</v>
      </c>
      <c r="S43" s="705">
        <f t="shared" si="12"/>
        <v>100</v>
      </c>
      <c r="T43" s="704" t="s">
        <v>18</v>
      </c>
      <c r="U43" s="705">
        <f t="shared" si="13"/>
        <v>100</v>
      </c>
      <c r="V43" s="704" t="s">
        <v>18</v>
      </c>
      <c r="W43" s="705">
        <f t="shared" si="14"/>
        <v>100</v>
      </c>
      <c r="X43" s="1350"/>
      <c r="Y43" s="3929"/>
      <c r="Z43" s="1351" t="str">
        <f t="shared" si="18"/>
        <v>内部装修维护情况</v>
      </c>
      <c r="AA43" s="1348">
        <f t="shared" si="15"/>
        <v>1</v>
      </c>
      <c r="AB43" s="1348">
        <f t="shared" si="16"/>
        <v>1</v>
      </c>
      <c r="AC43" s="1348">
        <f t="shared" si="17"/>
        <v>1</v>
      </c>
    </row>
    <row r="44" spans="1:29" s="107"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07"/>
      <c r="M44" s="2708"/>
      <c r="N44" s="2708"/>
      <c r="O44" s="2708"/>
      <c r="P44" s="3970"/>
      <c r="Q44" s="1338">
        <f t="shared" si="11"/>
        <v>111</v>
      </c>
      <c r="R44" s="700" t="s">
        <v>18</v>
      </c>
      <c r="S44" s="701">
        <f t="shared" si="12"/>
        <v>100</v>
      </c>
      <c r="T44" s="700" t="s">
        <v>18</v>
      </c>
      <c r="U44" s="701">
        <f t="shared" si="13"/>
        <v>100</v>
      </c>
      <c r="V44" s="700" t="s">
        <v>18</v>
      </c>
      <c r="W44" s="701">
        <f t="shared" si="14"/>
        <v>100</v>
      </c>
      <c r="X44" s="702"/>
      <c r="Y44" s="3929"/>
      <c r="Z44" s="52">
        <f t="shared" si="18"/>
        <v>111</v>
      </c>
      <c r="AA44" s="703">
        <f t="shared" si="15"/>
        <v>1</v>
      </c>
      <c r="AB44" s="703">
        <f t="shared" si="16"/>
        <v>1</v>
      </c>
      <c r="AC44" s="703">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2"/>
      <c r="M45" s="2706"/>
      <c r="N45" s="2706"/>
      <c r="O45" s="2706"/>
      <c r="P45" s="3970"/>
      <c r="Q45" s="1347">
        <f t="shared" si="11"/>
        <v>111</v>
      </c>
      <c r="R45" s="704" t="s">
        <v>18</v>
      </c>
      <c r="S45" s="705">
        <f t="shared" si="12"/>
        <v>100</v>
      </c>
      <c r="T45" s="704" t="s">
        <v>18</v>
      </c>
      <c r="U45" s="705">
        <f t="shared" si="13"/>
        <v>100</v>
      </c>
      <c r="V45" s="704" t="s">
        <v>18</v>
      </c>
      <c r="W45" s="705">
        <f t="shared" si="14"/>
        <v>100</v>
      </c>
      <c r="X45" s="1350"/>
      <c r="Y45" s="3929"/>
      <c r="Z45" s="1351">
        <f t="shared" si="18"/>
        <v>111</v>
      </c>
      <c r="AA45" s="1348">
        <f t="shared" si="15"/>
        <v>1</v>
      </c>
      <c r="AB45" s="1348">
        <f t="shared" si="16"/>
        <v>1</v>
      </c>
      <c r="AC45" s="1348">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2"/>
      <c r="M46" s="2706"/>
      <c r="N46" s="2706"/>
      <c r="O46" s="2706"/>
      <c r="P46" s="3971"/>
      <c r="Q46" s="1347">
        <f t="shared" si="11"/>
        <v>111</v>
      </c>
      <c r="R46" s="704" t="s">
        <v>17</v>
      </c>
      <c r="S46" s="705">
        <f t="shared" si="12"/>
        <v>100</v>
      </c>
      <c r="T46" s="704" t="s">
        <v>17</v>
      </c>
      <c r="U46" s="705">
        <f t="shared" si="13"/>
        <v>100</v>
      </c>
      <c r="V46" s="704" t="s">
        <v>17</v>
      </c>
      <c r="W46" s="705">
        <f t="shared" si="14"/>
        <v>100</v>
      </c>
      <c r="X46" s="1350"/>
      <c r="Y46" s="3972"/>
      <c r="Z46" s="1351">
        <f t="shared" si="18"/>
        <v>111</v>
      </c>
      <c r="AA46" s="1348">
        <f t="shared" si="15"/>
        <v>1</v>
      </c>
      <c r="AB46" s="1348">
        <f t="shared" si="16"/>
        <v>1</v>
      </c>
      <c r="AC46" s="1348">
        <f t="shared" si="17"/>
        <v>1</v>
      </c>
    </row>
    <row r="47" spans="1:29" ht="15">
      <c r="A47" s="429" t="s">
        <v>1708</v>
      </c>
      <c r="B47" s="430"/>
      <c r="C47" s="1150" t="s">
        <v>16</v>
      </c>
      <c r="D47" s="1151"/>
      <c r="E47" s="1152">
        <v>14652</v>
      </c>
      <c r="F47" s="1153"/>
      <c r="G47" s="1154">
        <v>14254</v>
      </c>
      <c r="H47" s="1155"/>
      <c r="I47" s="1152">
        <v>14448</v>
      </c>
      <c r="J47" s="1155"/>
      <c r="K47" s="1906"/>
      <c r="L47" s="2714"/>
      <c r="M47" s="2715"/>
      <c r="N47" s="2706"/>
      <c r="O47" s="2715"/>
      <c r="P47" s="3911" t="str">
        <f>A47</f>
        <v>成交单价（元/平方米）</v>
      </c>
      <c r="Q47" s="3911"/>
      <c r="R47" s="3968">
        <f>E47</f>
        <v>14652</v>
      </c>
      <c r="S47" s="3968"/>
      <c r="T47" s="3968">
        <f>G47</f>
        <v>14254</v>
      </c>
      <c r="U47" s="3968"/>
      <c r="V47" s="3968">
        <f>I47</f>
        <v>14448</v>
      </c>
      <c r="W47" s="3968"/>
      <c r="X47" s="689"/>
      <c r="Y47" s="711"/>
      <c r="Z47" s="689"/>
      <c r="AA47" s="689"/>
      <c r="AB47" s="689"/>
      <c r="AC47" s="689"/>
    </row>
    <row r="48" spans="1:29" ht="15.75" thickBot="1">
      <c r="A48" s="436" t="s">
        <v>1709</v>
      </c>
      <c r="B48" s="437"/>
      <c r="C48" s="1156">
        <f>R49</f>
        <v>14550</v>
      </c>
      <c r="D48" s="2309" t="s">
        <v>2137</v>
      </c>
      <c r="E48" s="1157">
        <f>R48</f>
        <v>14800</v>
      </c>
      <c r="F48" s="2310"/>
      <c r="G48" s="1156">
        <f>T48</f>
        <v>14545</v>
      </c>
      <c r="H48" s="2310"/>
      <c r="I48" s="1157">
        <f>V48</f>
        <v>14305</v>
      </c>
      <c r="J48" s="2310"/>
      <c r="K48" s="2311">
        <f>F48+H48+J48</f>
        <v>0</v>
      </c>
      <c r="L48" s="2714"/>
      <c r="M48" s="2715"/>
      <c r="N48" s="2715"/>
      <c r="O48" s="2715"/>
      <c r="P48" s="3911" t="str">
        <f>A48</f>
        <v>比较价值（元/平方米）</v>
      </c>
      <c r="Q48" s="3911"/>
      <c r="R48" s="3968">
        <f>IF(F1="售价",ROUND(PRODUCT(R47,AA7:AA46),0),ROUND(PRODUCT(R47,AA7:AA46),1))</f>
        <v>14800</v>
      </c>
      <c r="S48" s="3968"/>
      <c r="T48" s="3968">
        <f>IF(F1="售价",ROUND(PRODUCT(T47,AB7:AB46),0),ROUND(PRODUCT(T47,AB7:AB46),1))</f>
        <v>14545</v>
      </c>
      <c r="U48" s="3968"/>
      <c r="V48" s="3968">
        <f>IF(F1="售价",ROUND(PRODUCT(V47,AC7:AC46),0),ROUND(PRODUCT(V47,AC7:AC46),1))</f>
        <v>14305</v>
      </c>
      <c r="W48" s="3968"/>
      <c r="X48" s="689"/>
      <c r="Y48" s="689"/>
      <c r="Z48" s="689"/>
      <c r="AA48" s="689"/>
      <c r="AB48" s="689"/>
      <c r="AC48" s="689"/>
    </row>
    <row r="49" spans="1:29" ht="15.75" thickBot="1">
      <c r="A49" s="440" t="s">
        <v>1710</v>
      </c>
      <c r="B49" s="441"/>
      <c r="C49" s="1158">
        <f>R49</f>
        <v>14550</v>
      </c>
      <c r="D49" s="1159"/>
      <c r="E49" s="1159"/>
      <c r="F49" s="1159"/>
      <c r="G49" s="1159"/>
      <c r="H49" s="1159"/>
      <c r="I49" s="1159"/>
      <c r="J49" s="1159"/>
      <c r="K49" s="1907"/>
      <c r="L49" s="2714"/>
      <c r="M49" s="2715"/>
      <c r="N49" s="2715"/>
      <c r="O49" s="2715"/>
      <c r="P49" s="3931" t="str">
        <f>A49</f>
        <v>估价对象XX用房的比较价值（楼面单价，元/平方米）</v>
      </c>
      <c r="Q49" s="3932"/>
      <c r="R49" s="3967">
        <f>IF(F1="售价",ROUND(IF(D48="简单平均",AVERAGE(R48:V48),R48*F48+T48*H48+V48*J48),0),ROUND(IF(D48="简单平均",AVERAGE(R48:V48),R48*F48+T48*H48+V48*J48),1))</f>
        <v>14550</v>
      </c>
      <c r="S49" s="3967"/>
      <c r="T49" s="3967"/>
      <c r="U49" s="3967"/>
      <c r="V49" s="3967"/>
      <c r="W49" s="3967"/>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1711</v>
      </c>
      <c r="D52" s="446"/>
      <c r="E52" s="447">
        <f>IF(E47&lt;E48,E48/E47-1,E47/E48-1)</f>
        <v>1.0101010101010166E-2</v>
      </c>
      <c r="F52" s="448" t="str">
        <f>IF(OR(E52&gt;=0.3,E52&lt;=-0.3),"超过30%","")</f>
        <v/>
      </c>
      <c r="G52" s="447">
        <f>IF(G47&lt;G48,G48/G47-1,G47/G48-1)</f>
        <v>2.0415322014873061E-2</v>
      </c>
      <c r="H52" s="448" t="str">
        <f>IF(OR(G52&gt;=0.3,G52&lt;=-0.3),"超过30%","")</f>
        <v/>
      </c>
      <c r="I52" s="447">
        <f>IF(I47&lt;I48,I48/I47-1,I47/I48-1)</f>
        <v>9.996504718629895E-3</v>
      </c>
      <c r="J52" s="448" t="str">
        <f>IF(OR(I52&gt;=0.3,I52&lt;=-0.3),"超过30%","")</f>
        <v/>
      </c>
      <c r="K52" s="2720"/>
      <c r="L52" s="2716"/>
      <c r="M52" s="2715"/>
      <c r="N52" s="2715"/>
      <c r="O52" s="2715"/>
    </row>
    <row r="53" spans="1:29" ht="13.5" customHeight="1">
      <c r="A53" s="2715"/>
      <c r="B53" s="2715"/>
      <c r="C53" s="445" t="s">
        <v>1712</v>
      </c>
      <c r="D53" s="449"/>
      <c r="E53" s="447">
        <f>IF(E48&lt;G48,G48/E48-1,E48/G48-1)</f>
        <v>1.7531797868683308E-2</v>
      </c>
      <c r="F53" s="448" t="str">
        <f>IF(OR(E53&gt;=0.2,E53&lt;=-0.2),"超过20%","")</f>
        <v/>
      </c>
      <c r="G53" s="447">
        <f>IF(G48&lt;I48,I48/G48-1,G48/I48-1)</f>
        <v>1.6777350576721473E-2</v>
      </c>
      <c r="H53" s="448" t="str">
        <f>IF(OR(G53&gt;=0.2,G53&lt;=-0.2),"超过20%","")</f>
        <v/>
      </c>
      <c r="I53" s="447">
        <f>IF(I48&lt;E48,E48/I48-1,I48/E48-1)</f>
        <v>3.4603285564487996E-2</v>
      </c>
      <c r="J53" s="448" t="str">
        <f>IF(OR(I53&gt;=0.2,I53&lt;=-0.2),"超过20%","")</f>
        <v/>
      </c>
      <c r="K53" s="2720"/>
      <c r="L53" s="2716"/>
      <c r="M53" s="2715"/>
      <c r="N53" s="2715"/>
      <c r="O53" s="2715"/>
    </row>
    <row r="54" spans="1:29" s="450" customFormat="1" ht="13.5" customHeight="1">
      <c r="A54" s="2718"/>
      <c r="B54" s="2718"/>
      <c r="C54" s="445" t="s">
        <v>1713</v>
      </c>
      <c r="D54" s="449"/>
      <c r="E54" s="447">
        <f>IF(E47&lt;G47,G47/E47-1,E47/G47-1)</f>
        <v>2.792198681071989E-2</v>
      </c>
      <c r="F54" s="448" t="str">
        <f>IF(OR(E54&gt;=0.3,E54&lt;=-0.3),"超过30%","")</f>
        <v/>
      </c>
      <c r="G54" s="447">
        <f>IF(G47&lt;I47,I47/G47-1,G47/I47-1)</f>
        <v>1.3610214676581966E-2</v>
      </c>
      <c r="H54" s="448" t="str">
        <f>IF(OR(G54&gt;=0.3,G54&lt;=-0.3),"超过30%","")</f>
        <v/>
      </c>
      <c r="I54" s="447">
        <f>IF(I47&lt;E47,E47/I47-1,I47/E47-1)</f>
        <v>1.4119601328903553E-2</v>
      </c>
      <c r="J54" s="448" t="str">
        <f>IF(OR(I54&gt;=0.3,I54&lt;=-0.3),"超过30%","")</f>
        <v/>
      </c>
      <c r="K54" s="2723"/>
      <c r="L54" s="2717"/>
      <c r="M54" s="2718"/>
      <c r="N54" s="2718"/>
      <c r="O54" s="2718"/>
      <c r="P54" s="1909"/>
    </row>
    <row r="55" spans="1:29" s="450" customFormat="1">
      <c r="A55" s="2718"/>
      <c r="B55" s="2721"/>
      <c r="C55" s="2722"/>
      <c r="D55" s="2718"/>
      <c r="E55" s="2718"/>
      <c r="F55" s="2718"/>
      <c r="G55" s="2718"/>
      <c r="H55" s="2718"/>
      <c r="I55" s="2718"/>
      <c r="J55" s="2718"/>
      <c r="K55" s="2723"/>
      <c r="L55" s="2717"/>
      <c r="M55" s="2718"/>
      <c r="N55" s="2718"/>
      <c r="O55" s="2718"/>
      <c r="P55" s="1909"/>
    </row>
    <row r="56" spans="1:29">
      <c r="A56" s="2715"/>
      <c r="B56" s="2721"/>
      <c r="C56" s="2722"/>
      <c r="D56" s="2715"/>
      <c r="E56" s="2715"/>
      <c r="F56" s="2715"/>
      <c r="G56" s="2715"/>
      <c r="H56" s="2715"/>
      <c r="I56" s="2715"/>
      <c r="J56" s="2715"/>
      <c r="K56" s="2720"/>
      <c r="L56" s="2716"/>
      <c r="M56" s="2715"/>
      <c r="N56" s="2715"/>
      <c r="O56" s="2715"/>
    </row>
    <row r="57" spans="1:29" ht="21.75" thickBot="1">
      <c r="A57" s="693" t="s">
        <v>1714</v>
      </c>
      <c r="B57" s="689"/>
      <c r="C57" s="694"/>
      <c r="D57" s="694"/>
      <c r="E57" s="694"/>
      <c r="F57" s="695"/>
      <c r="G57" s="695"/>
      <c r="H57" s="694"/>
      <c r="I57" s="694"/>
      <c r="J57" s="694"/>
      <c r="K57" s="937"/>
      <c r="L57" s="938"/>
      <c r="M57" s="936"/>
      <c r="N57" s="936"/>
      <c r="O57" s="936"/>
      <c r="P57" s="1910"/>
      <c r="Q57" s="452"/>
    </row>
    <row r="58" spans="1:29" s="456" customFormat="1" ht="15">
      <c r="A58" s="453" t="s">
        <v>1715</v>
      </c>
      <c r="B58" s="454"/>
      <c r="C58" s="1181" t="str">
        <f>YEAR(C7)&amp;"-"&amp;MONTH(C7)</f>
        <v>2023-3</v>
      </c>
      <c r="D58" s="1180">
        <f>EDATE(C58,-1)</f>
        <v>44958</v>
      </c>
      <c r="E58" s="1180">
        <f>EDATE(D58,-1)</f>
        <v>44927</v>
      </c>
      <c r="F58" s="1180">
        <f t="shared" ref="F58:O58" si="19">EDATE(E58,-1)</f>
        <v>44896</v>
      </c>
      <c r="G58" s="1180">
        <f t="shared" si="19"/>
        <v>44866</v>
      </c>
      <c r="H58" s="1180">
        <f t="shared" si="19"/>
        <v>44835</v>
      </c>
      <c r="I58" s="1180">
        <f t="shared" si="19"/>
        <v>44805</v>
      </c>
      <c r="J58" s="1180">
        <f t="shared" si="19"/>
        <v>44774</v>
      </c>
      <c r="K58" s="1180">
        <f t="shared" si="19"/>
        <v>44743</v>
      </c>
      <c r="L58" s="1180">
        <f t="shared" si="19"/>
        <v>44713</v>
      </c>
      <c r="M58" s="1180">
        <f t="shared" si="19"/>
        <v>44682</v>
      </c>
      <c r="N58" s="1180">
        <f t="shared" si="19"/>
        <v>44652</v>
      </c>
      <c r="O58" s="1180">
        <f t="shared" si="19"/>
        <v>44621</v>
      </c>
      <c r="P58" s="1176"/>
    </row>
    <row r="59" spans="1:29" s="107" customFormat="1" ht="15">
      <c r="A59" s="457"/>
      <c r="B59" s="1911"/>
      <c r="C59" s="1178">
        <v>100</v>
      </c>
      <c r="D59" s="459"/>
      <c r="E59" s="460"/>
      <c r="F59" s="460"/>
      <c r="G59" s="460"/>
      <c r="H59" s="460"/>
      <c r="I59" s="460"/>
      <c r="J59" s="460"/>
      <c r="K59" s="460"/>
      <c r="L59" s="460"/>
      <c r="M59" s="461"/>
      <c r="N59" s="460"/>
      <c r="O59" s="461"/>
      <c r="P59" s="1912"/>
    </row>
    <row r="60" spans="1:29" s="107" customFormat="1" ht="15.75" thickBot="1">
      <c r="A60" s="463" t="s">
        <v>1716</v>
      </c>
      <c r="B60" s="464"/>
      <c r="C60" s="465"/>
      <c r="D60" s="466"/>
      <c r="E60" s="466"/>
      <c r="F60" s="466"/>
      <c r="G60" s="466"/>
      <c r="H60" s="466"/>
      <c r="I60" s="466"/>
      <c r="J60" s="466"/>
      <c r="K60" s="466"/>
      <c r="L60" s="466"/>
      <c r="M60" s="467"/>
      <c r="N60" s="466"/>
      <c r="O60" s="467"/>
      <c r="P60" s="1912"/>
      <c r="Q60" s="452"/>
    </row>
    <row r="61" spans="1:29" s="107" customFormat="1" ht="15">
      <c r="A61" s="469" t="s">
        <v>1717</v>
      </c>
      <c r="B61" s="458"/>
      <c r="C61" s="470" t="s">
        <v>1718</v>
      </c>
      <c r="D61" s="471"/>
      <c r="E61" s="471"/>
      <c r="F61" s="471"/>
      <c r="G61" s="471"/>
      <c r="H61" s="471"/>
      <c r="I61" s="471"/>
      <c r="J61" s="471"/>
      <c r="K61" s="471"/>
      <c r="L61" s="472"/>
      <c r="M61" s="473"/>
      <c r="N61" s="928"/>
      <c r="O61" s="928"/>
      <c r="P61" s="1913"/>
      <c r="Q61" s="452"/>
    </row>
    <row r="62" spans="1:29" s="107" customFormat="1" ht="15.75" thickBot="1">
      <c r="A62" s="469"/>
      <c r="B62" s="458"/>
      <c r="C62" s="459">
        <v>100</v>
      </c>
      <c r="D62" s="460"/>
      <c r="E62" s="460"/>
      <c r="F62" s="460"/>
      <c r="G62" s="460"/>
      <c r="H62" s="460"/>
      <c r="I62" s="460"/>
      <c r="J62" s="460"/>
      <c r="K62" s="460"/>
      <c r="L62" s="460"/>
      <c r="M62" s="462"/>
      <c r="N62" s="928"/>
      <c r="O62" s="928"/>
      <c r="P62" s="1912"/>
      <c r="Q62" s="452"/>
    </row>
    <row r="63" spans="1:29">
      <c r="A63" s="475" t="s">
        <v>1719</v>
      </c>
      <c r="B63" s="476" t="s">
        <v>1685</v>
      </c>
      <c r="C63" s="477" t="str">
        <f>C9</f>
        <v>住宅</v>
      </c>
      <c r="D63" s="478"/>
      <c r="E63" s="478"/>
      <c r="F63" s="478"/>
      <c r="G63" s="478"/>
      <c r="H63" s="478"/>
      <c r="I63" s="478"/>
      <c r="J63" s="478"/>
      <c r="K63" s="479"/>
      <c r="L63" s="480"/>
      <c r="M63" s="481"/>
      <c r="N63" s="929"/>
      <c r="O63" s="929"/>
      <c r="P63" s="1914"/>
      <c r="Q63" s="452"/>
    </row>
    <row r="64" spans="1:29" ht="15.75" thickBot="1">
      <c r="A64" s="482"/>
      <c r="B64" s="483"/>
      <c r="C64" s="484">
        <v>100</v>
      </c>
      <c r="D64" s="484"/>
      <c r="E64" s="484"/>
      <c r="F64" s="484"/>
      <c r="G64" s="484"/>
      <c r="H64" s="484"/>
      <c r="I64" s="484"/>
      <c r="J64" s="484"/>
      <c r="K64" s="484"/>
      <c r="L64" s="484"/>
      <c r="M64" s="485"/>
      <c r="N64" s="930"/>
      <c r="O64" s="930"/>
      <c r="P64" s="1914"/>
      <c r="Q64" s="452"/>
    </row>
    <row r="65" spans="1:17" ht="27.75" thickTop="1">
      <c r="A65" s="482"/>
      <c r="B65" s="486" t="s">
        <v>1688</v>
      </c>
      <c r="C65" s="531" t="s">
        <v>3826</v>
      </c>
      <c r="D65" s="531" t="s">
        <v>3827</v>
      </c>
      <c r="E65" s="531" t="s">
        <v>3828</v>
      </c>
      <c r="F65" s="531" t="s">
        <v>3829</v>
      </c>
      <c r="G65" s="531" t="s">
        <v>3830</v>
      </c>
      <c r="H65" s="531" t="s">
        <v>3831</v>
      </c>
      <c r="I65" s="531" t="s">
        <v>3832</v>
      </c>
      <c r="J65" s="531"/>
      <c r="K65" s="531"/>
      <c r="L65" s="531"/>
      <c r="M65" s="531"/>
      <c r="N65" s="930"/>
      <c r="O65" s="930"/>
      <c r="P65" s="1914"/>
      <c r="Q65" s="452"/>
    </row>
    <row r="66" spans="1:17" ht="15.75" thickBot="1">
      <c r="A66" s="482"/>
      <c r="B66" s="491"/>
      <c r="C66" s="484">
        <v>100</v>
      </c>
      <c r="D66" s="484">
        <v>100</v>
      </c>
      <c r="E66" s="484">
        <v>100</v>
      </c>
      <c r="F66" s="484">
        <v>100</v>
      </c>
      <c r="G66" s="484">
        <v>100</v>
      </c>
      <c r="H66" s="484">
        <v>100</v>
      </c>
      <c r="I66" s="484">
        <v>100</v>
      </c>
      <c r="J66" s="484"/>
      <c r="K66" s="484"/>
      <c r="L66" s="484"/>
      <c r="M66" s="485"/>
      <c r="N66" s="930"/>
      <c r="O66" s="930"/>
      <c r="P66" s="1914"/>
      <c r="Q66" s="452"/>
    </row>
    <row r="67" spans="1:17" ht="15.75" thickTop="1">
      <c r="A67" s="482"/>
      <c r="B67" s="494" t="s">
        <v>1689</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4"/>
      <c r="Q67" s="452"/>
    </row>
    <row r="68" spans="1:17" ht="15">
      <c r="A68" s="482"/>
      <c r="B68" s="496"/>
      <c r="C68" s="497">
        <v>0</v>
      </c>
      <c r="D68" s="497">
        <v>1</v>
      </c>
      <c r="E68" s="497">
        <v>2</v>
      </c>
      <c r="F68" s="497">
        <v>3</v>
      </c>
      <c r="G68" s="497">
        <v>4</v>
      </c>
      <c r="H68" s="497"/>
      <c r="I68" s="497"/>
      <c r="J68" s="497"/>
      <c r="K68" s="498"/>
      <c r="L68" s="499"/>
      <c r="M68" s="500"/>
      <c r="N68" s="929"/>
      <c r="O68" s="929"/>
      <c r="P68" s="1914"/>
      <c r="Q68" s="452"/>
    </row>
    <row r="69" spans="1:17" ht="15.75" thickBot="1">
      <c r="A69" s="482"/>
      <c r="B69" s="483"/>
      <c r="C69" s="492">
        <v>100</v>
      </c>
      <c r="D69" s="492">
        <f t="shared" ref="D69:M69" si="21">C69-$K11</f>
        <v>99</v>
      </c>
      <c r="E69" s="492">
        <f t="shared" si="21"/>
        <v>98</v>
      </c>
      <c r="F69" s="492">
        <f t="shared" si="21"/>
        <v>97</v>
      </c>
      <c r="G69" s="492">
        <f t="shared" si="21"/>
        <v>96</v>
      </c>
      <c r="H69" s="492">
        <f t="shared" si="21"/>
        <v>95</v>
      </c>
      <c r="I69" s="492">
        <f t="shared" si="21"/>
        <v>94</v>
      </c>
      <c r="J69" s="492">
        <f t="shared" si="21"/>
        <v>93</v>
      </c>
      <c r="K69" s="492">
        <f t="shared" si="21"/>
        <v>92</v>
      </c>
      <c r="L69" s="492">
        <f t="shared" si="21"/>
        <v>91</v>
      </c>
      <c r="M69" s="493">
        <f t="shared" si="21"/>
        <v>90</v>
      </c>
      <c r="N69" s="930"/>
      <c r="O69" s="930"/>
      <c r="P69" s="1914"/>
      <c r="Q69" s="452"/>
    </row>
    <row r="70" spans="1:17" s="421" customFormat="1" ht="15.75" thickTop="1">
      <c r="A70" s="501"/>
      <c r="B70" s="486">
        <f>B12</f>
        <v>111</v>
      </c>
      <c r="C70" s="502"/>
      <c r="D70" s="502"/>
      <c r="E70" s="502"/>
      <c r="F70" s="502"/>
      <c r="G70" s="502"/>
      <c r="H70" s="503"/>
      <c r="I70" s="503"/>
      <c r="J70" s="503"/>
      <c r="K70" s="503"/>
      <c r="L70" s="504"/>
      <c r="M70" s="505"/>
      <c r="N70" s="931"/>
      <c r="O70" s="931"/>
      <c r="P70" s="1915"/>
      <c r="Q70" s="507"/>
    </row>
    <row r="71" spans="1:17" s="421" customFormat="1" ht="15.75" thickBot="1">
      <c r="A71" s="501"/>
      <c r="B71" s="491"/>
      <c r="C71" s="508"/>
      <c r="D71" s="484"/>
      <c r="E71" s="484"/>
      <c r="F71" s="484"/>
      <c r="G71" s="484"/>
      <c r="H71" s="484"/>
      <c r="I71" s="484"/>
      <c r="J71" s="484"/>
      <c r="K71" s="484"/>
      <c r="L71" s="484"/>
      <c r="M71" s="485"/>
      <c r="N71" s="930"/>
      <c r="O71" s="930"/>
      <c r="P71" s="1915"/>
      <c r="Q71" s="507"/>
    </row>
    <row r="72" spans="1:17" s="421" customFormat="1" ht="15.75" thickTop="1">
      <c r="A72" s="501"/>
      <c r="B72" s="486">
        <f>B13</f>
        <v>111</v>
      </c>
      <c r="C72" s="502"/>
      <c r="D72" s="502"/>
      <c r="E72" s="502"/>
      <c r="F72" s="502"/>
      <c r="G72" s="502"/>
      <c r="H72" s="503"/>
      <c r="I72" s="503"/>
      <c r="J72" s="503"/>
      <c r="K72" s="503"/>
      <c r="L72" s="504"/>
      <c r="M72" s="505"/>
      <c r="N72" s="931"/>
      <c r="O72" s="931"/>
      <c r="P72" s="1916"/>
      <c r="Q72" s="509"/>
    </row>
    <row r="73" spans="1:17" s="421" customFormat="1" ht="15.75" thickBot="1">
      <c r="A73" s="501"/>
      <c r="B73" s="491"/>
      <c r="C73" s="508"/>
      <c r="D73" s="508"/>
      <c r="E73" s="508"/>
      <c r="F73" s="508"/>
      <c r="G73" s="508"/>
      <c r="H73" s="510"/>
      <c r="I73" s="510"/>
      <c r="J73" s="510"/>
      <c r="K73" s="510"/>
      <c r="L73" s="510"/>
      <c r="M73" s="511"/>
      <c r="N73" s="931"/>
      <c r="O73" s="931"/>
      <c r="P73" s="1915"/>
      <c r="Q73" s="507"/>
    </row>
    <row r="74" spans="1:17" s="421" customFormat="1" ht="15.75" thickTop="1">
      <c r="A74" s="501"/>
      <c r="B74" s="494">
        <f>B14</f>
        <v>111</v>
      </c>
      <c r="C74" s="502"/>
      <c r="D74" s="502"/>
      <c r="E74" s="502"/>
      <c r="F74" s="502"/>
      <c r="G74" s="471"/>
      <c r="H74" s="512"/>
      <c r="I74" s="512"/>
      <c r="J74" s="512"/>
      <c r="K74" s="512"/>
      <c r="L74" s="513"/>
      <c r="M74" s="514"/>
      <c r="N74" s="931"/>
      <c r="O74" s="931"/>
      <c r="P74" s="1917"/>
      <c r="Q74" s="507"/>
    </row>
    <row r="75" spans="1:17" s="421" customFormat="1" ht="15.75" thickBot="1">
      <c r="A75" s="516"/>
      <c r="B75" s="517"/>
      <c r="C75" s="518"/>
      <c r="D75" s="518"/>
      <c r="E75" s="518"/>
      <c r="F75" s="518"/>
      <c r="G75" s="518"/>
      <c r="H75" s="519"/>
      <c r="I75" s="519"/>
      <c r="J75" s="519"/>
      <c r="K75" s="519"/>
      <c r="L75" s="519"/>
      <c r="M75" s="520"/>
      <c r="N75" s="931"/>
      <c r="O75" s="931"/>
      <c r="P75" s="1915"/>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18"/>
      <c r="Q76" s="452"/>
    </row>
    <row r="77" spans="1:17" ht="15.75" thickBot="1">
      <c r="A77" s="482"/>
      <c r="B77" s="491"/>
      <c r="C77" s="492">
        <v>100</v>
      </c>
      <c r="D77" s="492">
        <f>C77-$K15</f>
        <v>97</v>
      </c>
      <c r="E77" s="492">
        <f>D77-$K15</f>
        <v>94</v>
      </c>
      <c r="F77" s="492">
        <f>E77-$K15</f>
        <v>91</v>
      </c>
      <c r="G77" s="492">
        <f>F77-$K15</f>
        <v>88</v>
      </c>
      <c r="H77" s="492"/>
      <c r="I77" s="492"/>
      <c r="J77" s="492"/>
      <c r="K77" s="492"/>
      <c r="L77" s="492"/>
      <c r="M77" s="493"/>
      <c r="N77" s="930"/>
      <c r="O77" s="930"/>
      <c r="P77" s="1914"/>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4"/>
      <c r="Q78" s="452"/>
    </row>
    <row r="79" spans="1:17" ht="15.75" thickBot="1">
      <c r="A79" s="482"/>
      <c r="B79" s="491"/>
      <c r="C79" s="492">
        <v>100</v>
      </c>
      <c r="D79" s="492">
        <f>C79-$K17</f>
        <v>97</v>
      </c>
      <c r="E79" s="492">
        <f>D79-$K17</f>
        <v>94</v>
      </c>
      <c r="F79" s="492">
        <f>E79-$K17</f>
        <v>91</v>
      </c>
      <c r="G79" s="492">
        <f>F79-$K17</f>
        <v>88</v>
      </c>
      <c r="H79" s="492"/>
      <c r="I79" s="492"/>
      <c r="J79" s="492"/>
      <c r="K79" s="492"/>
      <c r="L79" s="492"/>
      <c r="M79" s="493"/>
      <c r="N79" s="930"/>
      <c r="O79" s="930"/>
      <c r="P79" s="1914"/>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4"/>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0"/>
      <c r="O81" s="930"/>
      <c r="P81" s="1914"/>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4"/>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0"/>
      <c r="N83" s="930"/>
      <c r="O83" s="930"/>
      <c r="P83" s="1914"/>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4"/>
      <c r="Q84" s="452"/>
    </row>
    <row r="85" spans="1:17" ht="15.75" thickBot="1">
      <c r="A85" s="482"/>
      <c r="B85" s="491"/>
      <c r="C85" s="492">
        <v>100</v>
      </c>
      <c r="D85" s="492">
        <f>C85-$K23</f>
        <v>97</v>
      </c>
      <c r="E85" s="492">
        <f>D85-$K23</f>
        <v>94</v>
      </c>
      <c r="F85" s="492">
        <f>E85-$K23</f>
        <v>91</v>
      </c>
      <c r="G85" s="492">
        <f>F85-$K23</f>
        <v>88</v>
      </c>
      <c r="H85" s="492"/>
      <c r="I85" s="492"/>
      <c r="J85" s="492"/>
      <c r="K85" s="492"/>
      <c r="L85" s="492"/>
      <c r="M85" s="493"/>
      <c r="N85" s="930"/>
      <c r="O85" s="930"/>
      <c r="P85" s="1914"/>
      <c r="Q85" s="452"/>
    </row>
    <row r="86" spans="1:17" s="107" customFormat="1" ht="15.75" thickTop="1">
      <c r="A86" s="527"/>
      <c r="B86" s="486" t="s">
        <v>1734</v>
      </c>
      <c r="C86" s="502"/>
      <c r="D86" s="502"/>
      <c r="E86" s="502"/>
      <c r="F86" s="502"/>
      <c r="G86" s="502"/>
      <c r="H86" s="502"/>
      <c r="I86" s="502"/>
      <c r="J86" s="502"/>
      <c r="K86" s="502"/>
      <c r="L86" s="528"/>
      <c r="M86" s="529"/>
      <c r="N86" s="928"/>
      <c r="O86" s="928"/>
      <c r="P86" s="1914"/>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4"/>
      <c r="Q87" s="452"/>
    </row>
    <row r="88" spans="1:17" s="107" customFormat="1" ht="15.75" thickTop="1">
      <c r="A88" s="527"/>
      <c r="B88" s="486" t="s">
        <v>1735</v>
      </c>
      <c r="C88" s="502"/>
      <c r="D88" s="502"/>
      <c r="E88" s="502"/>
      <c r="F88" s="1919"/>
      <c r="G88" s="502"/>
      <c r="H88" s="502"/>
      <c r="I88" s="502"/>
      <c r="J88" s="502"/>
      <c r="K88" s="502"/>
      <c r="L88" s="502"/>
      <c r="M88" s="529"/>
      <c r="N88" s="928"/>
      <c r="O88" s="928"/>
      <c r="P88" s="1914"/>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4"/>
      <c r="Q89" s="452"/>
    </row>
    <row r="90" spans="1:17" s="421" customFormat="1" ht="15.75" thickTop="1">
      <c r="A90" s="501"/>
      <c r="B90" s="486">
        <f>B27</f>
        <v>111</v>
      </c>
      <c r="C90" s="502"/>
      <c r="D90" s="502"/>
      <c r="E90" s="502"/>
      <c r="F90" s="502"/>
      <c r="G90" s="502"/>
      <c r="H90" s="503"/>
      <c r="I90" s="503"/>
      <c r="J90" s="503"/>
      <c r="K90" s="503"/>
      <c r="L90" s="504"/>
      <c r="M90" s="505"/>
      <c r="N90" s="931"/>
      <c r="O90" s="931"/>
      <c r="P90" s="1915"/>
      <c r="Q90" s="507"/>
    </row>
    <row r="91" spans="1:17" s="421" customFormat="1" ht="15.75" thickBot="1">
      <c r="A91" s="501"/>
      <c r="B91" s="491"/>
      <c r="C91" s="508"/>
      <c r="D91" s="508"/>
      <c r="E91" s="508"/>
      <c r="F91" s="508"/>
      <c r="G91" s="508"/>
      <c r="H91" s="510"/>
      <c r="I91" s="510"/>
      <c r="J91" s="510"/>
      <c r="K91" s="510"/>
      <c r="L91" s="510"/>
      <c r="M91" s="511"/>
      <c r="N91" s="931"/>
      <c r="O91" s="931"/>
      <c r="P91" s="1915"/>
      <c r="Q91" s="507"/>
    </row>
    <row r="92" spans="1:17" ht="15.75" thickTop="1">
      <c r="A92" s="482"/>
      <c r="B92" s="486">
        <f>B28</f>
        <v>111</v>
      </c>
      <c r="C92" s="502"/>
      <c r="D92" s="502"/>
      <c r="E92" s="502"/>
      <c r="F92" s="502"/>
      <c r="G92" s="531"/>
      <c r="H92" s="531"/>
      <c r="I92" s="531"/>
      <c r="J92" s="531"/>
      <c r="K92" s="532"/>
      <c r="L92" s="533"/>
      <c r="M92" s="534"/>
      <c r="N92" s="929"/>
      <c r="O92" s="929"/>
      <c r="P92" s="1914"/>
      <c r="Q92" s="452"/>
    </row>
    <row r="93" spans="1:17" ht="15.75" thickBot="1">
      <c r="A93" s="482"/>
      <c r="B93" s="491"/>
      <c r="C93" s="508"/>
      <c r="D93" s="484"/>
      <c r="E93" s="484"/>
      <c r="F93" s="484"/>
      <c r="G93" s="484"/>
      <c r="H93" s="484"/>
      <c r="I93" s="484"/>
      <c r="J93" s="484"/>
      <c r="K93" s="484"/>
      <c r="L93" s="484"/>
      <c r="M93" s="485"/>
      <c r="N93" s="930"/>
      <c r="O93" s="930"/>
      <c r="P93" s="1914"/>
      <c r="Q93" s="452"/>
    </row>
    <row r="94" spans="1:17" ht="15.75" thickTop="1">
      <c r="A94" s="482"/>
      <c r="B94" s="486">
        <f>B29</f>
        <v>111</v>
      </c>
      <c r="C94" s="502"/>
      <c r="D94" s="502"/>
      <c r="E94" s="502"/>
      <c r="F94" s="502"/>
      <c r="G94" s="531"/>
      <c r="H94" s="531"/>
      <c r="I94" s="531"/>
      <c r="J94" s="531"/>
      <c r="K94" s="532"/>
      <c r="L94" s="533"/>
      <c r="M94" s="534"/>
      <c r="N94" s="929"/>
      <c r="O94" s="929"/>
      <c r="P94" s="1914"/>
      <c r="Q94" s="452"/>
    </row>
    <row r="95" spans="1:17" ht="15.75" thickBot="1">
      <c r="A95" s="482"/>
      <c r="B95" s="491"/>
      <c r="C95" s="508"/>
      <c r="D95" s="508"/>
      <c r="E95" s="508"/>
      <c r="F95" s="508"/>
      <c r="G95" s="484"/>
      <c r="H95" s="484"/>
      <c r="I95" s="484"/>
      <c r="J95" s="484"/>
      <c r="K95" s="484"/>
      <c r="L95" s="484"/>
      <c r="M95" s="485"/>
      <c r="N95" s="930"/>
      <c r="O95" s="930"/>
      <c r="P95" s="1914"/>
      <c r="Q95" s="452"/>
    </row>
    <row r="96" spans="1:17" ht="15.75" thickTop="1">
      <c r="A96" s="482"/>
      <c r="B96" s="486">
        <f>B30</f>
        <v>111</v>
      </c>
      <c r="C96" s="502"/>
      <c r="D96" s="502"/>
      <c r="E96" s="502"/>
      <c r="F96" s="502"/>
      <c r="G96" s="531"/>
      <c r="H96" s="531"/>
      <c r="I96" s="531"/>
      <c r="J96" s="531"/>
      <c r="K96" s="532"/>
      <c r="L96" s="533"/>
      <c r="M96" s="534"/>
      <c r="N96" s="929"/>
      <c r="O96" s="929"/>
      <c r="P96" s="1914"/>
      <c r="Q96" s="452"/>
    </row>
    <row r="97" spans="1:17" ht="15.75" thickBot="1">
      <c r="A97" s="482"/>
      <c r="B97" s="491"/>
      <c r="C97" s="518"/>
      <c r="D97" s="518"/>
      <c r="E97" s="518"/>
      <c r="F97" s="518"/>
      <c r="G97" s="484"/>
      <c r="H97" s="484"/>
      <c r="I97" s="484"/>
      <c r="J97" s="484"/>
      <c r="K97" s="484"/>
      <c r="L97" s="484"/>
      <c r="M97" s="485"/>
      <c r="N97" s="930"/>
      <c r="O97" s="930"/>
      <c r="P97" s="1914"/>
      <c r="Q97" s="452"/>
    </row>
    <row r="98" spans="1:17" ht="15.75" thickTop="1">
      <c r="A98" s="482"/>
      <c r="B98" s="494">
        <f>B31</f>
        <v>111</v>
      </c>
      <c r="C98" s="535"/>
      <c r="D98" s="535"/>
      <c r="E98" s="535"/>
      <c r="F98" s="535"/>
      <c r="G98" s="535"/>
      <c r="H98" s="535"/>
      <c r="I98" s="535"/>
      <c r="J98" s="535"/>
      <c r="K98" s="536"/>
      <c r="L98" s="537"/>
      <c r="M98" s="538"/>
      <c r="N98" s="929"/>
      <c r="O98" s="929"/>
      <c r="P98" s="1914"/>
      <c r="Q98" s="452"/>
    </row>
    <row r="99" spans="1:17" ht="15.75" thickBot="1">
      <c r="A99" s="1920"/>
      <c r="B99" s="517"/>
      <c r="C99" s="539"/>
      <c r="D99" s="539"/>
      <c r="E99" s="539"/>
      <c r="F99" s="539"/>
      <c r="G99" s="539"/>
      <c r="H99" s="539"/>
      <c r="I99" s="539"/>
      <c r="J99" s="539"/>
      <c r="K99" s="539"/>
      <c r="L99" s="539"/>
      <c r="M99" s="540"/>
      <c r="N99" s="930"/>
      <c r="O99" s="930"/>
      <c r="P99" s="1914"/>
      <c r="Q99" s="452"/>
    </row>
    <row r="100" spans="1:17">
      <c r="A100" s="475" t="s">
        <v>1694</v>
      </c>
      <c r="B100" s="476" t="s">
        <v>1736</v>
      </c>
      <c r="C100" s="3668" t="s">
        <v>3833</v>
      </c>
      <c r="D100" s="3668" t="s">
        <v>3834</v>
      </c>
      <c r="E100" s="3668" t="s">
        <v>3835</v>
      </c>
      <c r="F100" s="478"/>
      <c r="G100" s="478"/>
      <c r="H100" s="478"/>
      <c r="I100" s="478"/>
      <c r="J100" s="478"/>
      <c r="K100" s="479"/>
      <c r="L100" s="480"/>
      <c r="M100" s="481"/>
      <c r="N100" s="929"/>
      <c r="O100" s="929"/>
      <c r="P100" s="1914"/>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4"/>
      <c r="Q101" s="452"/>
    </row>
    <row r="102" spans="1:17" ht="29.25" thickTop="1">
      <c r="A102" s="482"/>
      <c r="B102" s="486" t="s">
        <v>1737</v>
      </c>
      <c r="C102" s="526" t="str">
        <f>C103&amp;"(含)"&amp;"-"&amp;D103</f>
        <v>0(含)-50000</v>
      </c>
      <c r="D102" s="526" t="str">
        <f t="shared" ref="D102:L102" si="26">D103&amp;"(含)"&amp;"-"&amp;E103</f>
        <v>50000(含)-100000</v>
      </c>
      <c r="E102" s="526" t="str">
        <f t="shared" si="26"/>
        <v>100000(含)-200000</v>
      </c>
      <c r="F102" s="526" t="str">
        <f t="shared" si="26"/>
        <v>200000(含)-300000</v>
      </c>
      <c r="G102" s="526" t="str">
        <f t="shared" si="26"/>
        <v>300000(含)-500000</v>
      </c>
      <c r="H102" s="526" t="str">
        <f t="shared" si="26"/>
        <v>500000(含)-</v>
      </c>
      <c r="I102" s="526" t="str">
        <f t="shared" si="26"/>
        <v>(含)-</v>
      </c>
      <c r="J102" s="526" t="str">
        <f t="shared" si="26"/>
        <v>(含)-</v>
      </c>
      <c r="K102" s="526" t="str">
        <f>K103&amp;"(含)"&amp;"-"&amp;L103</f>
        <v>(含)-</v>
      </c>
      <c r="L102" s="526" t="str">
        <f t="shared" si="26"/>
        <v>(含)-</v>
      </c>
      <c r="M102" s="526" t="str">
        <f>M103&amp;"(含)"&amp;"-"&amp;P103</f>
        <v>(含)-</v>
      </c>
      <c r="N102" s="928"/>
      <c r="O102" s="928"/>
      <c r="P102" s="1914"/>
      <c r="Q102" s="452"/>
    </row>
    <row r="103" spans="1:17" s="421" customFormat="1">
      <c r="A103" s="541"/>
      <c r="B103" s="542"/>
      <c r="C103" s="3669">
        <v>0</v>
      </c>
      <c r="D103" s="3669">
        <v>50000</v>
      </c>
      <c r="E103" s="3669">
        <v>100000</v>
      </c>
      <c r="F103" s="3669">
        <v>200000</v>
      </c>
      <c r="G103" s="543">
        <v>300000</v>
      </c>
      <c r="H103" s="543">
        <v>500000</v>
      </c>
      <c r="I103" s="543"/>
      <c r="J103" s="544"/>
      <c r="K103" s="544"/>
      <c r="L103" s="545"/>
      <c r="M103" s="546"/>
      <c r="N103" s="931"/>
      <c r="O103" s="931"/>
      <c r="P103" s="1915"/>
      <c r="Q103" s="507"/>
    </row>
    <row r="104" spans="1:17" s="421" customFormat="1" ht="15.75" thickBot="1">
      <c r="A104" s="501"/>
      <c r="B104" s="491"/>
      <c r="C104" s="3670">
        <v>100</v>
      </c>
      <c r="D104" s="3671">
        <f>C104+1</f>
        <v>101</v>
      </c>
      <c r="E104" s="3671">
        <f t="shared" ref="E104:H104" si="27">D104+1</f>
        <v>102</v>
      </c>
      <c r="F104" s="3671">
        <f t="shared" si="27"/>
        <v>103</v>
      </c>
      <c r="G104" s="3671">
        <f t="shared" si="27"/>
        <v>104</v>
      </c>
      <c r="H104" s="3671">
        <f t="shared" si="27"/>
        <v>105</v>
      </c>
      <c r="I104" s="484"/>
      <c r="J104" s="484"/>
      <c r="K104" s="484"/>
      <c r="L104" s="484"/>
      <c r="M104" s="484"/>
      <c r="N104" s="930"/>
      <c r="O104" s="930"/>
      <c r="P104" s="1915"/>
      <c r="Q104" s="507"/>
    </row>
    <row r="105" spans="1:17" ht="15" thickTop="1">
      <c r="A105" s="547"/>
      <c r="B105" s="486" t="s">
        <v>1738</v>
      </c>
      <c r="C105" s="3672" t="s">
        <v>3836</v>
      </c>
      <c r="D105" s="502"/>
      <c r="E105" s="531"/>
      <c r="F105" s="531"/>
      <c r="G105" s="531"/>
      <c r="H105" s="531"/>
      <c r="I105" s="531"/>
      <c r="J105" s="531"/>
      <c r="K105" s="532"/>
      <c r="L105" s="533"/>
      <c r="M105" s="534"/>
      <c r="N105" s="929"/>
      <c r="O105" s="929"/>
      <c r="P105" s="1914"/>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930"/>
      <c r="O106" s="930"/>
      <c r="P106" s="1914"/>
      <c r="Q106" s="452"/>
    </row>
    <row r="107" spans="1:17" ht="15" thickTop="1">
      <c r="A107" s="547"/>
      <c r="B107" s="486" t="s">
        <v>1739</v>
      </c>
      <c r="C107" s="531"/>
      <c r="D107" s="531"/>
      <c r="E107" s="531"/>
      <c r="F107" s="531"/>
      <c r="G107" s="531"/>
      <c r="H107" s="531"/>
      <c r="I107" s="531"/>
      <c r="J107" s="531"/>
      <c r="K107" s="532"/>
      <c r="L107" s="533"/>
      <c r="M107" s="534"/>
      <c r="N107" s="929"/>
      <c r="O107" s="929"/>
      <c r="P107" s="1914"/>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0"/>
      <c r="O108" s="930"/>
      <c r="P108" s="1914"/>
      <c r="Q108" s="452"/>
    </row>
    <row r="109" spans="1:17" ht="15" thickTop="1">
      <c r="A109" s="547"/>
      <c r="B109" s="486" t="s">
        <v>1740</v>
      </c>
      <c r="C109" s="3673" t="s">
        <v>3837</v>
      </c>
      <c r="D109" s="3673" t="s">
        <v>3838</v>
      </c>
      <c r="E109" s="3673" t="s">
        <v>3839</v>
      </c>
      <c r="F109" s="3674" t="s">
        <v>3840</v>
      </c>
      <c r="G109" s="531"/>
      <c r="H109" s="531"/>
      <c r="I109" s="531"/>
      <c r="J109" s="531"/>
      <c r="K109" s="532"/>
      <c r="L109" s="533"/>
      <c r="M109" s="534"/>
      <c r="N109" s="929"/>
      <c r="O109" s="929"/>
      <c r="P109" s="1914"/>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930"/>
      <c r="O110" s="930"/>
      <c r="P110" s="1914"/>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5"/>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5"/>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5"/>
      <c r="Q113" s="507"/>
    </row>
    <row r="114" spans="1:17" ht="15" thickTop="1">
      <c r="A114" s="547"/>
      <c r="B114" s="486" t="s">
        <v>1741</v>
      </c>
      <c r="C114" s="3673" t="s">
        <v>3841</v>
      </c>
      <c r="D114" s="3673" t="s">
        <v>3842</v>
      </c>
      <c r="E114" s="531"/>
      <c r="F114" s="531"/>
      <c r="G114" s="531"/>
      <c r="H114" s="531"/>
      <c r="I114" s="531"/>
      <c r="J114" s="531"/>
      <c r="K114" s="532"/>
      <c r="L114" s="533"/>
      <c r="M114" s="534"/>
      <c r="N114" s="929"/>
      <c r="O114" s="929"/>
      <c r="P114" s="1914"/>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930"/>
      <c r="O115" s="930"/>
      <c r="P115" s="1914"/>
      <c r="Q115" s="452"/>
    </row>
    <row r="116" spans="1:17" ht="15" thickTop="1">
      <c r="A116" s="547"/>
      <c r="B116" s="486" t="s">
        <v>1742</v>
      </c>
      <c r="C116" s="3673" t="s">
        <v>3843</v>
      </c>
      <c r="D116" s="3673" t="s">
        <v>3844</v>
      </c>
      <c r="E116" s="3673" t="s">
        <v>3845</v>
      </c>
      <c r="F116" s="3673" t="s">
        <v>3846</v>
      </c>
      <c r="G116" s="3673" t="s">
        <v>3847</v>
      </c>
      <c r="H116" s="531"/>
      <c r="I116" s="531"/>
      <c r="J116" s="531"/>
      <c r="K116" s="532"/>
      <c r="L116" s="533"/>
      <c r="M116" s="534"/>
      <c r="N116" s="929"/>
      <c r="O116" s="929"/>
      <c r="P116" s="1914"/>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4"/>
      <c r="Q117" s="452"/>
    </row>
    <row r="118" spans="1:17" ht="15" thickTop="1">
      <c r="A118" s="547"/>
      <c r="B118" s="486" t="s">
        <v>1743</v>
      </c>
      <c r="C118" s="531"/>
      <c r="D118" s="531"/>
      <c r="E118" s="531"/>
      <c r="F118" s="531"/>
      <c r="G118" s="531"/>
      <c r="H118" s="531"/>
      <c r="I118" s="531"/>
      <c r="J118" s="531"/>
      <c r="K118" s="532"/>
      <c r="L118" s="533"/>
      <c r="M118" s="534"/>
      <c r="N118" s="929"/>
      <c r="O118" s="929"/>
      <c r="P118" s="1914"/>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930"/>
      <c r="O119" s="930"/>
      <c r="P119" s="1914"/>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5"/>
      <c r="Q120" s="507"/>
    </row>
    <row r="121" spans="1:17" s="421" customFormat="1" ht="15.75" thickBot="1">
      <c r="A121" s="501"/>
      <c r="B121" s="483"/>
      <c r="C121" s="508"/>
      <c r="D121" s="484"/>
      <c r="E121" s="484"/>
      <c r="F121" s="484"/>
      <c r="G121" s="484"/>
      <c r="H121" s="484"/>
      <c r="I121" s="484"/>
      <c r="J121" s="484"/>
      <c r="K121" s="484"/>
      <c r="L121" s="484"/>
      <c r="M121" s="484"/>
      <c r="N121" s="931"/>
      <c r="O121" s="931"/>
      <c r="P121" s="1915"/>
      <c r="Q121" s="507"/>
    </row>
    <row r="122" spans="1:17" ht="15" thickTop="1">
      <c r="A122" s="547"/>
      <c r="B122" s="486" t="s">
        <v>1744</v>
      </c>
      <c r="C122" s="3673" t="s">
        <v>3837</v>
      </c>
      <c r="D122" s="3673" t="s">
        <v>3838</v>
      </c>
      <c r="E122" s="3673" t="s">
        <v>3839</v>
      </c>
      <c r="F122" s="3674" t="s">
        <v>3840</v>
      </c>
      <c r="G122" s="531"/>
      <c r="H122" s="531"/>
      <c r="I122" s="531"/>
      <c r="J122" s="531"/>
      <c r="K122" s="532"/>
      <c r="L122" s="533"/>
      <c r="M122" s="534"/>
      <c r="N122" s="929"/>
      <c r="O122" s="929"/>
      <c r="P122" s="1914"/>
      <c r="Q122" s="452"/>
    </row>
    <row r="123" spans="1:17" ht="15.75" thickBot="1">
      <c r="A123" s="482"/>
      <c r="B123" s="491"/>
      <c r="C123" s="492">
        <v>100</v>
      </c>
      <c r="D123" s="492">
        <f t="shared" ref="D123:M123" si="33">C123-$K42</f>
        <v>100</v>
      </c>
      <c r="E123" s="492">
        <f t="shared" si="33"/>
        <v>100</v>
      </c>
      <c r="F123" s="492">
        <f t="shared" si="33"/>
        <v>100</v>
      </c>
      <c r="G123" s="492">
        <f t="shared" si="33"/>
        <v>100</v>
      </c>
      <c r="H123" s="492">
        <f t="shared" si="33"/>
        <v>100</v>
      </c>
      <c r="I123" s="492">
        <f t="shared" si="33"/>
        <v>100</v>
      </c>
      <c r="J123" s="492">
        <f t="shared" si="33"/>
        <v>100</v>
      </c>
      <c r="K123" s="492">
        <f t="shared" si="33"/>
        <v>100</v>
      </c>
      <c r="L123" s="492">
        <f t="shared" si="33"/>
        <v>100</v>
      </c>
      <c r="M123" s="492">
        <f t="shared" si="33"/>
        <v>100</v>
      </c>
      <c r="N123" s="930"/>
      <c r="O123" s="930"/>
      <c r="P123" s="1914"/>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5"/>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4"/>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5"/>
      <c r="Q126" s="507"/>
    </row>
    <row r="127" spans="1:17" s="421" customFormat="1" ht="15.75" thickBot="1">
      <c r="A127" s="501"/>
      <c r="B127" s="491"/>
      <c r="C127" s="508"/>
      <c r="D127" s="484"/>
      <c r="E127" s="484"/>
      <c r="F127" s="484"/>
      <c r="G127" s="508"/>
      <c r="H127" s="510"/>
      <c r="I127" s="510"/>
      <c r="J127" s="510"/>
      <c r="K127" s="510"/>
      <c r="L127" s="510"/>
      <c r="M127" s="511"/>
      <c r="N127" s="931"/>
      <c r="O127" s="931"/>
      <c r="P127" s="1915"/>
      <c r="Q127" s="507"/>
    </row>
    <row r="128" spans="1:17" ht="15" thickTop="1">
      <c r="A128" s="547"/>
      <c r="B128" s="486">
        <f>B45</f>
        <v>111</v>
      </c>
      <c r="C128" s="502"/>
      <c r="D128" s="502"/>
      <c r="E128" s="502"/>
      <c r="F128" s="502"/>
      <c r="G128" s="531"/>
      <c r="H128" s="531"/>
      <c r="I128" s="531"/>
      <c r="J128" s="531"/>
      <c r="K128" s="532"/>
      <c r="L128" s="533"/>
      <c r="M128" s="534"/>
      <c r="N128" s="929"/>
      <c r="O128" s="929"/>
      <c r="P128" s="1914"/>
      <c r="Q128" s="452"/>
    </row>
    <row r="129" spans="1:17" ht="15.75" thickBot="1">
      <c r="A129" s="482"/>
      <c r="B129" s="491"/>
      <c r="C129" s="508"/>
      <c r="D129" s="508"/>
      <c r="E129" s="508"/>
      <c r="F129" s="508"/>
      <c r="G129" s="484"/>
      <c r="H129" s="484"/>
      <c r="I129" s="484"/>
      <c r="J129" s="484"/>
      <c r="K129" s="484"/>
      <c r="L129" s="484"/>
      <c r="M129" s="485"/>
      <c r="N129" s="930"/>
      <c r="O129" s="930"/>
      <c r="P129" s="1914"/>
      <c r="Q129" s="452"/>
    </row>
    <row r="130" spans="1:17" ht="15" thickTop="1">
      <c r="A130" s="547"/>
      <c r="B130" s="494">
        <f>B46</f>
        <v>111</v>
      </c>
      <c r="C130" s="502"/>
      <c r="D130" s="502"/>
      <c r="E130" s="502"/>
      <c r="F130" s="502"/>
      <c r="G130" s="535"/>
      <c r="H130" s="535"/>
      <c r="I130" s="535"/>
      <c r="J130" s="535"/>
      <c r="K130" s="471"/>
      <c r="L130" s="472"/>
      <c r="M130" s="538"/>
      <c r="N130" s="929"/>
      <c r="O130" s="929"/>
      <c r="P130" s="1914"/>
      <c r="Q130" s="452"/>
    </row>
    <row r="131" spans="1:17" ht="15.75" thickBot="1">
      <c r="A131" s="1920"/>
      <c r="B131" s="517"/>
      <c r="C131" s="518"/>
      <c r="D131" s="518"/>
      <c r="E131" s="518"/>
      <c r="F131" s="518"/>
      <c r="G131" s="539"/>
      <c r="H131" s="539"/>
      <c r="I131" s="539"/>
      <c r="J131" s="539"/>
      <c r="K131" s="539"/>
      <c r="L131" s="539"/>
      <c r="M131" s="540"/>
      <c r="N131" s="930"/>
      <c r="O131" s="930"/>
      <c r="P131" s="1914"/>
      <c r="Q131" s="452"/>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6" t="s">
        <v>1749</v>
      </c>
      <c r="D138" s="136" t="s">
        <v>1750</v>
      </c>
      <c r="E138" s="1929" t="s">
        <v>1751</v>
      </c>
      <c r="F138" s="1930" t="s">
        <v>1752</v>
      </c>
      <c r="G138" s="136" t="s">
        <v>1750</v>
      </c>
      <c r="H138" s="137" t="s">
        <v>1751</v>
      </c>
      <c r="I138" s="1931"/>
      <c r="J138" s="136" t="s">
        <v>1753</v>
      </c>
      <c r="K138" s="137" t="s">
        <v>1754</v>
      </c>
    </row>
    <row r="139" spans="1:17" ht="15">
      <c r="B139" s="863">
        <v>6</v>
      </c>
      <c r="C139" s="864">
        <v>96</v>
      </c>
      <c r="D139" s="1932" t="s">
        <v>1755</v>
      </c>
      <c r="E139" s="865">
        <v>100</v>
      </c>
      <c r="F139" s="866">
        <v>102.5</v>
      </c>
      <c r="G139" s="1932" t="s">
        <v>1755</v>
      </c>
      <c r="H139" s="867">
        <v>105</v>
      </c>
      <c r="I139" s="1933" t="s">
        <v>1756</v>
      </c>
      <c r="J139" s="864">
        <v>20</v>
      </c>
      <c r="K139" s="868">
        <f>C145/(J139-2)</f>
        <v>4.0555555555555553E-3</v>
      </c>
    </row>
    <row r="140" spans="1:17" ht="15">
      <c r="B140" s="869">
        <v>5</v>
      </c>
      <c r="C140" s="870">
        <v>100</v>
      </c>
      <c r="D140" s="870"/>
      <c r="E140" s="871"/>
      <c r="F140" s="872">
        <v>102</v>
      </c>
      <c r="G140" s="870"/>
      <c r="H140" s="873"/>
      <c r="I140" s="1934" t="s">
        <v>1757</v>
      </c>
      <c r="J140" s="270">
        <f>ROUNDUP((J139-1)/2,0)</f>
        <v>10</v>
      </c>
      <c r="K140" s="874">
        <v>100</v>
      </c>
    </row>
    <row r="141" spans="1:17" ht="15">
      <c r="B141" s="869">
        <v>4</v>
      </c>
      <c r="C141" s="870">
        <v>102</v>
      </c>
      <c r="D141" s="870"/>
      <c r="E141" s="871"/>
      <c r="F141" s="872">
        <v>101.5</v>
      </c>
      <c r="G141" s="870"/>
      <c r="H141" s="873"/>
      <c r="I141" s="1934" t="s">
        <v>1758</v>
      </c>
      <c r="J141" s="270">
        <v>1</v>
      </c>
      <c r="K141" s="875">
        <f>ROUND(100+(J141-J140)*K139*100,1)</f>
        <v>96.4</v>
      </c>
    </row>
    <row r="142" spans="1:17" ht="15">
      <c r="B142" s="869">
        <v>3</v>
      </c>
      <c r="C142" s="870">
        <v>103</v>
      </c>
      <c r="D142" s="870"/>
      <c r="E142" s="871"/>
      <c r="F142" s="872">
        <v>101</v>
      </c>
      <c r="G142" s="870"/>
      <c r="H142" s="873"/>
      <c r="I142" s="1934" t="s">
        <v>1759</v>
      </c>
      <c r="J142" s="270">
        <f>J139</f>
        <v>20</v>
      </c>
      <c r="K142" s="876">
        <v>95</v>
      </c>
    </row>
    <row r="143" spans="1:17" ht="15">
      <c r="B143" s="869">
        <v>2</v>
      </c>
      <c r="C143" s="870">
        <v>100</v>
      </c>
      <c r="D143" s="870"/>
      <c r="E143" s="871"/>
      <c r="F143" s="872">
        <v>100.5</v>
      </c>
      <c r="G143" s="870"/>
      <c r="H143" s="873"/>
      <c r="I143" s="1934" t="s">
        <v>1760</v>
      </c>
      <c r="J143" s="870">
        <v>15</v>
      </c>
      <c r="K143" s="875">
        <f>ROUND(100+(J143-J140)*K139*100,1)</f>
        <v>102</v>
      </c>
    </row>
    <row r="144" spans="1:17" ht="15">
      <c r="B144" s="869">
        <v>1</v>
      </c>
      <c r="C144" s="870">
        <v>98</v>
      </c>
      <c r="D144" s="1935" t="s">
        <v>1761</v>
      </c>
      <c r="E144" s="871">
        <v>102</v>
      </c>
      <c r="F144" s="877">
        <v>100</v>
      </c>
      <c r="G144" s="1935" t="s">
        <v>1761</v>
      </c>
      <c r="H144" s="873">
        <v>105</v>
      </c>
      <c r="I144" s="1934" t="s">
        <v>1760</v>
      </c>
      <c r="J144" s="870">
        <v>18</v>
      </c>
      <c r="K144" s="875">
        <f>ROUND(100+(J144-J140)*K139*100,1)</f>
        <v>103.2</v>
      </c>
    </row>
    <row r="145" spans="2:11" ht="15.75" thickBot="1">
      <c r="B145" s="1936" t="s">
        <v>1762</v>
      </c>
      <c r="C145" s="878">
        <f>ROUND(MAX(C139:C144)/MIN(C139:C144)-1,3)</f>
        <v>7.2999999999999995E-2</v>
      </c>
      <c r="D145" s="879"/>
      <c r="E145" s="879"/>
      <c r="F145" s="1937" t="s">
        <v>1763</v>
      </c>
      <c r="G145" s="1938"/>
      <c r="H145" s="1939"/>
      <c r="I145" s="1940" t="s">
        <v>1760</v>
      </c>
      <c r="J145" s="880">
        <v>8</v>
      </c>
      <c r="K145" s="881">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1766</v>
      </c>
      <c r="C1" s="1233" t="s">
        <v>1662</v>
      </c>
      <c r="D1" s="1220"/>
      <c r="E1" s="3412"/>
      <c r="F1" s="1874"/>
      <c r="G1" s="1230" t="s">
        <v>1767</v>
      </c>
      <c r="H1" s="1229"/>
      <c r="I1" s="1229"/>
      <c r="J1" s="1229"/>
      <c r="K1" s="1231"/>
      <c r="L1" s="1232"/>
      <c r="M1" s="1233"/>
      <c r="N1" s="1233"/>
      <c r="O1" s="1233"/>
      <c r="P1" s="1941"/>
      <c r="Q1" s="1942"/>
      <c r="R1" s="1942"/>
      <c r="S1" s="1942"/>
      <c r="T1" s="1942"/>
      <c r="U1" s="1942"/>
      <c r="V1" s="1942"/>
      <c r="W1" s="1942"/>
      <c r="X1" s="1942"/>
      <c r="Y1" s="1942"/>
      <c r="Z1" s="1942"/>
      <c r="AA1" s="1942"/>
      <c r="AB1" s="1942"/>
      <c r="AC1" s="1943"/>
    </row>
    <row r="2" spans="1:29" s="351"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1944"/>
      <c r="Q2" s="908"/>
      <c r="R2" s="908"/>
      <c r="S2" s="908"/>
      <c r="T2" s="908"/>
      <c r="U2" s="908"/>
      <c r="V2" s="908"/>
      <c r="W2" s="908"/>
      <c r="X2" s="908"/>
      <c r="Y2" s="908"/>
      <c r="Z2" s="908"/>
      <c r="AA2" s="908"/>
      <c r="AB2" s="908"/>
      <c r="AC2" s="1945"/>
    </row>
    <row r="3" spans="1:29" s="351" customFormat="1" ht="28.5" customHeight="1" thickBot="1">
      <c r="A3" s="202" t="s">
        <v>1464</v>
      </c>
      <c r="B3" s="557">
        <f>IF(C2="——",C49,ROUND(B2*10000/D3,0))</f>
        <v>0</v>
      </c>
      <c r="C3" s="353" t="s">
        <v>1768</v>
      </c>
      <c r="D3" s="352">
        <f>IF(D1="",'数据-汇总表'!E3,SUMIF('数据-汇总表'!$C19:$C33,D1,'数据-汇总表'!$E19:$E33))</f>
        <v>185933.89999999997</v>
      </c>
      <c r="E3" s="1946"/>
      <c r="F3" s="905"/>
      <c r="G3" s="904"/>
      <c r="H3" s="904"/>
      <c r="I3" s="904"/>
      <c r="J3" s="904"/>
      <c r="K3" s="906"/>
      <c r="L3" s="2724"/>
      <c r="M3" s="2725"/>
      <c r="N3" s="2725"/>
      <c r="O3" s="2725"/>
      <c r="P3" s="1944"/>
      <c r="Q3" s="908"/>
      <c r="R3" s="908"/>
      <c r="S3" s="908"/>
      <c r="T3" s="908"/>
      <c r="U3" s="908"/>
      <c r="V3" s="908"/>
      <c r="W3" s="908"/>
      <c r="X3" s="908"/>
      <c r="Y3" s="908"/>
      <c r="Z3" s="908"/>
      <c r="AA3" s="908"/>
      <c r="AB3" s="908"/>
      <c r="AC3" s="1946"/>
    </row>
    <row r="4" spans="1:29" ht="15">
      <c r="A4" s="354" t="s">
        <v>1769</v>
      </c>
      <c r="B4" s="355"/>
      <c r="C4" s="3912" t="s">
        <v>1770</v>
      </c>
      <c r="D4" s="3913"/>
      <c r="E4" s="3914" t="s">
        <v>1771</v>
      </c>
      <c r="F4" s="3915"/>
      <c r="G4" s="3912" t="s">
        <v>1772</v>
      </c>
      <c r="H4" s="3913"/>
      <c r="I4" s="3912" t="s">
        <v>1773</v>
      </c>
      <c r="J4" s="3913"/>
      <c r="K4" s="558" t="s">
        <v>1774</v>
      </c>
      <c r="L4" s="2705"/>
      <c r="M4" s="2706"/>
      <c r="N4" s="2706"/>
      <c r="O4" s="2706"/>
      <c r="P4" s="3916" t="s">
        <v>1775</v>
      </c>
      <c r="Q4" s="3917"/>
      <c r="R4" s="3899" t="s">
        <v>1771</v>
      </c>
      <c r="S4" s="3900"/>
      <c r="T4" s="3899" t="s">
        <v>1772</v>
      </c>
      <c r="U4" s="3900"/>
      <c r="V4" s="3924" t="s">
        <v>1773</v>
      </c>
      <c r="W4" s="3924"/>
      <c r="X4" s="1350"/>
      <c r="Y4" s="3899" t="s">
        <v>1775</v>
      </c>
      <c r="Z4" s="3900"/>
      <c r="AA4" s="3894" t="s">
        <v>1771</v>
      </c>
      <c r="AB4" s="3924" t="s">
        <v>1772</v>
      </c>
      <c r="AC4" s="3894" t="s">
        <v>1773</v>
      </c>
    </row>
    <row r="5" spans="1:29" ht="15">
      <c r="A5" s="357"/>
      <c r="B5" s="358"/>
      <c r="C5" s="3905" t="s">
        <v>1673</v>
      </c>
      <c r="D5" s="3906"/>
      <c r="E5" s="3903" t="s">
        <v>1674</v>
      </c>
      <c r="F5" s="3904"/>
      <c r="G5" s="3905" t="s">
        <v>1675</v>
      </c>
      <c r="H5" s="3906"/>
      <c r="I5" s="3905" t="s">
        <v>1676</v>
      </c>
      <c r="J5" s="3906"/>
      <c r="K5" s="558"/>
      <c r="L5" s="2705"/>
      <c r="M5" s="2706"/>
      <c r="N5" s="2706"/>
      <c r="O5" s="2706"/>
      <c r="P5" s="3918"/>
      <c r="Q5" s="3919"/>
      <c r="R5" s="3901"/>
      <c r="S5" s="3902"/>
      <c r="T5" s="3901"/>
      <c r="U5" s="3902"/>
      <c r="V5" s="3924"/>
      <c r="W5" s="3924"/>
      <c r="X5" s="1350"/>
      <c r="Y5" s="3901"/>
      <c r="Z5" s="3902"/>
      <c r="AA5" s="3895"/>
      <c r="AB5" s="3924"/>
      <c r="AC5" s="3895"/>
    </row>
    <row r="6" spans="1:29" ht="15.75" thickBot="1">
      <c r="A6" s="359"/>
      <c r="B6" s="360"/>
      <c r="C6" s="3907" t="s">
        <v>1677</v>
      </c>
      <c r="D6" s="3908"/>
      <c r="E6" s="3909" t="s">
        <v>1677</v>
      </c>
      <c r="F6" s="3910"/>
      <c r="G6" s="3907" t="s">
        <v>1677</v>
      </c>
      <c r="H6" s="3908"/>
      <c r="I6" s="3907" t="s">
        <v>1677</v>
      </c>
      <c r="J6" s="3908"/>
      <c r="K6" s="558" t="s">
        <v>1678</v>
      </c>
      <c r="L6" s="2705"/>
      <c r="M6" s="2706"/>
      <c r="N6" s="2706"/>
      <c r="O6" s="2706"/>
      <c r="P6" s="3920"/>
      <c r="Q6" s="3921"/>
      <c r="R6" s="3901"/>
      <c r="S6" s="3902"/>
      <c r="T6" s="3922"/>
      <c r="U6" s="3923"/>
      <c r="V6" s="3924"/>
      <c r="W6" s="3924"/>
      <c r="X6" s="1350"/>
      <c r="Y6" s="3922"/>
      <c r="Z6" s="3923"/>
      <c r="AA6" s="3896"/>
      <c r="AB6" s="3924"/>
      <c r="AC6" s="3896"/>
    </row>
    <row r="7" spans="1:29" s="107" customFormat="1" ht="15.75" thickBot="1">
      <c r="A7" s="361" t="s">
        <v>1679</v>
      </c>
      <c r="B7" s="362"/>
      <c r="C7" s="363">
        <f>'数据-取费表'!B2</f>
        <v>44999</v>
      </c>
      <c r="D7" s="364">
        <v>100</v>
      </c>
      <c r="E7" s="365"/>
      <c r="F7" s="366">
        <f>SUMIF(58:58,YEAR(E7)&amp;"-"&amp;MONTH(E7),59:59)</f>
        <v>0</v>
      </c>
      <c r="G7" s="365"/>
      <c r="H7" s="364">
        <f>SUMIF(58:58,YEAR(G7)&amp;"-"&amp;MONTH(G7),59:59)</f>
        <v>0</v>
      </c>
      <c r="I7" s="365"/>
      <c r="J7" s="364">
        <f>SUMIF(58:58,YEAR(I7)&amp;"-"&amp;MONTH(I7),59:59)</f>
        <v>0</v>
      </c>
      <c r="K7" s="559"/>
      <c r="L7" s="2707"/>
      <c r="M7" s="2708"/>
      <c r="N7" s="2708"/>
      <c r="O7" s="2708"/>
      <c r="P7" s="3897" t="s">
        <v>1680</v>
      </c>
      <c r="Q7" s="3925"/>
      <c r="R7" s="700" t="s">
        <v>14</v>
      </c>
      <c r="S7" s="701">
        <f t="shared" ref="S7:S15" si="0">F7</f>
        <v>0</v>
      </c>
      <c r="T7" s="700" t="s">
        <v>14</v>
      </c>
      <c r="U7" s="701">
        <f t="shared" ref="U7:U15" si="1">H7</f>
        <v>0</v>
      </c>
      <c r="V7" s="700" t="s">
        <v>14</v>
      </c>
      <c r="W7" s="701">
        <f t="shared" ref="W7:W15" si="2">J7</f>
        <v>0</v>
      </c>
      <c r="X7" s="702"/>
      <c r="Y7" s="3897" t="s">
        <v>1680</v>
      </c>
      <c r="Z7" s="3898"/>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07"/>
      <c r="M8" s="2708"/>
      <c r="N8" s="2708"/>
      <c r="O8" s="2708"/>
      <c r="P8" s="3897" t="s">
        <v>1683</v>
      </c>
      <c r="Q8" s="3898"/>
      <c r="R8" s="700" t="s">
        <v>14</v>
      </c>
      <c r="S8" s="701">
        <f t="shared" si="0"/>
        <v>100</v>
      </c>
      <c r="T8" s="700" t="s">
        <v>14</v>
      </c>
      <c r="U8" s="701">
        <f t="shared" si="1"/>
        <v>100</v>
      </c>
      <c r="V8" s="700" t="s">
        <v>14</v>
      </c>
      <c r="W8" s="701">
        <f t="shared" si="2"/>
        <v>100</v>
      </c>
      <c r="X8" s="702"/>
      <c r="Y8" s="3897" t="s">
        <v>1683</v>
      </c>
      <c r="Z8" s="3898"/>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07"/>
      <c r="M9" s="2708"/>
      <c r="N9" s="2708"/>
      <c r="O9" s="2708"/>
      <c r="P9" s="3935"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559"/>
      <c r="L10" s="2709"/>
      <c r="M10" s="2710"/>
      <c r="N10" s="2710"/>
      <c r="O10" s="2710"/>
      <c r="P10" s="3935"/>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1"/>
      <c r="M11" s="2706"/>
      <c r="N11" s="2706"/>
      <c r="O11" s="2706"/>
      <c r="P11" s="3935"/>
      <c r="Q11" s="1338" t="str">
        <f t="shared" si="6"/>
        <v>容积率</v>
      </c>
      <c r="R11" s="700" t="s">
        <v>14</v>
      </c>
      <c r="S11" s="701" t="e">
        <f t="shared" si="0"/>
        <v>#N/A</v>
      </c>
      <c r="T11" s="700" t="s">
        <v>14</v>
      </c>
      <c r="U11" s="701" t="e">
        <f t="shared" si="1"/>
        <v>#N/A</v>
      </c>
      <c r="V11" s="700" t="s">
        <v>14</v>
      </c>
      <c r="W11" s="701" t="e">
        <f t="shared" si="2"/>
        <v>#N/A</v>
      </c>
      <c r="X11" s="702"/>
      <c r="Y11" s="3851"/>
      <c r="Z11" s="52" t="str">
        <f t="shared" si="7"/>
        <v>容积率</v>
      </c>
      <c r="AA11" s="703" t="e">
        <f t="shared" si="3"/>
        <v>#N/A</v>
      </c>
      <c r="AB11" s="703" t="e">
        <f t="shared" si="4"/>
        <v>#N/A</v>
      </c>
      <c r="AC11" s="703" t="e">
        <f t="shared" si="5"/>
        <v>#N/A</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935"/>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935"/>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703">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935"/>
      <c r="Q14" s="1338">
        <f t="shared" si="6"/>
        <v>111</v>
      </c>
      <c r="R14" s="700" t="s">
        <v>14</v>
      </c>
      <c r="S14" s="701">
        <f t="shared" si="0"/>
        <v>100</v>
      </c>
      <c r="T14" s="700" t="s">
        <v>14</v>
      </c>
      <c r="U14" s="701">
        <f t="shared" si="1"/>
        <v>100</v>
      </c>
      <c r="V14" s="700" t="s">
        <v>14</v>
      </c>
      <c r="W14" s="701">
        <f t="shared" si="2"/>
        <v>100</v>
      </c>
      <c r="X14" s="702"/>
      <c r="Y14" s="3851"/>
      <c r="Z14" s="52">
        <f t="shared" si="7"/>
        <v>111</v>
      </c>
      <c r="AA14" s="703">
        <f t="shared" si="3"/>
        <v>1</v>
      </c>
      <c r="AB14" s="703">
        <f t="shared" si="4"/>
        <v>1</v>
      </c>
      <c r="AC14" s="703">
        <f t="shared" si="5"/>
        <v>1</v>
      </c>
    </row>
    <row r="15" spans="1:29" ht="71.25">
      <c r="A15" s="390" t="s">
        <v>1690</v>
      </c>
      <c r="B15" s="61" t="s">
        <v>1777</v>
      </c>
      <c r="C15" s="1890" t="str">
        <f>估价对象房地状况!C4</f>
        <v>估价对象位于XX商圈，周边商业氛围成熟，人流量大，商业繁华度一般</v>
      </c>
      <c r="D15" s="391">
        <v>100</v>
      </c>
      <c r="E15" s="392"/>
      <c r="F15" s="393">
        <f>SUMIF(76:76,E16,77:77)-SUMIF(76:76,C16,77:77)+100</f>
        <v>100</v>
      </c>
      <c r="G15" s="394"/>
      <c r="H15" s="391">
        <f>SUMIF(76:76,G16,77:77)-SUMIF(76:76,C16,77:77)+100</f>
        <v>100</v>
      </c>
      <c r="I15" s="392"/>
      <c r="J15" s="391">
        <f>SUMIF(76:76,I16,77:77)-SUMIF(76:76,C16,77:77)+100</f>
        <v>100</v>
      </c>
      <c r="K15" s="562"/>
      <c r="L15" s="2712"/>
      <c r="M15" s="2706"/>
      <c r="N15" s="2706"/>
      <c r="O15" s="2706"/>
      <c r="P15" s="3973" t="s">
        <v>1691</v>
      </c>
      <c r="Q15" s="1347" t="str">
        <f t="shared" si="6"/>
        <v>商业繁华度</v>
      </c>
      <c r="R15" s="704" t="s">
        <v>14</v>
      </c>
      <c r="S15" s="705">
        <f t="shared" si="0"/>
        <v>100</v>
      </c>
      <c r="T15" s="704" t="s">
        <v>14</v>
      </c>
      <c r="U15" s="705">
        <f t="shared" si="1"/>
        <v>100</v>
      </c>
      <c r="V15" s="704" t="s">
        <v>14</v>
      </c>
      <c r="W15" s="705">
        <f t="shared" si="2"/>
        <v>100</v>
      </c>
      <c r="X15" s="1350"/>
      <c r="Y15" s="3926" t="s">
        <v>1691</v>
      </c>
      <c r="Z15" s="1351" t="str">
        <f t="shared" si="7"/>
        <v>商业繁华度</v>
      </c>
      <c r="AA15" s="1348">
        <f t="shared" si="3"/>
        <v>1</v>
      </c>
      <c r="AB15" s="1348">
        <f t="shared" si="4"/>
        <v>1</v>
      </c>
      <c r="AC15" s="1348">
        <f t="shared" si="5"/>
        <v>1</v>
      </c>
    </row>
    <row r="16" spans="1:29" ht="15">
      <c r="A16" s="378"/>
      <c r="B16" s="396"/>
      <c r="C16" s="397"/>
      <c r="D16" s="398"/>
      <c r="E16" s="397"/>
      <c r="F16" s="399"/>
      <c r="G16" s="397"/>
      <c r="H16" s="400"/>
      <c r="I16" s="397"/>
      <c r="J16" s="398"/>
      <c r="K16" s="563"/>
      <c r="L16" s="2712"/>
      <c r="M16" s="2706"/>
      <c r="N16" s="2706"/>
      <c r="O16" s="2706"/>
      <c r="P16" s="3974"/>
      <c r="Q16" s="1347"/>
      <c r="R16" s="704"/>
      <c r="S16" s="705"/>
      <c r="T16" s="704"/>
      <c r="U16" s="705"/>
      <c r="V16" s="704"/>
      <c r="W16" s="705"/>
      <c r="X16" s="1350"/>
      <c r="Y16" s="3927"/>
      <c r="Z16" s="1351"/>
      <c r="AA16" s="1348">
        <v>1</v>
      </c>
      <c r="AB16" s="1348">
        <v>1</v>
      </c>
      <c r="AC16" s="1348">
        <v>1</v>
      </c>
    </row>
    <row r="17" spans="1:29" ht="85.5">
      <c r="A17" s="378"/>
      <c r="B17" s="401" t="s">
        <v>1259</v>
      </c>
      <c r="C17" s="1894"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2"/>
      <c r="L17" s="2712"/>
      <c r="M17" s="2706"/>
      <c r="N17" s="2706"/>
      <c r="O17" s="2706"/>
      <c r="P17" s="3974"/>
      <c r="Q17" s="1347" t="str">
        <f>B17</f>
        <v>交通便捷度</v>
      </c>
      <c r="R17" s="704" t="s">
        <v>14</v>
      </c>
      <c r="S17" s="705">
        <f>F17</f>
        <v>100</v>
      </c>
      <c r="T17" s="704" t="s">
        <v>14</v>
      </c>
      <c r="U17" s="705">
        <f>H17</f>
        <v>100</v>
      </c>
      <c r="V17" s="704" t="s">
        <v>14</v>
      </c>
      <c r="W17" s="705">
        <f>J17</f>
        <v>100</v>
      </c>
      <c r="X17" s="1350"/>
      <c r="Y17" s="3927"/>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2712"/>
      <c r="M18" s="2706"/>
      <c r="N18" s="2706"/>
      <c r="O18" s="2706"/>
      <c r="P18" s="3974"/>
      <c r="Q18" s="1347"/>
      <c r="R18" s="704"/>
      <c r="S18" s="705"/>
      <c r="T18" s="704"/>
      <c r="U18" s="705"/>
      <c r="V18" s="704"/>
      <c r="W18" s="705"/>
      <c r="X18" s="1350"/>
      <c r="Y18" s="3927"/>
      <c r="Z18" s="1351"/>
      <c r="AA18" s="1348">
        <v>1</v>
      </c>
      <c r="AB18" s="1348">
        <v>1</v>
      </c>
      <c r="AC18" s="1348">
        <v>1</v>
      </c>
    </row>
    <row r="19" spans="1:29" ht="42.75">
      <c r="A19" s="378"/>
      <c r="B19" s="401" t="s">
        <v>1778</v>
      </c>
      <c r="C19" s="1894" t="str">
        <f>估价对象房地状况!C7</f>
        <v>估价对象所在区域公共配套设施齐备情况一般</v>
      </c>
      <c r="D19" s="405">
        <v>100</v>
      </c>
      <c r="E19" s="407"/>
      <c r="F19" s="408">
        <f>SUMIF(80:80,E20,81:81)-SUMIF(80:80,C20,81:81)+100</f>
        <v>100</v>
      </c>
      <c r="G19" s="409"/>
      <c r="H19" s="400">
        <f>SUMIF(80:80,G20,81:81)-SUMIF(80:80,C20,81:81)+100</f>
        <v>100</v>
      </c>
      <c r="I19" s="407"/>
      <c r="J19" s="400">
        <f>SUMIF(80:80,I20,81:81)-SUMIF(80:80,C20,81:81)+100</f>
        <v>100</v>
      </c>
      <c r="K19" s="562"/>
      <c r="L19" s="2712"/>
      <c r="M19" s="2706"/>
      <c r="N19" s="2706"/>
      <c r="O19" s="2706"/>
      <c r="P19" s="3974"/>
      <c r="Q19" s="1347" t="str">
        <f>B19</f>
        <v>公共配套设施</v>
      </c>
      <c r="R19" s="704" t="s">
        <v>14</v>
      </c>
      <c r="S19" s="705">
        <f>F19</f>
        <v>100</v>
      </c>
      <c r="T19" s="704" t="s">
        <v>14</v>
      </c>
      <c r="U19" s="705">
        <f>H19</f>
        <v>100</v>
      </c>
      <c r="V19" s="704" t="s">
        <v>14</v>
      </c>
      <c r="W19" s="705">
        <f>J19</f>
        <v>100</v>
      </c>
      <c r="X19" s="1350"/>
      <c r="Y19" s="3927"/>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2712"/>
      <c r="M20" s="2706"/>
      <c r="N20" s="2706"/>
      <c r="O20" s="2706"/>
      <c r="P20" s="3974"/>
      <c r="Q20" s="1347"/>
      <c r="R20" s="704"/>
      <c r="S20" s="705"/>
      <c r="T20" s="704"/>
      <c r="U20" s="705"/>
      <c r="V20" s="704"/>
      <c r="W20" s="705"/>
      <c r="X20" s="1350"/>
      <c r="Y20" s="3927"/>
      <c r="Z20" s="1351"/>
      <c r="AA20" s="1348">
        <v>1</v>
      </c>
      <c r="AB20" s="1348">
        <v>1</v>
      </c>
      <c r="AC20" s="1348">
        <v>1</v>
      </c>
    </row>
    <row r="21" spans="1:29" ht="28.5">
      <c r="A21" s="378"/>
      <c r="B21" s="1127" t="s">
        <v>1779</v>
      </c>
      <c r="C21" s="1894"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2"/>
      <c r="M21" s="2706"/>
      <c r="N21" s="2706"/>
      <c r="O21" s="2706"/>
      <c r="P21" s="3974"/>
      <c r="Q21" s="1347" t="str">
        <f>B21</f>
        <v>基础设施水平</v>
      </c>
      <c r="R21" s="704" t="s">
        <v>14</v>
      </c>
      <c r="S21" s="705">
        <f>F21</f>
        <v>100</v>
      </c>
      <c r="T21" s="704" t="s">
        <v>14</v>
      </c>
      <c r="U21" s="705">
        <f>H21</f>
        <v>100</v>
      </c>
      <c r="V21" s="704" t="s">
        <v>14</v>
      </c>
      <c r="W21" s="705">
        <f>J21</f>
        <v>100</v>
      </c>
      <c r="X21" s="1350"/>
      <c r="Y21" s="3927"/>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2712"/>
      <c r="M22" s="2706"/>
      <c r="N22" s="2706"/>
      <c r="O22" s="2706"/>
      <c r="P22" s="3974"/>
      <c r="Q22" s="1347"/>
      <c r="R22" s="704"/>
      <c r="S22" s="705"/>
      <c r="T22" s="704"/>
      <c r="U22" s="705"/>
      <c r="V22" s="704"/>
      <c r="W22" s="705"/>
      <c r="X22" s="1350"/>
      <c r="Y22" s="3927"/>
      <c r="Z22" s="1351"/>
      <c r="AA22" s="1348">
        <v>1</v>
      </c>
      <c r="AB22" s="1348">
        <v>1</v>
      </c>
      <c r="AC22" s="1348">
        <v>1</v>
      </c>
    </row>
    <row r="23" spans="1:29" ht="57">
      <c r="A23" s="378"/>
      <c r="B23" s="401" t="s">
        <v>1261</v>
      </c>
      <c r="C23" s="1947"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2"/>
      <c r="M23" s="2706"/>
      <c r="N23" s="2706"/>
      <c r="O23" s="2706"/>
      <c r="P23" s="3974"/>
      <c r="Q23" s="1347" t="str">
        <f>B23</f>
        <v>自然及人文环境</v>
      </c>
      <c r="R23" s="704" t="s">
        <v>14</v>
      </c>
      <c r="S23" s="705">
        <f>F23</f>
        <v>100</v>
      </c>
      <c r="T23" s="704" t="s">
        <v>14</v>
      </c>
      <c r="U23" s="705">
        <f>H23</f>
        <v>100</v>
      </c>
      <c r="V23" s="704" t="s">
        <v>14</v>
      </c>
      <c r="W23" s="705">
        <f>J23</f>
        <v>100</v>
      </c>
      <c r="X23" s="1350"/>
      <c r="Y23" s="3927"/>
      <c r="Z23" s="1351" t="str">
        <f>Q23</f>
        <v>自然及人文环境</v>
      </c>
      <c r="AA23" s="1348">
        <f t="shared" si="3"/>
        <v>1</v>
      </c>
      <c r="AB23" s="1348">
        <f t="shared" si="4"/>
        <v>1</v>
      </c>
      <c r="AC23" s="1348">
        <f t="shared" si="5"/>
        <v>1</v>
      </c>
    </row>
    <row r="24" spans="1:29" ht="15">
      <c r="A24" s="378"/>
      <c r="B24" s="406"/>
      <c r="C24" s="397"/>
      <c r="D24" s="398"/>
      <c r="E24" s="1892"/>
      <c r="F24" s="399"/>
      <c r="G24" s="1891"/>
      <c r="H24" s="398"/>
      <c r="I24" s="1892"/>
      <c r="J24" s="398"/>
      <c r="K24" s="563"/>
      <c r="L24" s="2712"/>
      <c r="M24" s="2706"/>
      <c r="N24" s="2706"/>
      <c r="O24" s="2706"/>
      <c r="P24" s="3974"/>
      <c r="Q24" s="1347"/>
      <c r="R24" s="704"/>
      <c r="S24" s="705"/>
      <c r="T24" s="704"/>
      <c r="U24" s="705"/>
      <c r="V24" s="704"/>
      <c r="W24" s="705"/>
      <c r="X24" s="1350"/>
      <c r="Y24" s="3927"/>
      <c r="Z24" s="1351"/>
      <c r="AA24" s="1348">
        <v>1</v>
      </c>
      <c r="AB24" s="1348">
        <v>1</v>
      </c>
      <c r="AC24" s="1348">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2"/>
      <c r="M25" s="2706"/>
      <c r="N25" s="2706"/>
      <c r="O25" s="2706"/>
      <c r="P25" s="3974"/>
      <c r="Q25" s="1347" t="str">
        <f t="shared" ref="Q25:Q46" si="11">B25</f>
        <v>临街状况</v>
      </c>
      <c r="R25" s="704" t="s">
        <v>14</v>
      </c>
      <c r="S25" s="705">
        <f>F25</f>
        <v>100</v>
      </c>
      <c r="T25" s="704" t="s">
        <v>14</v>
      </c>
      <c r="U25" s="705">
        <f>H25</f>
        <v>100</v>
      </c>
      <c r="V25" s="704" t="s">
        <v>14</v>
      </c>
      <c r="W25" s="705">
        <f>J25</f>
        <v>100</v>
      </c>
      <c r="X25" s="1350"/>
      <c r="Y25" s="3927"/>
      <c r="Z25" s="1351" t="str">
        <f>Q25</f>
        <v>临街状况</v>
      </c>
      <c r="AA25" s="1348">
        <f t="shared" si="3"/>
        <v>1</v>
      </c>
      <c r="AB25" s="1348">
        <f t="shared" si="4"/>
        <v>1</v>
      </c>
      <c r="AC25" s="1348">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974"/>
      <c r="Q26" s="1347" t="str">
        <f t="shared" si="11"/>
        <v>平面位置/可视性</v>
      </c>
      <c r="R26" s="704" t="s">
        <v>14</v>
      </c>
      <c r="S26" s="705">
        <f>F26</f>
        <v>100</v>
      </c>
      <c r="T26" s="704" t="s">
        <v>14</v>
      </c>
      <c r="U26" s="705">
        <f>H26</f>
        <v>100</v>
      </c>
      <c r="V26" s="704" t="s">
        <v>14</v>
      </c>
      <c r="W26" s="705">
        <f>J26</f>
        <v>100</v>
      </c>
      <c r="X26" s="1350"/>
      <c r="Y26" s="3927"/>
      <c r="Z26" s="1351" t="str">
        <f>Q26</f>
        <v>平面位置/可视性</v>
      </c>
      <c r="AA26" s="1348">
        <f t="shared" si="3"/>
        <v>1</v>
      </c>
      <c r="AB26" s="1348">
        <f t="shared" si="4"/>
        <v>1</v>
      </c>
      <c r="AC26" s="1348">
        <f t="shared" si="5"/>
        <v>1</v>
      </c>
    </row>
    <row r="27" spans="1:29" s="107" customFormat="1" ht="15">
      <c r="A27" s="381"/>
      <c r="B27" s="401" t="s">
        <v>1782</v>
      </c>
      <c r="C27" s="1948"/>
      <c r="D27" s="412">
        <v>100</v>
      </c>
      <c r="E27" s="1948"/>
      <c r="F27" s="414">
        <f>SUMIF(90:90,E27,91:91)-SUMIF(90:90,C27,91:91)+100</f>
        <v>100</v>
      </c>
      <c r="G27" s="1948"/>
      <c r="H27" s="412">
        <f>SUMIF(90:90,G27,91:91)-SUMIF(90:90,C27,91:91)+100</f>
        <v>100</v>
      </c>
      <c r="I27" s="1948"/>
      <c r="J27" s="412">
        <f>SUMIF(90:90,I27,91:91)-SUMIF(90:90,C27,91:91)+100</f>
        <v>100</v>
      </c>
      <c r="K27" s="560"/>
      <c r="L27" s="2707"/>
      <c r="M27" s="2708"/>
      <c r="N27" s="2708"/>
      <c r="O27" s="2708"/>
      <c r="P27" s="3974"/>
      <c r="Q27" s="1338" t="str">
        <f t="shared" si="11"/>
        <v>人流量</v>
      </c>
      <c r="R27" s="700" t="s">
        <v>14</v>
      </c>
      <c r="S27" s="701">
        <f>F27</f>
        <v>100</v>
      </c>
      <c r="T27" s="700" t="s">
        <v>14</v>
      </c>
      <c r="U27" s="701">
        <f>H27</f>
        <v>100</v>
      </c>
      <c r="V27" s="700" t="s">
        <v>14</v>
      </c>
      <c r="W27" s="701">
        <f>J27</f>
        <v>100</v>
      </c>
      <c r="X27" s="702"/>
      <c r="Y27" s="3927"/>
      <c r="Z27" s="52" t="str">
        <f>Q27</f>
        <v>人流量</v>
      </c>
      <c r="AA27" s="1348">
        <f>D27/F27</f>
        <v>1</v>
      </c>
      <c r="AB27" s="1348">
        <f>D27/H27</f>
        <v>1</v>
      </c>
      <c r="AC27" s="1348">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974"/>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927"/>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2"/>
      <c r="M29" s="2706"/>
      <c r="N29" s="2706"/>
      <c r="O29" s="2706"/>
      <c r="P29" s="3974"/>
      <c r="Q29" s="1347">
        <f t="shared" si="11"/>
        <v>111</v>
      </c>
      <c r="R29" s="704" t="s">
        <v>14</v>
      </c>
      <c r="S29" s="705">
        <f t="shared" si="12"/>
        <v>100</v>
      </c>
      <c r="T29" s="704" t="s">
        <v>14</v>
      </c>
      <c r="U29" s="705">
        <f t="shared" si="13"/>
        <v>100</v>
      </c>
      <c r="V29" s="704" t="s">
        <v>14</v>
      </c>
      <c r="W29" s="705">
        <f t="shared" si="14"/>
        <v>100</v>
      </c>
      <c r="X29" s="1350"/>
      <c r="Y29" s="3927"/>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974"/>
      <c r="Q30" s="1347">
        <f t="shared" si="11"/>
        <v>111</v>
      </c>
      <c r="R30" s="704" t="s">
        <v>14</v>
      </c>
      <c r="S30" s="705">
        <f t="shared" si="12"/>
        <v>100</v>
      </c>
      <c r="T30" s="704" t="s">
        <v>14</v>
      </c>
      <c r="U30" s="705">
        <f t="shared" si="13"/>
        <v>100</v>
      </c>
      <c r="V30" s="704" t="s">
        <v>14</v>
      </c>
      <c r="W30" s="705">
        <f t="shared" si="14"/>
        <v>100</v>
      </c>
      <c r="X30" s="1350"/>
      <c r="Y30" s="3927"/>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974"/>
      <c r="Q31" s="1347">
        <f t="shared" si="11"/>
        <v>111</v>
      </c>
      <c r="R31" s="704" t="s">
        <v>14</v>
      </c>
      <c r="S31" s="705">
        <f t="shared" si="12"/>
        <v>100</v>
      </c>
      <c r="T31" s="704" t="s">
        <v>14</v>
      </c>
      <c r="U31" s="705">
        <f t="shared" si="13"/>
        <v>100</v>
      </c>
      <c r="V31" s="704" t="s">
        <v>14</v>
      </c>
      <c r="W31" s="705">
        <f t="shared" si="14"/>
        <v>100</v>
      </c>
      <c r="X31" s="1350"/>
      <c r="Y31" s="3927"/>
      <c r="Z31" s="1351">
        <f t="shared" si="15"/>
        <v>111</v>
      </c>
      <c r="AA31" s="1348">
        <f t="shared" si="3"/>
        <v>1</v>
      </c>
      <c r="AB31" s="1348">
        <f t="shared" si="4"/>
        <v>1</v>
      </c>
      <c r="AC31" s="1348">
        <f t="shared" si="5"/>
        <v>1</v>
      </c>
    </row>
    <row r="32" spans="1:29" ht="15">
      <c r="A32" s="390" t="s">
        <v>1694</v>
      </c>
      <c r="B32" s="63" t="s">
        <v>1784</v>
      </c>
      <c r="C32" s="1904"/>
      <c r="D32" s="417">
        <v>100</v>
      </c>
      <c r="E32" s="1904"/>
      <c r="F32" s="411">
        <f>SUMIF(100:100,E32,101:101)-SUMIF(100:100,C32,101:101)+100</f>
        <v>100</v>
      </c>
      <c r="G32" s="1904"/>
      <c r="H32" s="385">
        <f>SUMIF(100:100,G32,101:101)-SUMIF(100:100,C32,101:101)+100</f>
        <v>100</v>
      </c>
      <c r="I32" s="1904"/>
      <c r="J32" s="417">
        <f>SUMIF(100:100,I32,101:101)-SUMIF(100:100,C32,101:101)+100</f>
        <v>100</v>
      </c>
      <c r="K32" s="560"/>
      <c r="L32" s="2712"/>
      <c r="M32" s="2706"/>
      <c r="N32" s="2706"/>
      <c r="O32" s="2706"/>
      <c r="P32" s="3969" t="s">
        <v>1696</v>
      </c>
      <c r="Q32" s="1347" t="str">
        <f t="shared" si="11"/>
        <v>商业类型</v>
      </c>
      <c r="R32" s="704" t="s">
        <v>14</v>
      </c>
      <c r="S32" s="705">
        <f t="shared" si="12"/>
        <v>100</v>
      </c>
      <c r="T32" s="704" t="s">
        <v>14</v>
      </c>
      <c r="U32" s="705">
        <f t="shared" si="13"/>
        <v>100</v>
      </c>
      <c r="V32" s="704" t="s">
        <v>14</v>
      </c>
      <c r="W32" s="705">
        <f t="shared" si="14"/>
        <v>100</v>
      </c>
      <c r="X32" s="1350"/>
      <c r="Y32" s="3929" t="s">
        <v>1696</v>
      </c>
      <c r="Z32" s="1351" t="str">
        <f t="shared" si="15"/>
        <v>商业类型</v>
      </c>
      <c r="AA32" s="1348">
        <f t="shared" si="3"/>
        <v>1</v>
      </c>
      <c r="AB32" s="1348">
        <f t="shared" si="4"/>
        <v>1</v>
      </c>
      <c r="AC32" s="1348">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1"/>
      <c r="M33" s="2713"/>
      <c r="N33" s="2713"/>
      <c r="O33" s="2713"/>
      <c r="P33" s="3970"/>
      <c r="Q33" s="706" t="str">
        <f t="shared" si="11"/>
        <v>项目建筑规模</v>
      </c>
      <c r="R33" s="707" t="s">
        <v>14</v>
      </c>
      <c r="S33" s="708" t="e">
        <f t="shared" si="12"/>
        <v>#N/A</v>
      </c>
      <c r="T33" s="707" t="s">
        <v>14</v>
      </c>
      <c r="U33" s="708" t="e">
        <f t="shared" si="13"/>
        <v>#N/A</v>
      </c>
      <c r="V33" s="707" t="s">
        <v>14</v>
      </c>
      <c r="W33" s="708" t="e">
        <f t="shared" si="14"/>
        <v>#N/A</v>
      </c>
      <c r="X33" s="709"/>
      <c r="Y33" s="3929"/>
      <c r="Z33" s="710" t="str">
        <f t="shared" si="15"/>
        <v>项目建筑规模</v>
      </c>
      <c r="AA33" s="1348" t="e">
        <f t="shared" si="3"/>
        <v>#N/A</v>
      </c>
      <c r="AB33" s="1348" t="e">
        <f t="shared" si="4"/>
        <v>#N/A</v>
      </c>
      <c r="AC33" s="1348" t="e">
        <f t="shared" si="5"/>
        <v>#N/A</v>
      </c>
    </row>
    <row r="34" spans="1:29" ht="15">
      <c r="A34" s="422"/>
      <c r="B34" s="374" t="s">
        <v>1698</v>
      </c>
      <c r="C34" s="1905"/>
      <c r="D34" s="385">
        <v>100</v>
      </c>
      <c r="E34" s="1905"/>
      <c r="F34" s="411">
        <f>SUMIF(105:105,E34,106:106)-SUMIF(105:105,C34,106:106)+100</f>
        <v>100</v>
      </c>
      <c r="G34" s="1905"/>
      <c r="H34" s="385">
        <f>SUMIF(105:105,G34,106:106)-SUMIF(105:105,C34,106:106)+100</f>
        <v>100</v>
      </c>
      <c r="I34" s="1905"/>
      <c r="J34" s="385">
        <f>SUMIF(105:105,I34,106:106)-SUMIF(105:105,C34,106:106)+100</f>
        <v>100</v>
      </c>
      <c r="K34" s="560"/>
      <c r="L34" s="2712"/>
      <c r="M34" s="2706"/>
      <c r="N34" s="2706"/>
      <c r="O34" s="2706"/>
      <c r="P34" s="3970"/>
      <c r="Q34" s="1347" t="str">
        <f t="shared" si="11"/>
        <v>建筑结构</v>
      </c>
      <c r="R34" s="704" t="s">
        <v>14</v>
      </c>
      <c r="S34" s="705">
        <f t="shared" si="12"/>
        <v>100</v>
      </c>
      <c r="T34" s="704" t="s">
        <v>14</v>
      </c>
      <c r="U34" s="705">
        <f t="shared" si="13"/>
        <v>100</v>
      </c>
      <c r="V34" s="704" t="s">
        <v>14</v>
      </c>
      <c r="W34" s="705">
        <f t="shared" si="14"/>
        <v>100</v>
      </c>
      <c r="X34" s="1350"/>
      <c r="Y34" s="3929"/>
      <c r="Z34" s="1351" t="str">
        <f t="shared" si="15"/>
        <v>建筑结构</v>
      </c>
      <c r="AA34" s="1348">
        <f t="shared" si="3"/>
        <v>1</v>
      </c>
      <c r="AB34" s="1348">
        <f t="shared" si="4"/>
        <v>1</v>
      </c>
      <c r="AC34" s="1348">
        <f t="shared" si="5"/>
        <v>1</v>
      </c>
    </row>
    <row r="35" spans="1:29" ht="15">
      <c r="A35" s="422"/>
      <c r="B35" s="374" t="s">
        <v>1785</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560"/>
      <c r="L35" s="2712"/>
      <c r="M35" s="2706"/>
      <c r="N35" s="2706"/>
      <c r="O35" s="2706"/>
      <c r="P35" s="3970"/>
      <c r="Q35" s="1347" t="str">
        <f t="shared" si="11"/>
        <v>公共部分装修</v>
      </c>
      <c r="R35" s="704" t="s">
        <v>14</v>
      </c>
      <c r="S35" s="705">
        <f t="shared" si="12"/>
        <v>100</v>
      </c>
      <c r="T35" s="704" t="s">
        <v>14</v>
      </c>
      <c r="U35" s="705">
        <f t="shared" si="13"/>
        <v>100</v>
      </c>
      <c r="V35" s="704" t="s">
        <v>14</v>
      </c>
      <c r="W35" s="705">
        <f t="shared" si="14"/>
        <v>100</v>
      </c>
      <c r="X35" s="1350"/>
      <c r="Y35" s="3929"/>
      <c r="Z35" s="1351" t="str">
        <f t="shared" si="15"/>
        <v>公共部分装修</v>
      </c>
      <c r="AA35" s="1348">
        <f t="shared" si="3"/>
        <v>1</v>
      </c>
      <c r="AB35" s="1348">
        <f t="shared" si="4"/>
        <v>1</v>
      </c>
      <c r="AC35" s="1348">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2"/>
      <c r="M36" s="2706"/>
      <c r="N36" s="2706"/>
      <c r="O36" s="2706"/>
      <c r="P36" s="3970"/>
      <c r="Q36" s="1347" t="str">
        <f t="shared" si="11"/>
        <v>成新度</v>
      </c>
      <c r="R36" s="704" t="s">
        <v>14</v>
      </c>
      <c r="S36" s="705" t="e">
        <f t="shared" si="12"/>
        <v>#N/A</v>
      </c>
      <c r="T36" s="704" t="s">
        <v>14</v>
      </c>
      <c r="U36" s="705" t="e">
        <f t="shared" si="13"/>
        <v>#N/A</v>
      </c>
      <c r="V36" s="704" t="s">
        <v>14</v>
      </c>
      <c r="W36" s="705" t="e">
        <f t="shared" si="14"/>
        <v>#N/A</v>
      </c>
      <c r="X36" s="1350"/>
      <c r="Y36" s="3929"/>
      <c r="Z36" s="1351" t="str">
        <f t="shared" si="15"/>
        <v>成新度</v>
      </c>
      <c r="AA36" s="1348" t="e">
        <f t="shared" si="3"/>
        <v>#N/A</v>
      </c>
      <c r="AB36" s="1348" t="e">
        <f t="shared" si="4"/>
        <v>#N/A</v>
      </c>
      <c r="AC36" s="1348" t="e">
        <f t="shared" si="5"/>
        <v>#N/A</v>
      </c>
    </row>
    <row r="37" spans="1:29" s="107" customFormat="1" ht="15">
      <c r="A37" s="423"/>
      <c r="B37" s="374" t="s">
        <v>1787</v>
      </c>
      <c r="C37" s="1900"/>
      <c r="D37" s="126">
        <v>100</v>
      </c>
      <c r="E37" s="1900"/>
      <c r="F37" s="411">
        <f>SUMIF(112:112,E37,113:113)-SUMIF(112:112,C37,113:113)+100</f>
        <v>100</v>
      </c>
      <c r="G37" s="1900"/>
      <c r="H37" s="385">
        <f>SUMIF(112:112,G37,113:113)-SUMIF(112:112,C37,113:113)+100</f>
        <v>100</v>
      </c>
      <c r="I37" s="1900"/>
      <c r="J37" s="385">
        <f>SUMIF(112:112,I37,113:113)-SUMIF(112:112,C37,113:113)+100</f>
        <v>100</v>
      </c>
      <c r="K37" s="560"/>
      <c r="L37" s="2707"/>
      <c r="M37" s="2708"/>
      <c r="N37" s="2708"/>
      <c r="O37" s="2708"/>
      <c r="P37" s="3970"/>
      <c r="Q37" s="1338" t="str">
        <f t="shared" si="11"/>
        <v>市政基础设施</v>
      </c>
      <c r="R37" s="700" t="s">
        <v>14</v>
      </c>
      <c r="S37" s="701">
        <f t="shared" si="12"/>
        <v>100</v>
      </c>
      <c r="T37" s="700" t="s">
        <v>14</v>
      </c>
      <c r="U37" s="701">
        <f t="shared" si="13"/>
        <v>100</v>
      </c>
      <c r="V37" s="700" t="s">
        <v>14</v>
      </c>
      <c r="W37" s="701">
        <f t="shared" si="14"/>
        <v>100</v>
      </c>
      <c r="X37" s="702"/>
      <c r="Y37" s="3929"/>
      <c r="Z37" s="52" t="str">
        <f t="shared" si="15"/>
        <v>市政基础设施</v>
      </c>
      <c r="AA37" s="703">
        <f t="shared" si="3"/>
        <v>1</v>
      </c>
      <c r="AB37" s="703">
        <f t="shared" si="4"/>
        <v>1</v>
      </c>
      <c r="AC37" s="703">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2"/>
      <c r="M38" s="2706"/>
      <c r="N38" s="2706"/>
      <c r="O38" s="2706"/>
      <c r="P38" s="3970" t="s">
        <v>1696</v>
      </c>
      <c r="Q38" s="1347" t="str">
        <f t="shared" si="11"/>
        <v>业态</v>
      </c>
      <c r="R38" s="704" t="s">
        <v>14</v>
      </c>
      <c r="S38" s="705">
        <f t="shared" si="12"/>
        <v>100</v>
      </c>
      <c r="T38" s="704" t="s">
        <v>14</v>
      </c>
      <c r="U38" s="705">
        <f t="shared" si="13"/>
        <v>100</v>
      </c>
      <c r="V38" s="704" t="s">
        <v>14</v>
      </c>
      <c r="W38" s="705">
        <f t="shared" si="14"/>
        <v>100</v>
      </c>
      <c r="X38" s="1350"/>
      <c r="Y38" s="3929" t="s">
        <v>1696</v>
      </c>
      <c r="Z38" s="1351" t="str">
        <f t="shared" si="15"/>
        <v>业态</v>
      </c>
      <c r="AA38" s="1348">
        <f t="shared" si="3"/>
        <v>1</v>
      </c>
      <c r="AB38" s="1348">
        <f t="shared" si="4"/>
        <v>1</v>
      </c>
      <c r="AC38" s="1348">
        <f t="shared" si="5"/>
        <v>1</v>
      </c>
    </row>
    <row r="39" spans="1:29" ht="15">
      <c r="A39" s="422"/>
      <c r="B39" s="374" t="s">
        <v>1789</v>
      </c>
      <c r="C39" s="1900"/>
      <c r="D39" s="385">
        <v>100</v>
      </c>
      <c r="E39" s="1900"/>
      <c r="F39" s="411">
        <f>SUMIF(116:116,E39,117:117)-SUMIF(116:116,C39,117:117)+100</f>
        <v>100</v>
      </c>
      <c r="G39" s="1900"/>
      <c r="H39" s="385">
        <f>SUMIF(116:116,G39,117:117)-SUMIF(116:116,C39,117:117)+100</f>
        <v>100</v>
      </c>
      <c r="I39" s="1900"/>
      <c r="J39" s="385">
        <f>SUMIF(116:116,I39,117:117)-SUMIF(116:116,C39,117:117)+100</f>
        <v>100</v>
      </c>
      <c r="K39" s="560"/>
      <c r="L39" s="2712"/>
      <c r="M39" s="2706"/>
      <c r="N39" s="2706"/>
      <c r="O39" s="2706"/>
      <c r="P39" s="3970"/>
      <c r="Q39" s="1347" t="str">
        <f t="shared" si="11"/>
        <v>层高</v>
      </c>
      <c r="R39" s="704" t="s">
        <v>14</v>
      </c>
      <c r="S39" s="705">
        <f t="shared" si="12"/>
        <v>100</v>
      </c>
      <c r="T39" s="704" t="s">
        <v>14</v>
      </c>
      <c r="U39" s="705">
        <f t="shared" si="13"/>
        <v>100</v>
      </c>
      <c r="V39" s="704" t="s">
        <v>14</v>
      </c>
      <c r="W39" s="705">
        <f t="shared" si="14"/>
        <v>100</v>
      </c>
      <c r="X39" s="1350"/>
      <c r="Y39" s="3929"/>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2"/>
      <c r="M40" s="2706"/>
      <c r="N40" s="2706"/>
      <c r="O40" s="2706"/>
      <c r="P40" s="3970"/>
      <c r="Q40" s="1347" t="str">
        <f t="shared" si="11"/>
        <v>单套建筑面积</v>
      </c>
      <c r="R40" s="704" t="s">
        <v>14</v>
      </c>
      <c r="S40" s="705">
        <f t="shared" si="12"/>
        <v>100</v>
      </c>
      <c r="T40" s="704" t="s">
        <v>14</v>
      </c>
      <c r="U40" s="705">
        <f t="shared" si="13"/>
        <v>100</v>
      </c>
      <c r="V40" s="704" t="s">
        <v>14</v>
      </c>
      <c r="W40" s="705">
        <f t="shared" si="14"/>
        <v>100</v>
      </c>
      <c r="X40" s="1350"/>
      <c r="Y40" s="3929"/>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1"/>
      <c r="M41" s="2713"/>
      <c r="N41" s="2713"/>
      <c r="O41" s="2713"/>
      <c r="P41" s="3970"/>
      <c r="Q41" s="706" t="str">
        <f t="shared" si="11"/>
        <v>进深比</v>
      </c>
      <c r="R41" s="707" t="s">
        <v>14</v>
      </c>
      <c r="S41" s="708">
        <f t="shared" si="12"/>
        <v>100</v>
      </c>
      <c r="T41" s="707" t="s">
        <v>14</v>
      </c>
      <c r="U41" s="708">
        <f t="shared" si="13"/>
        <v>100</v>
      </c>
      <c r="V41" s="707" t="s">
        <v>14</v>
      </c>
      <c r="W41" s="708">
        <f t="shared" si="14"/>
        <v>100</v>
      </c>
      <c r="X41" s="709"/>
      <c r="Y41" s="3929"/>
      <c r="Z41" s="710" t="str">
        <f t="shared" si="15"/>
        <v>进深比</v>
      </c>
      <c r="AA41" s="1348">
        <f t="shared" si="3"/>
        <v>1</v>
      </c>
      <c r="AB41" s="1348">
        <f t="shared" si="4"/>
        <v>1</v>
      </c>
      <c r="AC41" s="1348">
        <f t="shared" si="5"/>
        <v>1</v>
      </c>
    </row>
    <row r="42" spans="1:29" ht="15">
      <c r="A42" s="422"/>
      <c r="B42" s="374" t="s">
        <v>1792</v>
      </c>
      <c r="C42" s="1900"/>
      <c r="D42" s="385">
        <v>100</v>
      </c>
      <c r="E42" s="1900"/>
      <c r="F42" s="411">
        <f>SUMIF(122:122,E42,123:123)-SUMIF(122:122,C42,123:123)+100</f>
        <v>100</v>
      </c>
      <c r="G42" s="1900"/>
      <c r="H42" s="385">
        <f>SUMIF(122:122,G42,123:123)-SUMIF(122:122,C42,123:123)+100</f>
        <v>100</v>
      </c>
      <c r="I42" s="1900"/>
      <c r="J42" s="385">
        <f>SUMIF(122:122,I42,123:123)-SUMIF(122:122,C42,123:123)+100</f>
        <v>100</v>
      </c>
      <c r="K42" s="560"/>
      <c r="L42" s="2712"/>
      <c r="M42" s="2706"/>
      <c r="N42" s="2706"/>
      <c r="O42" s="2706"/>
      <c r="P42" s="3970"/>
      <c r="Q42" s="1347" t="str">
        <f t="shared" si="11"/>
        <v>内部装修</v>
      </c>
      <c r="R42" s="704" t="s">
        <v>14</v>
      </c>
      <c r="S42" s="705">
        <f t="shared" si="12"/>
        <v>100</v>
      </c>
      <c r="T42" s="704" t="s">
        <v>14</v>
      </c>
      <c r="U42" s="705">
        <f t="shared" si="13"/>
        <v>100</v>
      </c>
      <c r="V42" s="704" t="s">
        <v>14</v>
      </c>
      <c r="W42" s="705">
        <f t="shared" si="14"/>
        <v>100</v>
      </c>
      <c r="X42" s="1350"/>
      <c r="Y42" s="3929"/>
      <c r="Z42" s="1351" t="str">
        <f t="shared" si="15"/>
        <v>内部装修</v>
      </c>
      <c r="AA42" s="1348">
        <f t="shared" si="3"/>
        <v>1</v>
      </c>
      <c r="AB42" s="1348">
        <f t="shared" si="4"/>
        <v>1</v>
      </c>
      <c r="AC42" s="1348">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2"/>
      <c r="M43" s="2706"/>
      <c r="N43" s="2706"/>
      <c r="O43" s="2706"/>
      <c r="P43" s="3970"/>
      <c r="Q43" s="1347" t="str">
        <f t="shared" si="11"/>
        <v>内部装修维护情况</v>
      </c>
      <c r="R43" s="704" t="s">
        <v>14</v>
      </c>
      <c r="S43" s="705">
        <f t="shared" si="12"/>
        <v>100</v>
      </c>
      <c r="T43" s="704" t="s">
        <v>14</v>
      </c>
      <c r="U43" s="705">
        <f t="shared" si="13"/>
        <v>100</v>
      </c>
      <c r="V43" s="704" t="s">
        <v>14</v>
      </c>
      <c r="W43" s="705">
        <f t="shared" si="14"/>
        <v>100</v>
      </c>
      <c r="X43" s="1350"/>
      <c r="Y43" s="3929"/>
      <c r="Z43" s="1351" t="str">
        <f t="shared" si="15"/>
        <v>内部装修维护情况</v>
      </c>
      <c r="AA43" s="1348">
        <f t="shared" si="3"/>
        <v>1</v>
      </c>
      <c r="AB43" s="1348">
        <f t="shared" si="4"/>
        <v>1</v>
      </c>
      <c r="AC43" s="1348">
        <f t="shared" si="5"/>
        <v>1</v>
      </c>
    </row>
    <row r="44" spans="1:29" s="107"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07"/>
      <c r="M44" s="2708"/>
      <c r="N44" s="2708"/>
      <c r="O44" s="2708"/>
      <c r="P44" s="3970"/>
      <c r="Q44" s="1338">
        <f t="shared" si="11"/>
        <v>111</v>
      </c>
      <c r="R44" s="700" t="s">
        <v>14</v>
      </c>
      <c r="S44" s="701">
        <f t="shared" si="12"/>
        <v>100</v>
      </c>
      <c r="T44" s="700" t="s">
        <v>14</v>
      </c>
      <c r="U44" s="701">
        <f t="shared" si="13"/>
        <v>100</v>
      </c>
      <c r="V44" s="700" t="s">
        <v>14</v>
      </c>
      <c r="W44" s="701">
        <f t="shared" si="14"/>
        <v>100</v>
      </c>
      <c r="X44" s="702"/>
      <c r="Y44" s="3929"/>
      <c r="Z44" s="52">
        <f t="shared" si="15"/>
        <v>111</v>
      </c>
      <c r="AA44" s="703">
        <f t="shared" si="3"/>
        <v>1</v>
      </c>
      <c r="AB44" s="703">
        <f t="shared" si="4"/>
        <v>1</v>
      </c>
      <c r="AC44" s="703">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970"/>
      <c r="Q45" s="1347">
        <f t="shared" si="11"/>
        <v>111</v>
      </c>
      <c r="R45" s="704" t="s">
        <v>14</v>
      </c>
      <c r="S45" s="705">
        <f t="shared" si="12"/>
        <v>100</v>
      </c>
      <c r="T45" s="704" t="s">
        <v>14</v>
      </c>
      <c r="U45" s="705">
        <f t="shared" si="13"/>
        <v>100</v>
      </c>
      <c r="V45" s="704" t="s">
        <v>14</v>
      </c>
      <c r="W45" s="705">
        <f t="shared" si="14"/>
        <v>100</v>
      </c>
      <c r="X45" s="1350"/>
      <c r="Y45" s="3929"/>
      <c r="Z45" s="1351">
        <f t="shared" si="15"/>
        <v>111</v>
      </c>
      <c r="AA45" s="1348">
        <f t="shared" si="3"/>
        <v>1</v>
      </c>
      <c r="AB45" s="1348">
        <f t="shared" si="4"/>
        <v>1</v>
      </c>
      <c r="AC45" s="1348">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971"/>
      <c r="Q46" s="1347">
        <f t="shared" si="11"/>
        <v>111</v>
      </c>
      <c r="R46" s="704" t="s">
        <v>14</v>
      </c>
      <c r="S46" s="705">
        <f t="shared" si="12"/>
        <v>100</v>
      </c>
      <c r="T46" s="704" t="s">
        <v>14</v>
      </c>
      <c r="U46" s="705">
        <f t="shared" si="13"/>
        <v>100</v>
      </c>
      <c r="V46" s="704" t="s">
        <v>14</v>
      </c>
      <c r="W46" s="705">
        <f t="shared" si="14"/>
        <v>100</v>
      </c>
      <c r="X46" s="1350"/>
      <c r="Y46" s="3972"/>
      <c r="Z46" s="1351">
        <f t="shared" si="15"/>
        <v>111</v>
      </c>
      <c r="AA46" s="1348">
        <f t="shared" si="3"/>
        <v>1</v>
      </c>
      <c r="AB46" s="1348">
        <f t="shared" si="4"/>
        <v>1</v>
      </c>
      <c r="AC46" s="1348">
        <f t="shared" si="5"/>
        <v>1</v>
      </c>
    </row>
    <row r="47" spans="1:29" ht="15">
      <c r="A47" s="429" t="s">
        <v>1708</v>
      </c>
      <c r="B47" s="430"/>
      <c r="C47" s="1150" t="s">
        <v>0</v>
      </c>
      <c r="D47" s="1151"/>
      <c r="E47" s="1152"/>
      <c r="F47" s="1153"/>
      <c r="G47" s="1154"/>
      <c r="H47" s="1155"/>
      <c r="I47" s="1152"/>
      <c r="J47" s="1155"/>
      <c r="K47" s="713"/>
      <c r="L47" s="2714"/>
      <c r="M47" s="2715"/>
      <c r="N47" s="2706"/>
      <c r="O47" s="2715"/>
      <c r="P47" s="3911" t="str">
        <f>A47</f>
        <v>成交单价（元/平方米）</v>
      </c>
      <c r="Q47" s="3911"/>
      <c r="R47" s="3924">
        <f>E47</f>
        <v>0</v>
      </c>
      <c r="S47" s="3924"/>
      <c r="T47" s="3924">
        <f>G47</f>
        <v>0</v>
      </c>
      <c r="U47" s="3924"/>
      <c r="V47" s="3924">
        <f>I47</f>
        <v>0</v>
      </c>
      <c r="W47" s="3924"/>
      <c r="X47" s="689"/>
      <c r="Y47" s="711"/>
      <c r="Z47" s="689"/>
      <c r="AA47" s="689"/>
      <c r="AB47" s="689"/>
      <c r="AC47" s="689"/>
    </row>
    <row r="48" spans="1:29" ht="15.75" thickBot="1">
      <c r="A48" s="436" t="s">
        <v>1793</v>
      </c>
      <c r="B48" s="437"/>
      <c r="C48" s="1156" t="e">
        <f>R49</f>
        <v>#DIV/0!</v>
      </c>
      <c r="D48" s="2309" t="s">
        <v>2137</v>
      </c>
      <c r="E48" s="1157" t="e">
        <f>R48</f>
        <v>#DIV/0!</v>
      </c>
      <c r="F48" s="2310"/>
      <c r="G48" s="1156" t="e">
        <f>T48</f>
        <v>#DIV/0!</v>
      </c>
      <c r="H48" s="2310"/>
      <c r="I48" s="1157" t="e">
        <f>V48</f>
        <v>#DIV/0!</v>
      </c>
      <c r="J48" s="2310"/>
      <c r="K48" s="2312">
        <f>F48+H48+J48</f>
        <v>0</v>
      </c>
      <c r="L48" s="2714"/>
      <c r="M48" s="2715"/>
      <c r="N48" s="2706"/>
      <c r="O48" s="2715"/>
      <c r="P48" s="3911" t="str">
        <f>A48</f>
        <v>比较价值（元/平方米）</v>
      </c>
      <c r="Q48" s="3911"/>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689"/>
      <c r="Y48" s="689"/>
      <c r="Z48" s="689"/>
      <c r="AA48" s="689"/>
      <c r="AB48" s="689"/>
      <c r="AC48" s="689"/>
    </row>
    <row r="49" spans="1:29" ht="15.75" thickBot="1">
      <c r="A49" s="440" t="s">
        <v>1794</v>
      </c>
      <c r="B49" s="441"/>
      <c r="C49" s="1159" t="e">
        <f>R49</f>
        <v>#DIV/0!</v>
      </c>
      <c r="D49" s="1159"/>
      <c r="E49" s="1159"/>
      <c r="F49" s="1159"/>
      <c r="G49" s="1159"/>
      <c r="H49" s="1159"/>
      <c r="I49" s="1159"/>
      <c r="J49" s="1159"/>
      <c r="K49" s="714"/>
      <c r="L49" s="2714"/>
      <c r="M49" s="2715"/>
      <c r="N49" s="2706"/>
      <c r="O49" s="2715"/>
      <c r="P49" s="3931" t="str">
        <f>A49</f>
        <v>估价对象XX用房的比较价值（楼面单价，元/平方米）</v>
      </c>
      <c r="Q49" s="3932"/>
      <c r="R49" s="3967" t="e">
        <f>IF(F1="售价",ROUND(IF(D48="简单平均",AVERAGE(R48:V48),R48*F48+T48*H48+V48*J48),0),ROUND(IF(D48="简单平均",AVERAGE(R48:V48),R48*F48+T48*H48+V48*J48),1))</f>
        <v>#DIV/0!</v>
      </c>
      <c r="S49" s="3967"/>
      <c r="T49" s="3967"/>
      <c r="U49" s="3967"/>
      <c r="V49" s="3967"/>
      <c r="W49" s="3967"/>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0" customFormat="1" ht="13.5" customHeight="1">
      <c r="A54" s="2718"/>
      <c r="B54" s="2718"/>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1798</v>
      </c>
      <c r="B57" s="689"/>
      <c r="C57" s="694"/>
      <c r="D57" s="694"/>
      <c r="E57" s="694"/>
      <c r="F57" s="695"/>
      <c r="G57" s="695"/>
      <c r="H57" s="694"/>
      <c r="I57" s="694"/>
      <c r="J57" s="694"/>
      <c r="K57" s="696"/>
      <c r="L57" s="938"/>
      <c r="M57" s="936"/>
      <c r="N57" s="936"/>
      <c r="O57" s="936"/>
      <c r="P57" s="2728"/>
      <c r="Q57" s="2729"/>
      <c r="R57" s="2715"/>
      <c r="S57" s="2715"/>
      <c r="T57" s="2715"/>
      <c r="U57" s="2715"/>
      <c r="V57" s="2715"/>
      <c r="W57" s="2715"/>
      <c r="X57" s="2715"/>
      <c r="Y57" s="2715"/>
      <c r="Z57" s="2715"/>
      <c r="AA57" s="2715"/>
      <c r="AB57" s="2715"/>
      <c r="AC57" s="2715"/>
    </row>
    <row r="58" spans="1:29" s="456" customFormat="1" ht="15">
      <c r="A58" s="453" t="s">
        <v>1679</v>
      </c>
      <c r="B58" s="454"/>
      <c r="C58" s="1179" t="str">
        <f>YEAR(C7)&amp;"-"&amp;MONTH(C7)</f>
        <v>2023-3</v>
      </c>
      <c r="D58" s="1180">
        <f>EDATE(C58,-1)</f>
        <v>44958</v>
      </c>
      <c r="E58" s="1180">
        <f t="shared" ref="E58:N58" si="16">EDATE(D58,-1)</f>
        <v>44927</v>
      </c>
      <c r="F58" s="1180">
        <f t="shared" si="16"/>
        <v>44896</v>
      </c>
      <c r="G58" s="1180">
        <f t="shared" si="16"/>
        <v>44866</v>
      </c>
      <c r="H58" s="1180">
        <f t="shared" si="16"/>
        <v>44835</v>
      </c>
      <c r="I58" s="1180">
        <f t="shared" si="16"/>
        <v>44805</v>
      </c>
      <c r="J58" s="1180">
        <f t="shared" si="16"/>
        <v>44774</v>
      </c>
      <c r="K58" s="1180">
        <f t="shared" si="16"/>
        <v>44743</v>
      </c>
      <c r="L58" s="1180">
        <f t="shared" si="16"/>
        <v>44713</v>
      </c>
      <c r="M58" s="1180">
        <f t="shared" si="16"/>
        <v>44682</v>
      </c>
      <c r="N58" s="1180">
        <f t="shared" si="16"/>
        <v>44652</v>
      </c>
      <c r="O58" s="1180">
        <f>EDATE(N58,-1)</f>
        <v>44621</v>
      </c>
      <c r="P58" s="2730"/>
      <c r="Q58" s="2731"/>
      <c r="R58" s="2731"/>
      <c r="S58" s="2731"/>
      <c r="T58" s="2731"/>
      <c r="U58" s="2731"/>
      <c r="V58" s="2731"/>
      <c r="W58" s="2731"/>
      <c r="X58" s="2731"/>
      <c r="Y58" s="2731"/>
      <c r="Z58" s="2731"/>
      <c r="AA58" s="2731"/>
      <c r="AB58" s="2731"/>
      <c r="AC58" s="2731"/>
    </row>
    <row r="59" spans="1:29" s="107" customFormat="1" ht="15">
      <c r="A59" s="457"/>
      <c r="B59" s="458"/>
      <c r="C59" s="1178">
        <v>100</v>
      </c>
      <c r="D59" s="460"/>
      <c r="E59" s="460"/>
      <c r="F59" s="460"/>
      <c r="G59" s="460"/>
      <c r="H59" s="460"/>
      <c r="I59" s="460"/>
      <c r="J59" s="460"/>
      <c r="K59" s="460"/>
      <c r="L59" s="460"/>
      <c r="M59" s="461"/>
      <c r="N59" s="460"/>
      <c r="O59" s="461"/>
      <c r="P59" s="2732"/>
      <c r="Q59" s="2652"/>
      <c r="R59" s="2652"/>
      <c r="S59" s="2652"/>
      <c r="T59" s="2652"/>
      <c r="U59" s="2652"/>
      <c r="V59" s="2652"/>
      <c r="W59" s="2652"/>
      <c r="X59" s="2652"/>
      <c r="Y59" s="2652"/>
      <c r="Z59" s="2652"/>
      <c r="AA59" s="2652"/>
      <c r="AB59" s="2652"/>
      <c r="AC59" s="2652"/>
    </row>
    <row r="60" spans="1:29" s="107" customFormat="1" ht="15.75" thickBot="1">
      <c r="A60" s="463" t="s">
        <v>1716</v>
      </c>
      <c r="B60" s="464"/>
      <c r="C60" s="465"/>
      <c r="D60" s="466"/>
      <c r="E60" s="466"/>
      <c r="F60" s="466"/>
      <c r="G60" s="466"/>
      <c r="H60" s="466"/>
      <c r="I60" s="466"/>
      <c r="J60" s="466"/>
      <c r="K60" s="466"/>
      <c r="L60" s="466"/>
      <c r="M60" s="467"/>
      <c r="N60" s="466"/>
      <c r="O60" s="467"/>
      <c r="P60" s="2732"/>
      <c r="Q60" s="2729"/>
      <c r="R60" s="2652"/>
      <c r="S60" s="2652"/>
      <c r="T60" s="2652"/>
      <c r="U60" s="2652"/>
      <c r="V60" s="2652"/>
      <c r="W60" s="2652"/>
      <c r="X60" s="2652"/>
      <c r="Y60" s="2652"/>
      <c r="Z60" s="2652"/>
      <c r="AA60" s="2652"/>
      <c r="AB60" s="2652"/>
      <c r="AC60" s="2652"/>
    </row>
    <row r="61" spans="1:29" s="107" customFormat="1" ht="15">
      <c r="A61" s="469" t="s">
        <v>1681</v>
      </c>
      <c r="B61" s="458"/>
      <c r="C61" s="470" t="s">
        <v>1776</v>
      </c>
      <c r="D61" s="471"/>
      <c r="E61" s="471"/>
      <c r="F61" s="471"/>
      <c r="G61" s="471"/>
      <c r="H61" s="471"/>
      <c r="I61" s="471"/>
      <c r="J61" s="471"/>
      <c r="K61" s="471"/>
      <c r="L61" s="472"/>
      <c r="M61" s="473"/>
      <c r="N61" s="2742"/>
      <c r="O61" s="2742"/>
      <c r="P61" s="2733"/>
      <c r="Q61" s="2729"/>
      <c r="R61" s="2652"/>
      <c r="S61" s="2652"/>
      <c r="T61" s="2652"/>
      <c r="U61" s="2652"/>
      <c r="V61" s="2652"/>
      <c r="W61" s="2652"/>
      <c r="X61" s="2652"/>
      <c r="Y61" s="2652"/>
      <c r="Z61" s="2652"/>
      <c r="AA61" s="2652"/>
      <c r="AB61" s="2652"/>
      <c r="AC61" s="2652"/>
    </row>
    <row r="62" spans="1:29" s="107" customFormat="1" ht="15.75" thickBot="1">
      <c r="A62" s="469"/>
      <c r="B62" s="458"/>
      <c r="C62" s="459">
        <v>100</v>
      </c>
      <c r="D62" s="460"/>
      <c r="E62" s="460"/>
      <c r="F62" s="460"/>
      <c r="G62" s="460"/>
      <c r="H62" s="460"/>
      <c r="I62" s="460"/>
      <c r="J62" s="460"/>
      <c r="K62" s="460"/>
      <c r="L62" s="460"/>
      <c r="M62" s="462"/>
      <c r="N62" s="2742"/>
      <c r="O62" s="2742"/>
      <c r="P62" s="2732"/>
      <c r="Q62" s="2729"/>
      <c r="R62" s="2652"/>
      <c r="S62" s="2652"/>
      <c r="T62" s="2652"/>
      <c r="U62" s="2652"/>
      <c r="V62" s="2652"/>
      <c r="W62" s="2652"/>
      <c r="X62" s="2652"/>
      <c r="Y62" s="2652"/>
      <c r="Z62" s="2652"/>
      <c r="AA62" s="2652"/>
      <c r="AB62" s="2652"/>
      <c r="AC62" s="2652"/>
    </row>
    <row r="63" spans="1:29">
      <c r="A63" s="475" t="s">
        <v>1719</v>
      </c>
      <c r="B63" s="476" t="s">
        <v>1685</v>
      </c>
      <c r="C63" s="477">
        <f>C9</f>
        <v>0</v>
      </c>
      <c r="D63" s="478"/>
      <c r="E63" s="478"/>
      <c r="F63" s="478"/>
      <c r="G63" s="478"/>
      <c r="H63" s="478"/>
      <c r="I63" s="478"/>
      <c r="J63" s="478"/>
      <c r="K63" s="479"/>
      <c r="L63" s="480"/>
      <c r="M63" s="481"/>
      <c r="N63" s="2743"/>
      <c r="O63" s="2743"/>
      <c r="P63" s="2734"/>
      <c r="Q63" s="2729"/>
      <c r="R63" s="2715"/>
      <c r="S63" s="2715"/>
      <c r="T63" s="2715"/>
      <c r="U63" s="2715"/>
      <c r="V63" s="2715"/>
      <c r="W63" s="2715"/>
      <c r="X63" s="2715"/>
      <c r="Y63" s="2715"/>
      <c r="Z63" s="2715"/>
      <c r="AA63" s="2715"/>
      <c r="AB63" s="2715"/>
      <c r="AC63" s="2715"/>
    </row>
    <row r="64" spans="1:29" ht="15.75" thickBot="1">
      <c r="A64" s="482"/>
      <c r="B64" s="483"/>
      <c r="C64" s="484">
        <v>100</v>
      </c>
      <c r="D64" s="484"/>
      <c r="E64" s="484"/>
      <c r="F64" s="484"/>
      <c r="G64" s="484"/>
      <c r="H64" s="484"/>
      <c r="I64" s="484"/>
      <c r="J64" s="484"/>
      <c r="K64" s="484"/>
      <c r="L64" s="484"/>
      <c r="M64" s="485"/>
      <c r="N64" s="2744"/>
      <c r="O64" s="2744"/>
      <c r="P64" s="2734"/>
      <c r="Q64" s="2729"/>
      <c r="R64" s="2715"/>
      <c r="S64" s="2715"/>
      <c r="T64" s="2715"/>
      <c r="U64" s="2715"/>
      <c r="V64" s="2715"/>
      <c r="W64" s="2715"/>
      <c r="X64" s="2715"/>
      <c r="Y64" s="2715"/>
      <c r="Z64" s="2715"/>
      <c r="AA64" s="2715"/>
      <c r="AB64" s="2715"/>
      <c r="AC64" s="2715"/>
    </row>
    <row r="65" spans="1:29" ht="27.75" thickTop="1">
      <c r="A65" s="482"/>
      <c r="B65" s="486" t="s">
        <v>1688</v>
      </c>
      <c r="C65" s="531"/>
      <c r="D65" s="531"/>
      <c r="E65" s="531"/>
      <c r="F65" s="531"/>
      <c r="G65" s="531"/>
      <c r="H65" s="531"/>
      <c r="I65" s="531"/>
      <c r="J65" s="531"/>
      <c r="K65" s="532"/>
      <c r="L65" s="533"/>
      <c r="M65" s="534"/>
      <c r="N65" s="2743"/>
      <c r="O65" s="2743"/>
      <c r="P65" s="2734"/>
      <c r="Q65" s="2729"/>
      <c r="R65" s="2715"/>
      <c r="S65" s="2715"/>
      <c r="T65" s="2715"/>
      <c r="U65" s="2715"/>
      <c r="V65" s="2715"/>
      <c r="W65" s="2715"/>
      <c r="X65" s="2715"/>
      <c r="Y65" s="2715"/>
      <c r="Z65" s="2715"/>
      <c r="AA65" s="2715"/>
      <c r="AB65" s="2715"/>
      <c r="AC65" s="2715"/>
    </row>
    <row r="66" spans="1:29" ht="15.75" thickBot="1">
      <c r="A66" s="482"/>
      <c r="B66" s="491"/>
      <c r="C66" s="484"/>
      <c r="D66" s="484"/>
      <c r="E66" s="484"/>
      <c r="F66" s="484"/>
      <c r="G66" s="484"/>
      <c r="H66" s="484"/>
      <c r="I66" s="484"/>
      <c r="J66" s="484"/>
      <c r="K66" s="484"/>
      <c r="L66" s="484"/>
      <c r="M66" s="485"/>
      <c r="N66" s="2744"/>
      <c r="O66" s="2744"/>
      <c r="P66" s="2734"/>
      <c r="Q66" s="2729"/>
      <c r="R66" s="2715"/>
      <c r="S66" s="2715"/>
      <c r="T66" s="2715"/>
      <c r="U66" s="2715"/>
      <c r="V66" s="2715"/>
      <c r="W66" s="2715"/>
      <c r="X66" s="2715"/>
      <c r="Y66" s="2715"/>
      <c r="Z66" s="2715"/>
      <c r="AA66" s="2715"/>
      <c r="AB66" s="2715"/>
      <c r="AC66" s="2715"/>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2"/>
      <c r="B68" s="496"/>
      <c r="C68" s="497"/>
      <c r="D68" s="497"/>
      <c r="E68" s="497"/>
      <c r="F68" s="497"/>
      <c r="G68" s="497"/>
      <c r="H68" s="497"/>
      <c r="I68" s="497"/>
      <c r="J68" s="497"/>
      <c r="K68" s="498"/>
      <c r="L68" s="499"/>
      <c r="M68" s="500"/>
      <c r="N68" s="2743"/>
      <c r="O68" s="2743"/>
      <c r="P68" s="2734"/>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5"/>
      <c r="O70" s="2745"/>
      <c r="P70" s="2735"/>
      <c r="Q70" s="2736"/>
      <c r="R70" s="2737"/>
      <c r="S70" s="2737"/>
      <c r="T70" s="2737"/>
      <c r="U70" s="2737"/>
      <c r="V70" s="2737"/>
      <c r="W70" s="2737"/>
      <c r="X70" s="2737"/>
      <c r="Y70" s="2737"/>
      <c r="Z70" s="2737"/>
      <c r="AA70" s="2737"/>
      <c r="AB70" s="2737"/>
      <c r="AC70" s="2737"/>
    </row>
    <row r="71" spans="1:29" s="421" customFormat="1" ht="15.75" thickBot="1">
      <c r="A71" s="501"/>
      <c r="B71" s="491"/>
      <c r="C71" s="508"/>
      <c r="D71" s="484"/>
      <c r="E71" s="484"/>
      <c r="F71" s="484"/>
      <c r="G71" s="484"/>
      <c r="H71" s="484"/>
      <c r="I71" s="484"/>
      <c r="J71" s="484"/>
      <c r="K71" s="484"/>
      <c r="L71" s="484"/>
      <c r="M71" s="485"/>
      <c r="N71" s="2744"/>
      <c r="O71" s="2744"/>
      <c r="P71" s="2735"/>
      <c r="Q71" s="2736"/>
      <c r="R71" s="2737"/>
      <c r="S71" s="2737"/>
      <c r="T71" s="2737"/>
      <c r="U71" s="2737"/>
      <c r="V71" s="2737"/>
      <c r="W71" s="2737"/>
      <c r="X71" s="2737"/>
      <c r="Y71" s="2737"/>
      <c r="Z71" s="2737"/>
      <c r="AA71" s="2737"/>
      <c r="AB71" s="2737"/>
      <c r="AC71" s="2737"/>
    </row>
    <row r="72" spans="1:29" s="421" customFormat="1" ht="15.75" thickTop="1">
      <c r="A72" s="501"/>
      <c r="B72" s="486">
        <f>B13</f>
        <v>111</v>
      </c>
      <c r="C72" s="502"/>
      <c r="D72" s="502"/>
      <c r="E72" s="502"/>
      <c r="F72" s="502"/>
      <c r="G72" s="502"/>
      <c r="H72" s="503"/>
      <c r="I72" s="503"/>
      <c r="J72" s="503"/>
      <c r="K72" s="503"/>
      <c r="L72" s="504"/>
      <c r="M72" s="505"/>
      <c r="N72" s="2745"/>
      <c r="O72" s="2745"/>
      <c r="P72" s="2738"/>
      <c r="Q72" s="2739"/>
      <c r="R72" s="2737"/>
      <c r="S72" s="2737"/>
      <c r="T72" s="2737"/>
      <c r="U72" s="2737"/>
      <c r="V72" s="2737"/>
      <c r="W72" s="2737"/>
      <c r="X72" s="2737"/>
      <c r="Y72" s="2737"/>
      <c r="Z72" s="2737"/>
      <c r="AA72" s="2737"/>
      <c r="AB72" s="2737"/>
      <c r="AC72" s="2737"/>
    </row>
    <row r="73" spans="1:29" s="421" customFormat="1" ht="15.75" thickBot="1">
      <c r="A73" s="501"/>
      <c r="B73" s="491"/>
      <c r="C73" s="508"/>
      <c r="D73" s="484"/>
      <c r="E73" s="484"/>
      <c r="F73" s="484"/>
      <c r="G73" s="508"/>
      <c r="H73" s="510"/>
      <c r="I73" s="510"/>
      <c r="J73" s="510"/>
      <c r="K73" s="510"/>
      <c r="L73" s="510"/>
      <c r="M73" s="511"/>
      <c r="N73" s="2745"/>
      <c r="O73" s="2745"/>
      <c r="P73" s="2735"/>
      <c r="Q73" s="2736"/>
      <c r="R73" s="2737"/>
      <c r="S73" s="2737"/>
      <c r="T73" s="2737"/>
      <c r="U73" s="2737"/>
      <c r="V73" s="2737"/>
      <c r="W73" s="2737"/>
      <c r="X73" s="2737"/>
      <c r="Y73" s="2737"/>
      <c r="Z73" s="2737"/>
      <c r="AA73" s="2737"/>
      <c r="AB73" s="2737"/>
      <c r="AC73" s="2737"/>
    </row>
    <row r="74" spans="1:29" s="421" customFormat="1" ht="15.75" thickTop="1">
      <c r="A74" s="501"/>
      <c r="B74" s="494">
        <f>B14</f>
        <v>111</v>
      </c>
      <c r="C74" s="502"/>
      <c r="D74" s="502"/>
      <c r="E74" s="502"/>
      <c r="F74" s="502"/>
      <c r="G74" s="471"/>
      <c r="H74" s="512"/>
      <c r="I74" s="512"/>
      <c r="J74" s="512"/>
      <c r="K74" s="512"/>
      <c r="L74" s="513"/>
      <c r="M74" s="514"/>
      <c r="N74" s="2745"/>
      <c r="O74" s="2745"/>
      <c r="P74" s="2740"/>
      <c r="Q74" s="2736"/>
      <c r="R74" s="2737"/>
      <c r="S74" s="2737"/>
      <c r="T74" s="2737"/>
      <c r="U74" s="2737"/>
      <c r="V74" s="2737"/>
      <c r="W74" s="2737"/>
      <c r="X74" s="2737"/>
      <c r="Y74" s="2737"/>
      <c r="Z74" s="2737"/>
      <c r="AA74" s="2737"/>
      <c r="AB74" s="2737"/>
      <c r="AC74" s="2737"/>
    </row>
    <row r="75" spans="1:29" s="421" customFormat="1" ht="15.75" thickBot="1">
      <c r="A75" s="516"/>
      <c r="B75" s="517"/>
      <c r="C75" s="518"/>
      <c r="D75" s="518"/>
      <c r="E75" s="518"/>
      <c r="F75" s="518"/>
      <c r="G75" s="518"/>
      <c r="H75" s="519"/>
      <c r="I75" s="519"/>
      <c r="J75" s="519"/>
      <c r="K75" s="519"/>
      <c r="L75" s="519"/>
      <c r="M75" s="520"/>
      <c r="N75" s="2745"/>
      <c r="O75" s="2745"/>
      <c r="P75" s="2735"/>
      <c r="Q75" s="2736"/>
      <c r="R75" s="2737"/>
      <c r="S75" s="2737"/>
      <c r="T75" s="2737"/>
      <c r="U75" s="2737"/>
      <c r="V75" s="2737"/>
      <c r="W75" s="2737"/>
      <c r="X75" s="2737"/>
      <c r="Y75" s="2737"/>
      <c r="Z75" s="2737"/>
      <c r="AA75" s="2737"/>
      <c r="AB75" s="2737"/>
      <c r="AC75" s="2737"/>
    </row>
    <row r="76" spans="1:29">
      <c r="A76" s="475" t="s">
        <v>1690</v>
      </c>
      <c r="B76" s="476" t="s">
        <v>1720</v>
      </c>
      <c r="C76" s="521" t="s">
        <v>1721</v>
      </c>
      <c r="D76" s="521" t="s">
        <v>1722</v>
      </c>
      <c r="E76" s="521" t="s">
        <v>1723</v>
      </c>
      <c r="F76" s="521" t="s">
        <v>1724</v>
      </c>
      <c r="G76" s="521" t="s">
        <v>1725</v>
      </c>
      <c r="H76" s="477"/>
      <c r="I76" s="477"/>
      <c r="J76" s="477"/>
      <c r="K76" s="522"/>
      <c r="L76" s="523"/>
      <c r="M76" s="524"/>
      <c r="N76" s="2743"/>
      <c r="O76" s="2743"/>
      <c r="P76" s="2741"/>
      <c r="Q76" s="2729"/>
      <c r="R76" s="2715"/>
      <c r="S76" s="2715"/>
      <c r="T76" s="2715"/>
      <c r="U76" s="2715"/>
      <c r="V76" s="2715"/>
      <c r="W76" s="2715"/>
      <c r="X76" s="2715"/>
      <c r="Y76" s="2715"/>
      <c r="Z76" s="2715"/>
      <c r="AA76" s="2715"/>
      <c r="AB76" s="2715"/>
      <c r="AC76" s="2715"/>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4"/>
      <c r="O77" s="2744"/>
      <c r="P77" s="2734"/>
      <c r="Q77" s="2729"/>
      <c r="R77" s="2715"/>
      <c r="S77" s="2715"/>
      <c r="T77" s="2715"/>
      <c r="U77" s="2715"/>
      <c r="V77" s="2715"/>
      <c r="W77" s="2715"/>
      <c r="X77" s="2715"/>
      <c r="Y77" s="2715"/>
      <c r="Z77" s="2715"/>
      <c r="AA77" s="2715"/>
      <c r="AB77" s="2715"/>
      <c r="AC77" s="2715"/>
    </row>
    <row r="78" spans="1:29" ht="15.75" thickTop="1">
      <c r="A78" s="482"/>
      <c r="B78" s="486" t="s">
        <v>1726</v>
      </c>
      <c r="C78" s="526" t="s">
        <v>1721</v>
      </c>
      <c r="D78" s="526" t="s">
        <v>1722</v>
      </c>
      <c r="E78" s="526" t="s">
        <v>1723</v>
      </c>
      <c r="F78" s="526" t="s">
        <v>1724</v>
      </c>
      <c r="G78" s="526" t="s">
        <v>1725</v>
      </c>
      <c r="H78" s="487"/>
      <c r="I78" s="487"/>
      <c r="J78" s="487"/>
      <c r="K78" s="488"/>
      <c r="L78" s="489"/>
      <c r="M78" s="490"/>
      <c r="N78" s="2743"/>
      <c r="O78" s="2743"/>
      <c r="P78" s="2734"/>
      <c r="Q78" s="2729"/>
      <c r="R78" s="2715"/>
      <c r="S78" s="2715"/>
      <c r="T78" s="2715"/>
      <c r="U78" s="2715"/>
      <c r="V78" s="2715"/>
      <c r="W78" s="2715"/>
      <c r="X78" s="2715"/>
      <c r="Y78" s="2715"/>
      <c r="Z78" s="2715"/>
      <c r="AA78" s="2715"/>
      <c r="AB78" s="2715"/>
      <c r="AC78" s="2715"/>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4"/>
      <c r="O79" s="2744"/>
      <c r="P79" s="2734"/>
      <c r="Q79" s="2729"/>
      <c r="R79" s="2715"/>
      <c r="S79" s="2715"/>
      <c r="T79" s="2715"/>
      <c r="U79" s="2715"/>
      <c r="V79" s="2715"/>
      <c r="W79" s="2715"/>
      <c r="X79" s="2715"/>
      <c r="Y79" s="2715"/>
      <c r="Z79" s="2715"/>
      <c r="AA79" s="2715"/>
      <c r="AB79" s="2715"/>
      <c r="AC79" s="2715"/>
    </row>
    <row r="80" spans="1:29" ht="15.75" thickTop="1">
      <c r="A80" s="482"/>
      <c r="B80" s="486" t="s">
        <v>1727</v>
      </c>
      <c r="C80" s="526" t="s">
        <v>1721</v>
      </c>
      <c r="D80" s="526" t="s">
        <v>1722</v>
      </c>
      <c r="E80" s="526" t="s">
        <v>1723</v>
      </c>
      <c r="F80" s="526" t="s">
        <v>1724</v>
      </c>
      <c r="G80" s="526" t="s">
        <v>1725</v>
      </c>
      <c r="H80" s="487"/>
      <c r="I80" s="487"/>
      <c r="J80" s="487"/>
      <c r="K80" s="488"/>
      <c r="L80" s="489"/>
      <c r="M80" s="490"/>
      <c r="N80" s="2743"/>
      <c r="O80" s="2743"/>
      <c r="P80" s="2734"/>
      <c r="Q80" s="2729"/>
      <c r="R80" s="2715"/>
      <c r="S80" s="2715"/>
      <c r="T80" s="2715"/>
      <c r="U80" s="2715"/>
      <c r="V80" s="2715"/>
      <c r="W80" s="2715"/>
      <c r="X80" s="2715"/>
      <c r="Y80" s="2715"/>
      <c r="Z80" s="2715"/>
      <c r="AA80" s="2715"/>
      <c r="AB80" s="2715"/>
      <c r="AC80" s="2715"/>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4"/>
      <c r="O81" s="2744"/>
      <c r="P81" s="2734"/>
      <c r="Q81" s="2729"/>
      <c r="R81" s="2715"/>
      <c r="S81" s="2715"/>
      <c r="T81" s="2715"/>
      <c r="U81" s="2715"/>
      <c r="V81" s="2715"/>
      <c r="W81" s="2715"/>
      <c r="X81" s="2715"/>
      <c r="Y81" s="2715"/>
      <c r="Z81" s="2715"/>
      <c r="AA81" s="2715"/>
      <c r="AB81" s="2715"/>
      <c r="AC81" s="2715"/>
    </row>
    <row r="82" spans="1:29" ht="15.75" thickTop="1">
      <c r="A82" s="482"/>
      <c r="B82" s="494" t="s">
        <v>1779</v>
      </c>
      <c r="C82" s="607" t="s">
        <v>1799</v>
      </c>
      <c r="D82" s="607" t="s">
        <v>1800</v>
      </c>
      <c r="E82" s="607" t="s">
        <v>1801</v>
      </c>
      <c r="F82" s="607" t="s">
        <v>1802</v>
      </c>
      <c r="G82" s="607" t="s">
        <v>1803</v>
      </c>
      <c r="H82" s="487"/>
      <c r="I82" s="487"/>
      <c r="J82" s="487"/>
      <c r="K82" s="487"/>
      <c r="L82" s="487"/>
      <c r="M82" s="1125"/>
      <c r="N82" s="2744"/>
      <c r="O82" s="2744"/>
      <c r="P82" s="2734"/>
      <c r="Q82" s="2729"/>
      <c r="R82" s="2715"/>
      <c r="S82" s="2715"/>
      <c r="T82" s="2715"/>
      <c r="U82" s="2715"/>
      <c r="V82" s="2715"/>
      <c r="W82" s="2715"/>
      <c r="X82" s="2715"/>
      <c r="Y82" s="2715"/>
      <c r="Z82" s="2715"/>
      <c r="AA82" s="2715"/>
      <c r="AB82" s="2715"/>
      <c r="AC82" s="2715"/>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4"/>
      <c r="O83" s="2744"/>
      <c r="P83" s="2734"/>
      <c r="Q83" s="2729"/>
      <c r="R83" s="2715"/>
      <c r="S83" s="2715"/>
      <c r="T83" s="2715"/>
      <c r="U83" s="2715"/>
      <c r="V83" s="2715"/>
      <c r="W83" s="2715"/>
      <c r="X83" s="2715"/>
      <c r="Y83" s="2715"/>
      <c r="Z83" s="2715"/>
      <c r="AA83" s="2715"/>
      <c r="AB83" s="2715"/>
      <c r="AC83" s="2715"/>
    </row>
    <row r="84" spans="1:29" ht="15.75" thickTop="1">
      <c r="A84" s="482"/>
      <c r="B84" s="486" t="s">
        <v>1733</v>
      </c>
      <c r="C84" s="526" t="s">
        <v>1721</v>
      </c>
      <c r="D84" s="526" t="s">
        <v>1722</v>
      </c>
      <c r="E84" s="526" t="s">
        <v>1723</v>
      </c>
      <c r="F84" s="526" t="s">
        <v>1724</v>
      </c>
      <c r="G84" s="526" t="s">
        <v>1725</v>
      </c>
      <c r="H84" s="487"/>
      <c r="I84" s="487"/>
      <c r="J84" s="487"/>
      <c r="K84" s="488"/>
      <c r="L84" s="489"/>
      <c r="M84" s="490"/>
      <c r="N84" s="2743"/>
      <c r="O84" s="2743"/>
      <c r="P84" s="2734"/>
      <c r="Q84" s="2729"/>
      <c r="R84" s="2715"/>
      <c r="S84" s="2715"/>
      <c r="T84" s="2715"/>
      <c r="U84" s="2715"/>
      <c r="V84" s="2715"/>
      <c r="W84" s="2715"/>
      <c r="X84" s="2715"/>
      <c r="Y84" s="2715"/>
      <c r="Z84" s="2715"/>
      <c r="AA84" s="2715"/>
      <c r="AB84" s="2715"/>
      <c r="AC84" s="2715"/>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4"/>
      <c r="O85" s="2744"/>
      <c r="P85" s="2734"/>
      <c r="Q85" s="2729"/>
      <c r="R85" s="2715"/>
      <c r="S85" s="2715"/>
      <c r="T85" s="2715"/>
      <c r="U85" s="2715"/>
      <c r="V85" s="2715"/>
      <c r="W85" s="2715"/>
      <c r="X85" s="2715"/>
      <c r="Y85" s="2715"/>
      <c r="Z85" s="2715"/>
      <c r="AA85" s="2715"/>
      <c r="AB85" s="2715"/>
      <c r="AC85" s="2715"/>
    </row>
    <row r="86" spans="1:29" s="107" customFormat="1" ht="15.75" thickTop="1">
      <c r="A86" s="527"/>
      <c r="B86" s="486" t="s">
        <v>1804</v>
      </c>
      <c r="C86" s="502"/>
      <c r="D86" s="502"/>
      <c r="E86" s="502"/>
      <c r="F86" s="502"/>
      <c r="G86" s="502"/>
      <c r="H86" s="502"/>
      <c r="I86" s="502"/>
      <c r="J86" s="502"/>
      <c r="K86" s="502"/>
      <c r="L86" s="528"/>
      <c r="M86" s="529"/>
      <c r="N86" s="2742"/>
      <c r="O86" s="2742"/>
      <c r="P86" s="2734"/>
      <c r="Q86" s="2729"/>
      <c r="R86" s="2652"/>
      <c r="S86" s="2652"/>
      <c r="T86" s="2652"/>
      <c r="U86" s="2652"/>
      <c r="V86" s="2652"/>
      <c r="W86" s="2652"/>
      <c r="X86" s="2652"/>
      <c r="Y86" s="2652"/>
      <c r="Z86" s="2652"/>
      <c r="AA86" s="2652"/>
      <c r="AB86" s="2652"/>
      <c r="AC86" s="2652"/>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7"/>
      <c r="B88" s="486" t="str">
        <f>B26</f>
        <v>平面位置/可视性</v>
      </c>
      <c r="C88" s="502"/>
      <c r="D88" s="502"/>
      <c r="E88" s="502"/>
      <c r="F88" s="1919"/>
      <c r="G88" s="502"/>
      <c r="H88" s="502"/>
      <c r="I88" s="502"/>
      <c r="J88" s="502"/>
      <c r="K88" s="502"/>
      <c r="L88" s="502"/>
      <c r="M88" s="529"/>
      <c r="N88" s="2742"/>
      <c r="O88" s="2742"/>
      <c r="P88" s="2734"/>
      <c r="Q88" s="2729"/>
      <c r="R88" s="2652"/>
      <c r="S88" s="2652"/>
      <c r="T88" s="2652"/>
      <c r="U88" s="2652"/>
      <c r="V88" s="2652"/>
      <c r="W88" s="2652"/>
      <c r="X88" s="2652"/>
      <c r="Y88" s="2652"/>
      <c r="Z88" s="2652"/>
      <c r="AA88" s="2652"/>
      <c r="AB88" s="2652"/>
      <c r="AC88" s="2652"/>
    </row>
    <row r="89" spans="1:29" s="107" customFormat="1" ht="15.75" thickBot="1">
      <c r="A89" s="527"/>
      <c r="B89" s="491"/>
      <c r="C89" s="508"/>
      <c r="D89" s="484"/>
      <c r="E89" s="484"/>
      <c r="F89" s="484"/>
      <c r="G89" s="484"/>
      <c r="H89" s="484"/>
      <c r="I89" s="484"/>
      <c r="J89" s="484"/>
      <c r="K89" s="484"/>
      <c r="L89" s="484"/>
      <c r="M89" s="484"/>
      <c r="N89" s="2744"/>
      <c r="O89" s="2744"/>
      <c r="P89" s="2734"/>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502"/>
      <c r="D90" s="502"/>
      <c r="E90" s="502"/>
      <c r="F90" s="502"/>
      <c r="G90" s="502"/>
      <c r="H90" s="503"/>
      <c r="I90" s="503"/>
      <c r="J90" s="503"/>
      <c r="K90" s="503"/>
      <c r="L90" s="504"/>
      <c r="M90" s="505"/>
      <c r="N90" s="2745"/>
      <c r="O90" s="2745"/>
      <c r="P90" s="2735"/>
      <c r="Q90" s="2736"/>
      <c r="R90" s="2737"/>
      <c r="S90" s="2737"/>
      <c r="T90" s="2737"/>
      <c r="U90" s="2737"/>
      <c r="V90" s="2737"/>
      <c r="W90" s="2737"/>
      <c r="X90" s="2737"/>
      <c r="Y90" s="2737"/>
      <c r="Z90" s="2737"/>
      <c r="AA90" s="2737"/>
      <c r="AB90" s="2737"/>
      <c r="AC90" s="2737"/>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2"/>
      <c r="B92" s="486" t="str">
        <f>B28</f>
        <v>楼层</v>
      </c>
      <c r="C92" s="502"/>
      <c r="D92" s="502"/>
      <c r="E92" s="502"/>
      <c r="F92" s="502"/>
      <c r="G92" s="502"/>
      <c r="H92" s="502"/>
      <c r="I92" s="502"/>
      <c r="J92" s="502"/>
      <c r="K92" s="502"/>
      <c r="L92" s="528"/>
      <c r="M92" s="529"/>
      <c r="N92" s="2743"/>
      <c r="O92" s="2743"/>
      <c r="P92" s="2734"/>
      <c r="Q92" s="2729"/>
      <c r="R92" s="2715"/>
      <c r="S92" s="2715"/>
      <c r="T92" s="2715"/>
      <c r="U92" s="2715"/>
      <c r="V92" s="2715"/>
      <c r="W92" s="2715"/>
      <c r="X92" s="2715"/>
      <c r="Y92" s="2715"/>
      <c r="Z92" s="2715"/>
      <c r="AA92" s="2715"/>
      <c r="AB92" s="2715"/>
      <c r="AC92" s="2715"/>
    </row>
    <row r="93" spans="1:29" ht="15.75" thickBot="1">
      <c r="A93" s="482"/>
      <c r="B93" s="491"/>
      <c r="C93" s="484"/>
      <c r="D93" s="484"/>
      <c r="E93" s="484"/>
      <c r="F93" s="484"/>
      <c r="G93" s="484"/>
      <c r="H93" s="484"/>
      <c r="I93" s="484"/>
      <c r="J93" s="484"/>
      <c r="K93" s="484"/>
      <c r="L93" s="484"/>
      <c r="M93" s="485"/>
      <c r="N93" s="2744"/>
      <c r="O93" s="2744"/>
      <c r="P93" s="2734"/>
      <c r="Q93" s="2729"/>
      <c r="R93" s="2715"/>
      <c r="S93" s="2715"/>
      <c r="T93" s="2715"/>
      <c r="U93" s="2715"/>
      <c r="V93" s="2715"/>
      <c r="W93" s="2715"/>
      <c r="X93" s="2715"/>
      <c r="Y93" s="2715"/>
      <c r="Z93" s="2715"/>
      <c r="AA93" s="2715"/>
      <c r="AB93" s="2715"/>
      <c r="AC93" s="2715"/>
    </row>
    <row r="94" spans="1:29" ht="15.75" thickTop="1">
      <c r="A94" s="482"/>
      <c r="B94" s="486">
        <f>B29</f>
        <v>111</v>
      </c>
      <c r="C94" s="502"/>
      <c r="D94" s="502"/>
      <c r="E94" s="502"/>
      <c r="F94" s="502"/>
      <c r="G94" s="531"/>
      <c r="H94" s="531"/>
      <c r="I94" s="531"/>
      <c r="J94" s="531"/>
      <c r="K94" s="532"/>
      <c r="L94" s="533"/>
      <c r="M94" s="534"/>
      <c r="N94" s="2743"/>
      <c r="O94" s="2743"/>
      <c r="P94" s="2734"/>
      <c r="Q94" s="2729"/>
      <c r="R94" s="2715"/>
      <c r="S94" s="2715"/>
      <c r="T94" s="2715"/>
      <c r="U94" s="2715"/>
      <c r="V94" s="2715"/>
      <c r="W94" s="2715"/>
      <c r="X94" s="2715"/>
      <c r="Y94" s="2715"/>
      <c r="Z94" s="2715"/>
      <c r="AA94" s="2715"/>
      <c r="AB94" s="2715"/>
      <c r="AC94" s="2715"/>
    </row>
    <row r="95" spans="1:29" ht="15.75" thickBot="1">
      <c r="A95" s="482"/>
      <c r="B95" s="491"/>
      <c r="C95" s="508"/>
      <c r="D95" s="484"/>
      <c r="E95" s="484"/>
      <c r="F95" s="484"/>
      <c r="G95" s="484"/>
      <c r="H95" s="484"/>
      <c r="I95" s="484"/>
      <c r="J95" s="484"/>
      <c r="K95" s="484"/>
      <c r="L95" s="484"/>
      <c r="M95" s="485"/>
      <c r="N95" s="2744"/>
      <c r="O95" s="2744"/>
      <c r="P95" s="2734"/>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3"/>
      <c r="O96" s="2743"/>
      <c r="P96" s="2734"/>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4"/>
      <c r="O97" s="2744"/>
      <c r="P97" s="2734"/>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3"/>
      <c r="O98" s="2743"/>
      <c r="P98" s="2734"/>
      <c r="Q98" s="2729"/>
      <c r="R98" s="2715"/>
      <c r="S98" s="2715"/>
      <c r="T98" s="2715"/>
      <c r="U98" s="2715"/>
      <c r="V98" s="2715"/>
      <c r="W98" s="2715"/>
      <c r="X98" s="2715"/>
      <c r="Y98" s="2715"/>
      <c r="Z98" s="2715"/>
      <c r="AA98" s="2715"/>
      <c r="AB98" s="2715"/>
      <c r="AC98" s="2715"/>
    </row>
    <row r="99" spans="1:29" ht="15.75" thickBot="1">
      <c r="A99" s="1920"/>
      <c r="B99" s="517"/>
      <c r="C99" s="518"/>
      <c r="D99" s="518"/>
      <c r="E99" s="518"/>
      <c r="F99" s="518"/>
      <c r="G99" s="539"/>
      <c r="H99" s="539"/>
      <c r="I99" s="539"/>
      <c r="J99" s="539"/>
      <c r="K99" s="539"/>
      <c r="L99" s="539"/>
      <c r="M99" s="540"/>
      <c r="N99" s="2744"/>
      <c r="O99" s="2744"/>
      <c r="P99" s="2734"/>
      <c r="Q99" s="2729"/>
      <c r="R99" s="2715"/>
      <c r="S99" s="2715"/>
      <c r="T99" s="2715"/>
      <c r="U99" s="2715"/>
      <c r="V99" s="2715"/>
      <c r="W99" s="2715"/>
      <c r="X99" s="2715"/>
      <c r="Y99" s="2715"/>
      <c r="Z99" s="2715"/>
      <c r="AA99" s="2715"/>
      <c r="AB99" s="2715"/>
      <c r="AC99" s="2715"/>
    </row>
    <row r="100" spans="1:29">
      <c r="A100" s="475" t="s">
        <v>1694</v>
      </c>
      <c r="B100" s="476" t="s">
        <v>1805</v>
      </c>
      <c r="C100" s="478"/>
      <c r="D100" s="478"/>
      <c r="E100" s="478"/>
      <c r="F100" s="478"/>
      <c r="G100" s="478"/>
      <c r="H100" s="478"/>
      <c r="I100" s="478"/>
      <c r="J100" s="478"/>
      <c r="K100" s="479"/>
      <c r="L100" s="480"/>
      <c r="M100" s="481"/>
      <c r="N100" s="2743"/>
      <c r="O100" s="2743"/>
      <c r="P100" s="2734"/>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41"/>
      <c r="B103" s="542"/>
      <c r="C103" s="543"/>
      <c r="D103" s="543"/>
      <c r="E103" s="543"/>
      <c r="F103" s="543"/>
      <c r="G103" s="543"/>
      <c r="H103" s="543"/>
      <c r="I103" s="543"/>
      <c r="J103" s="544"/>
      <c r="K103" s="544"/>
      <c r="L103" s="545"/>
      <c r="M103" s="546"/>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501"/>
      <c r="B104" s="491"/>
      <c r="C104" s="508"/>
      <c r="D104" s="484"/>
      <c r="E104" s="484"/>
      <c r="F104" s="484"/>
      <c r="G104" s="484"/>
      <c r="H104" s="484"/>
      <c r="I104" s="484"/>
      <c r="J104" s="484"/>
      <c r="K104" s="484"/>
      <c r="L104" s="484"/>
      <c r="M104" s="485"/>
      <c r="N104" s="2744"/>
      <c r="O104" s="2744"/>
      <c r="P104" s="2735"/>
      <c r="Q104" s="2736"/>
      <c r="R104" s="2737"/>
      <c r="S104" s="2737"/>
      <c r="T104" s="2737"/>
      <c r="U104" s="2737"/>
      <c r="V104" s="2737"/>
      <c r="W104" s="2737"/>
      <c r="X104" s="2737"/>
      <c r="Y104" s="2737"/>
      <c r="Z104" s="2737"/>
      <c r="AA104" s="2737"/>
      <c r="AB104" s="2737"/>
      <c r="AC104" s="2737"/>
    </row>
    <row r="105" spans="1:29" ht="15" thickTop="1">
      <c r="A105" s="547"/>
      <c r="B105" s="486" t="s">
        <v>1738</v>
      </c>
      <c r="C105" s="502"/>
      <c r="D105" s="502"/>
      <c r="E105" s="531"/>
      <c r="F105" s="531"/>
      <c r="G105" s="531"/>
      <c r="H105" s="531"/>
      <c r="I105" s="531"/>
      <c r="J105" s="531"/>
      <c r="K105" s="532"/>
      <c r="L105" s="533"/>
      <c r="M105" s="534"/>
      <c r="N105" s="2743"/>
      <c r="O105" s="2743"/>
      <c r="P105" s="2734"/>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7"/>
      <c r="B107" s="486" t="s">
        <v>1740</v>
      </c>
      <c r="C107" s="502"/>
      <c r="D107" s="502"/>
      <c r="E107" s="502"/>
      <c r="F107" s="531"/>
      <c r="G107" s="531"/>
      <c r="H107" s="531"/>
      <c r="I107" s="531"/>
      <c r="J107" s="531"/>
      <c r="K107" s="532"/>
      <c r="L107" s="533"/>
      <c r="M107" s="534"/>
      <c r="N107" s="2743"/>
      <c r="O107" s="2743"/>
      <c r="P107" s="2734"/>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3"/>
      <c r="O109" s="2743"/>
      <c r="P109" s="2734"/>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41"/>
      <c r="B112" s="486" t="s">
        <v>1742</v>
      </c>
      <c r="C112" s="502"/>
      <c r="D112" s="502"/>
      <c r="E112" s="502"/>
      <c r="F112" s="502"/>
      <c r="G112" s="502"/>
      <c r="H112" s="531"/>
      <c r="I112" s="531"/>
      <c r="J112" s="531"/>
      <c r="K112" s="532"/>
      <c r="L112" s="533"/>
      <c r="M112" s="534"/>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7"/>
      <c r="B114" s="486" t="s">
        <v>1806</v>
      </c>
      <c r="C114" s="502"/>
      <c r="D114" s="502"/>
      <c r="E114" s="531"/>
      <c r="F114" s="531"/>
      <c r="G114" s="531"/>
      <c r="H114" s="531"/>
      <c r="I114" s="531"/>
      <c r="J114" s="531"/>
      <c r="K114" s="532"/>
      <c r="L114" s="533"/>
      <c r="M114" s="534"/>
      <c r="N114" s="2743"/>
      <c r="O114" s="2743"/>
      <c r="P114" s="2734"/>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7"/>
      <c r="B116" s="486" t="s">
        <v>1807</v>
      </c>
      <c r="C116" s="502"/>
      <c r="D116" s="502"/>
      <c r="E116" s="502"/>
      <c r="F116" s="502"/>
      <c r="G116" s="502"/>
      <c r="H116" s="531"/>
      <c r="I116" s="531"/>
      <c r="J116" s="531"/>
      <c r="K116" s="532"/>
      <c r="L116" s="533"/>
      <c r="M116" s="534"/>
      <c r="N116" s="2743"/>
      <c r="O116" s="2743"/>
      <c r="P116" s="2734"/>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4"/>
      <c r="O117" s="2744"/>
      <c r="P117" s="2734"/>
      <c r="Q117" s="2729"/>
      <c r="R117" s="2715"/>
      <c r="S117" s="2715"/>
      <c r="T117" s="2715"/>
      <c r="U117" s="2715"/>
      <c r="V117" s="2715"/>
      <c r="W117" s="2715"/>
      <c r="X117" s="2715"/>
      <c r="Y117" s="2715"/>
      <c r="Z117" s="2715"/>
      <c r="AA117" s="2715"/>
      <c r="AB117" s="2715"/>
      <c r="AC117" s="2715"/>
    </row>
    <row r="118" spans="1:29" ht="15" thickTop="1">
      <c r="A118" s="547"/>
      <c r="B118" s="486" t="s">
        <v>1808</v>
      </c>
      <c r="C118" s="574"/>
      <c r="D118" s="574"/>
      <c r="E118" s="574"/>
      <c r="F118" s="574"/>
      <c r="G118" s="574"/>
      <c r="H118" s="503"/>
      <c r="I118" s="503"/>
      <c r="J118" s="503"/>
      <c r="K118" s="503"/>
      <c r="L118" s="504"/>
      <c r="M118" s="505"/>
      <c r="N118" s="2743"/>
      <c r="O118" s="2743"/>
      <c r="P118" s="2734"/>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41"/>
      <c r="B120" s="486" t="s">
        <v>1809</v>
      </c>
      <c r="C120" s="531"/>
      <c r="D120" s="531"/>
      <c r="E120" s="531"/>
      <c r="F120" s="531"/>
      <c r="G120" s="503"/>
      <c r="H120" s="503"/>
      <c r="I120" s="503"/>
      <c r="J120" s="503"/>
      <c r="K120" s="503"/>
      <c r="L120" s="504"/>
      <c r="M120" s="505"/>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7"/>
      <c r="B122" s="486" t="s">
        <v>1744</v>
      </c>
      <c r="C122" s="502"/>
      <c r="D122" s="502"/>
      <c r="E122" s="502"/>
      <c r="F122" s="531"/>
      <c r="G122" s="531"/>
      <c r="H122" s="531"/>
      <c r="I122" s="531"/>
      <c r="J122" s="531"/>
      <c r="K122" s="532"/>
      <c r="L122" s="533"/>
      <c r="M122" s="534"/>
      <c r="N122" s="2743"/>
      <c r="O122" s="2743"/>
      <c r="P122" s="2734"/>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3"/>
      <c r="O124" s="2743"/>
      <c r="P124" s="2735"/>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41"/>
      <c r="B126" s="486">
        <f>B44</f>
        <v>111</v>
      </c>
      <c r="C126" s="502"/>
      <c r="D126" s="502"/>
      <c r="E126" s="502"/>
      <c r="F126" s="502"/>
      <c r="G126" s="502"/>
      <c r="H126" s="503"/>
      <c r="I126" s="503"/>
      <c r="J126" s="503"/>
      <c r="K126" s="503"/>
      <c r="L126" s="504"/>
      <c r="M126" s="505"/>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501"/>
      <c r="B127" s="491"/>
      <c r="C127" s="508"/>
      <c r="D127" s="484"/>
      <c r="E127" s="484"/>
      <c r="F127" s="484"/>
      <c r="G127" s="508"/>
      <c r="H127" s="510"/>
      <c r="I127" s="510"/>
      <c r="J127" s="510"/>
      <c r="K127" s="510"/>
      <c r="L127" s="510"/>
      <c r="M127" s="511"/>
      <c r="N127" s="2745"/>
      <c r="O127" s="2745"/>
      <c r="P127" s="2735"/>
      <c r="Q127" s="2736"/>
      <c r="R127" s="2737"/>
      <c r="S127" s="2737"/>
      <c r="T127" s="2737"/>
      <c r="U127" s="2737"/>
      <c r="V127" s="2737"/>
      <c r="W127" s="2737"/>
      <c r="X127" s="2737"/>
      <c r="Y127" s="2737"/>
      <c r="Z127" s="2737"/>
      <c r="AA127" s="2737"/>
      <c r="AB127" s="2737"/>
      <c r="AC127" s="2737"/>
    </row>
    <row r="128" spans="1:29" ht="15" thickTop="1">
      <c r="A128" s="547"/>
      <c r="B128" s="486">
        <f>B45</f>
        <v>111</v>
      </c>
      <c r="C128" s="502"/>
      <c r="D128" s="502"/>
      <c r="E128" s="502"/>
      <c r="F128" s="502"/>
      <c r="G128" s="531"/>
      <c r="H128" s="531"/>
      <c r="I128" s="531"/>
      <c r="J128" s="531"/>
      <c r="K128" s="532"/>
      <c r="L128" s="533"/>
      <c r="M128" s="534"/>
      <c r="N128" s="2743"/>
      <c r="O128" s="2743"/>
      <c r="P128" s="2734"/>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4"/>
      <c r="O129" s="2744"/>
      <c r="P129" s="2734"/>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3"/>
      <c r="O130" s="2743"/>
      <c r="P130" s="2734"/>
      <c r="Q130" s="2729"/>
      <c r="R130" s="2715"/>
      <c r="S130" s="2715"/>
      <c r="T130" s="2715"/>
      <c r="U130" s="2715"/>
      <c r="V130" s="2715"/>
      <c r="W130" s="2715"/>
      <c r="X130" s="2715"/>
      <c r="Y130" s="2715"/>
      <c r="Z130" s="2715"/>
      <c r="AA130" s="2715"/>
      <c r="AB130" s="2715"/>
      <c r="AC130" s="2715"/>
    </row>
    <row r="131" spans="1:29" ht="15.75" thickBot="1">
      <c r="A131" s="1920"/>
      <c r="B131" s="517"/>
      <c r="C131" s="518"/>
      <c r="D131" s="518"/>
      <c r="E131" s="518"/>
      <c r="F131" s="518"/>
      <c r="G131" s="539"/>
      <c r="H131" s="539"/>
      <c r="I131" s="539"/>
      <c r="J131" s="539"/>
      <c r="K131" s="539"/>
      <c r="L131" s="539"/>
      <c r="M131" s="540"/>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1810</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185933.89999999997</v>
      </c>
      <c r="E3" s="1946"/>
      <c r="F3" s="905"/>
      <c r="G3" s="904"/>
      <c r="H3" s="904"/>
      <c r="I3" s="904"/>
      <c r="J3" s="904"/>
      <c r="K3" s="906"/>
      <c r="L3" s="2724"/>
      <c r="M3" s="2725"/>
      <c r="N3" s="2725"/>
      <c r="O3" s="2725"/>
      <c r="P3" s="698"/>
      <c r="Q3" s="698"/>
      <c r="R3" s="698"/>
      <c r="S3" s="698"/>
      <c r="T3" s="698"/>
      <c r="U3" s="698"/>
      <c r="V3" s="698"/>
      <c r="W3" s="698"/>
      <c r="X3" s="698"/>
      <c r="Y3" s="698"/>
      <c r="Z3" s="698"/>
      <c r="AA3" s="698"/>
      <c r="AB3" s="698"/>
      <c r="AC3" s="699"/>
    </row>
    <row r="4" spans="1:29" ht="15">
      <c r="A4" s="354" t="s">
        <v>1769</v>
      </c>
      <c r="B4" s="355"/>
      <c r="C4" s="3912" t="s">
        <v>1770</v>
      </c>
      <c r="D4" s="3913"/>
      <c r="E4" s="3914" t="s">
        <v>1771</v>
      </c>
      <c r="F4" s="3915"/>
      <c r="G4" s="3912" t="s">
        <v>1772</v>
      </c>
      <c r="H4" s="3913"/>
      <c r="I4" s="3912" t="s">
        <v>1773</v>
      </c>
      <c r="J4" s="3913"/>
      <c r="K4" s="558" t="s">
        <v>1774</v>
      </c>
      <c r="L4" s="2705"/>
      <c r="M4" s="2706"/>
      <c r="N4" s="2706"/>
      <c r="O4" s="2706"/>
      <c r="P4" s="3981" t="s">
        <v>1775</v>
      </c>
      <c r="Q4" s="3982"/>
      <c r="R4" s="3976" t="s">
        <v>1771</v>
      </c>
      <c r="S4" s="3977"/>
      <c r="T4" s="3976" t="s">
        <v>1772</v>
      </c>
      <c r="U4" s="3977"/>
      <c r="V4" s="3985" t="s">
        <v>1773</v>
      </c>
      <c r="W4" s="3985"/>
      <c r="X4" s="1950"/>
      <c r="Y4" s="3976" t="s">
        <v>1775</v>
      </c>
      <c r="Z4" s="3977"/>
      <c r="AA4" s="3975" t="s">
        <v>1771</v>
      </c>
      <c r="AB4" s="3975" t="s">
        <v>1772</v>
      </c>
      <c r="AC4" s="3978" t="s">
        <v>1773</v>
      </c>
    </row>
    <row r="5" spans="1:29" ht="15">
      <c r="A5" s="357"/>
      <c r="B5" s="358"/>
      <c r="C5" s="3905" t="s">
        <v>1673</v>
      </c>
      <c r="D5" s="3906"/>
      <c r="E5" s="3903" t="s">
        <v>1674</v>
      </c>
      <c r="F5" s="3904"/>
      <c r="G5" s="3905" t="s">
        <v>1675</v>
      </c>
      <c r="H5" s="3906"/>
      <c r="I5" s="3905" t="s">
        <v>1676</v>
      </c>
      <c r="J5" s="3906"/>
      <c r="K5" s="558"/>
      <c r="L5" s="2705"/>
      <c r="M5" s="2706"/>
      <c r="N5" s="2706"/>
      <c r="O5" s="2706"/>
      <c r="P5" s="3983"/>
      <c r="Q5" s="3919"/>
      <c r="R5" s="3901"/>
      <c r="S5" s="3902"/>
      <c r="T5" s="3901"/>
      <c r="U5" s="3902"/>
      <c r="V5" s="3924"/>
      <c r="W5" s="3924"/>
      <c r="X5" s="1350"/>
      <c r="Y5" s="3901"/>
      <c r="Z5" s="3902"/>
      <c r="AA5" s="3895"/>
      <c r="AB5" s="3895"/>
      <c r="AC5" s="3979"/>
    </row>
    <row r="6" spans="1:29" ht="15.75" thickBot="1">
      <c r="A6" s="359"/>
      <c r="B6" s="360"/>
      <c r="C6" s="3907" t="s">
        <v>1677</v>
      </c>
      <c r="D6" s="3908"/>
      <c r="E6" s="3909" t="s">
        <v>1677</v>
      </c>
      <c r="F6" s="3910"/>
      <c r="G6" s="3907" t="s">
        <v>1677</v>
      </c>
      <c r="H6" s="3908"/>
      <c r="I6" s="3907" t="s">
        <v>1677</v>
      </c>
      <c r="J6" s="3908"/>
      <c r="K6" s="558" t="s">
        <v>1678</v>
      </c>
      <c r="L6" s="2705"/>
      <c r="M6" s="2706"/>
      <c r="N6" s="2706"/>
      <c r="O6" s="2706"/>
      <c r="P6" s="3984"/>
      <c r="Q6" s="3921"/>
      <c r="R6" s="3901"/>
      <c r="S6" s="3902"/>
      <c r="T6" s="3922"/>
      <c r="U6" s="3923"/>
      <c r="V6" s="3924"/>
      <c r="W6" s="3924"/>
      <c r="X6" s="1350"/>
      <c r="Y6" s="3922"/>
      <c r="Z6" s="3923"/>
      <c r="AA6" s="3896"/>
      <c r="AB6" s="3896"/>
      <c r="AC6" s="3980"/>
    </row>
    <row r="7" spans="1:29" s="107" customFormat="1" ht="15.75" thickBot="1">
      <c r="A7" s="361" t="s">
        <v>1679</v>
      </c>
      <c r="B7" s="362"/>
      <c r="C7" s="363">
        <f>'数据-取费表'!B2</f>
        <v>44999</v>
      </c>
      <c r="D7" s="364">
        <v>100</v>
      </c>
      <c r="E7" s="365"/>
      <c r="F7" s="366">
        <f>SUMIF(59:59,YEAR(E7)&amp;"-"&amp;MONTH(E7),60:60)</f>
        <v>0</v>
      </c>
      <c r="G7" s="365"/>
      <c r="H7" s="364">
        <f>SUMIF(59:59,YEAR(G7)&amp;"-"&amp;MONTH(G7),60:60)</f>
        <v>0</v>
      </c>
      <c r="I7" s="365"/>
      <c r="J7" s="364">
        <f>SUMIF(59:59,YEAR(I7)&amp;"-"&amp;MONTH(I7),60:60)</f>
        <v>0</v>
      </c>
      <c r="K7" s="559"/>
      <c r="L7" s="2707"/>
      <c r="M7" s="2708"/>
      <c r="N7" s="2708"/>
      <c r="O7" s="2708"/>
      <c r="P7" s="3986" t="s">
        <v>1680</v>
      </c>
      <c r="Q7" s="3925"/>
      <c r="R7" s="700" t="s">
        <v>14</v>
      </c>
      <c r="S7" s="701">
        <f t="shared" ref="S7:S15" si="0">F7</f>
        <v>0</v>
      </c>
      <c r="T7" s="700" t="s">
        <v>14</v>
      </c>
      <c r="U7" s="701">
        <f t="shared" ref="U7:U15" si="1">H7</f>
        <v>0</v>
      </c>
      <c r="V7" s="700" t="s">
        <v>14</v>
      </c>
      <c r="W7" s="701">
        <f t="shared" ref="W7:W15" si="2">J7</f>
        <v>0</v>
      </c>
      <c r="X7" s="702"/>
      <c r="Y7" s="3897" t="s">
        <v>1680</v>
      </c>
      <c r="Z7" s="3898"/>
      <c r="AA7" s="703" t="e">
        <f>D7/F7</f>
        <v>#DIV/0!</v>
      </c>
      <c r="AB7" s="703" t="e">
        <f>D7/H7</f>
        <v>#DIV/0!</v>
      </c>
      <c r="AC7" s="1951"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986" t="s">
        <v>1683</v>
      </c>
      <c r="Q8" s="3898"/>
      <c r="R8" s="700" t="s">
        <v>14</v>
      </c>
      <c r="S8" s="701">
        <f t="shared" si="0"/>
        <v>100</v>
      </c>
      <c r="T8" s="700" t="s">
        <v>14</v>
      </c>
      <c r="U8" s="701">
        <f t="shared" si="1"/>
        <v>100</v>
      </c>
      <c r="V8" s="700" t="s">
        <v>14</v>
      </c>
      <c r="W8" s="701">
        <f t="shared" si="2"/>
        <v>100</v>
      </c>
      <c r="X8" s="702"/>
      <c r="Y8" s="3897" t="s">
        <v>1683</v>
      </c>
      <c r="Z8" s="3898"/>
      <c r="AA8" s="703">
        <f t="shared" ref="AA8:AA47" si="3">D8/F8</f>
        <v>1</v>
      </c>
      <c r="AB8" s="703">
        <f t="shared" ref="AB8:AB47" si="4">D8/H8</f>
        <v>1</v>
      </c>
      <c r="AC8" s="1951">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935"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1951">
        <f t="shared" si="5"/>
        <v>1</v>
      </c>
    </row>
    <row r="10" spans="1:29" s="377" customFormat="1" ht="27">
      <c r="A10" s="373"/>
      <c r="B10" s="374" t="s">
        <v>1688</v>
      </c>
      <c r="C10" s="3420"/>
      <c r="D10" s="126">
        <v>100</v>
      </c>
      <c r="E10" s="3420"/>
      <c r="F10" s="126">
        <f>SUMIF(66:66,E10,67:67)-SUMIF(66:66,C10,67:67)+100</f>
        <v>100</v>
      </c>
      <c r="G10" s="3421"/>
      <c r="H10" s="126">
        <f>SUMIF(66:66,G10,67:67)-SUMIF(66:66,C10,67:67)+100</f>
        <v>100</v>
      </c>
      <c r="I10" s="3420"/>
      <c r="J10" s="126">
        <f>SUMIF(66:66,I10,67:67)-SUMIF(66:66,C10,67:67)+100</f>
        <v>100</v>
      </c>
      <c r="K10" s="559"/>
      <c r="L10" s="2709"/>
      <c r="M10" s="2710"/>
      <c r="N10" s="2710"/>
      <c r="O10" s="2710"/>
      <c r="P10" s="3935"/>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1951">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935"/>
      <c r="Q11" s="1338" t="str">
        <f t="shared" si="6"/>
        <v>容积率</v>
      </c>
      <c r="R11" s="700" t="s">
        <v>14</v>
      </c>
      <c r="S11" s="701">
        <f t="shared" si="0"/>
        <v>100</v>
      </c>
      <c r="T11" s="700" t="s">
        <v>14</v>
      </c>
      <c r="U11" s="701">
        <f t="shared" si="1"/>
        <v>100</v>
      </c>
      <c r="V11" s="700" t="s">
        <v>14</v>
      </c>
      <c r="W11" s="701">
        <f t="shared" si="2"/>
        <v>100</v>
      </c>
      <c r="X11" s="702"/>
      <c r="Y11" s="3851"/>
      <c r="Z11" s="52" t="str">
        <f t="shared" si="7"/>
        <v>容积率</v>
      </c>
      <c r="AA11" s="703">
        <f t="shared" si="3"/>
        <v>1</v>
      </c>
      <c r="AB11" s="703">
        <f t="shared" si="4"/>
        <v>1</v>
      </c>
      <c r="AC11" s="1951">
        <f t="shared" si="5"/>
        <v>1</v>
      </c>
    </row>
    <row r="12" spans="1:29" s="107" customFormat="1" ht="15">
      <c r="A12" s="381"/>
      <c r="B12" s="1887">
        <v>111</v>
      </c>
      <c r="C12" s="382"/>
      <c r="D12" s="383">
        <v>100</v>
      </c>
      <c r="E12" s="382"/>
      <c r="F12" s="126">
        <f>SUMIF(71:71,E12,72:72)-SUMIF(71:71,C12,72:72)+100</f>
        <v>100</v>
      </c>
      <c r="G12" s="1952"/>
      <c r="H12" s="126">
        <f>SUMIF(71:71,G12,72:72)-SUMIF(71:71,C12,72:72)+100</f>
        <v>100</v>
      </c>
      <c r="I12" s="382"/>
      <c r="J12" s="126">
        <f>SUMIF(71:71,I12,72:72)-SUMIF(71:71,C12,72:72)+100</f>
        <v>100</v>
      </c>
      <c r="K12" s="561"/>
      <c r="L12" s="2707"/>
      <c r="M12" s="2708"/>
      <c r="N12" s="2708"/>
      <c r="O12" s="2708"/>
      <c r="P12" s="3935"/>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1951">
        <f>D12/J12</f>
        <v>1</v>
      </c>
    </row>
    <row r="13" spans="1:29" ht="15">
      <c r="A13" s="378"/>
      <c r="B13" s="1887">
        <v>111</v>
      </c>
      <c r="C13" s="384"/>
      <c r="D13" s="385">
        <v>100</v>
      </c>
      <c r="E13" s="382"/>
      <c r="F13" s="126">
        <f>SUMIF(73:73,E13,74:74)-SUMIF(73:73,C13,74:74)+100</f>
        <v>100</v>
      </c>
      <c r="G13" s="1952"/>
      <c r="H13" s="385">
        <f>SUMIF(73:73,G13,74:74)-SUMIF(73:73,C13,74:74)+100</f>
        <v>100</v>
      </c>
      <c r="I13" s="382"/>
      <c r="J13" s="385">
        <f>SUMIF(73:73,I13,74:74)-SUMIF(73:73,C13,74:74)+100</f>
        <v>100</v>
      </c>
      <c r="K13" s="561"/>
      <c r="L13" s="2712"/>
      <c r="M13" s="2706"/>
      <c r="N13" s="2706"/>
      <c r="O13" s="2706"/>
      <c r="P13" s="3935"/>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1951">
        <f t="shared" si="5"/>
        <v>1</v>
      </c>
    </row>
    <row r="14" spans="1:29" ht="15.75" thickBot="1">
      <c r="A14" s="386"/>
      <c r="B14" s="1889">
        <v>111</v>
      </c>
      <c r="C14" s="387"/>
      <c r="D14" s="388">
        <v>100</v>
      </c>
      <c r="E14" s="575"/>
      <c r="F14" s="388">
        <f>SUMIF(75:75,E14,76:76)-SUMIF(75:75,C14,76:76)+100</f>
        <v>100</v>
      </c>
      <c r="G14" s="1952"/>
      <c r="H14" s="388">
        <f>SUMIF(75:75,G14,76:76)-SUMIF(75:75,C14,76:76)+100</f>
        <v>100</v>
      </c>
      <c r="I14" s="382"/>
      <c r="J14" s="388">
        <f>SUMIF(75:75,I14,76:76)-SUMIF(75:75,C14,76:76)+100</f>
        <v>100</v>
      </c>
      <c r="K14" s="561"/>
      <c r="L14" s="2712"/>
      <c r="M14" s="2706"/>
      <c r="N14" s="2706"/>
      <c r="O14" s="2706"/>
      <c r="P14" s="3935"/>
      <c r="Q14" s="1338">
        <f t="shared" si="6"/>
        <v>111</v>
      </c>
      <c r="R14" s="700" t="s">
        <v>14</v>
      </c>
      <c r="S14" s="701">
        <f t="shared" si="0"/>
        <v>100</v>
      </c>
      <c r="T14" s="700" t="s">
        <v>14</v>
      </c>
      <c r="U14" s="701">
        <f t="shared" si="1"/>
        <v>100</v>
      </c>
      <c r="V14" s="700" t="s">
        <v>14</v>
      </c>
      <c r="W14" s="701">
        <f t="shared" si="2"/>
        <v>100</v>
      </c>
      <c r="X14" s="702"/>
      <c r="Y14" s="3851"/>
      <c r="Z14" s="52">
        <f t="shared" si="7"/>
        <v>111</v>
      </c>
      <c r="AA14" s="703">
        <f t="shared" si="3"/>
        <v>1</v>
      </c>
      <c r="AB14" s="703">
        <f t="shared" si="4"/>
        <v>1</v>
      </c>
      <c r="AC14" s="1951">
        <f t="shared" si="5"/>
        <v>1</v>
      </c>
    </row>
    <row r="15" spans="1:29" ht="15">
      <c r="A15" s="390" t="s">
        <v>1690</v>
      </c>
      <c r="B15" s="576" t="s">
        <v>1811</v>
      </c>
      <c r="C15" s="1953">
        <f>估价对象房地状况!C5</f>
        <v>0</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973" t="s">
        <v>1691</v>
      </c>
      <c r="Q15" s="1347" t="str">
        <f t="shared" si="6"/>
        <v>办公集聚程度</v>
      </c>
      <c r="R15" s="704" t="s">
        <v>14</v>
      </c>
      <c r="S15" s="705">
        <f t="shared" si="0"/>
        <v>100</v>
      </c>
      <c r="T15" s="704" t="s">
        <v>14</v>
      </c>
      <c r="U15" s="705">
        <f t="shared" si="1"/>
        <v>100</v>
      </c>
      <c r="V15" s="704" t="s">
        <v>14</v>
      </c>
      <c r="W15" s="705">
        <f t="shared" si="2"/>
        <v>100</v>
      </c>
      <c r="X15" s="1350"/>
      <c r="Y15" s="3926" t="s">
        <v>1691</v>
      </c>
      <c r="Z15" s="1351" t="str">
        <f t="shared" si="7"/>
        <v>办公集聚程度</v>
      </c>
      <c r="AA15" s="1348">
        <f t="shared" si="3"/>
        <v>1</v>
      </c>
      <c r="AB15" s="1348">
        <f t="shared" si="4"/>
        <v>1</v>
      </c>
      <c r="AC15" s="1954">
        <f t="shared" si="5"/>
        <v>1</v>
      </c>
    </row>
    <row r="16" spans="1:29" ht="15">
      <c r="A16" s="378"/>
      <c r="B16" s="577"/>
      <c r="C16" s="1898"/>
      <c r="D16" s="398"/>
      <c r="E16" s="397"/>
      <c r="F16" s="398"/>
      <c r="G16" s="1898"/>
      <c r="H16" s="400"/>
      <c r="I16" s="397"/>
      <c r="J16" s="398"/>
      <c r="K16" s="563"/>
      <c r="L16" s="2712"/>
      <c r="M16" s="2706"/>
      <c r="N16" s="2706"/>
      <c r="O16" s="2706"/>
      <c r="P16" s="3974"/>
      <c r="Q16" s="1347"/>
      <c r="R16" s="704"/>
      <c r="S16" s="705"/>
      <c r="T16" s="704"/>
      <c r="U16" s="705"/>
      <c r="V16" s="704"/>
      <c r="W16" s="705"/>
      <c r="X16" s="1350"/>
      <c r="Y16" s="3927"/>
      <c r="Z16" s="1351"/>
      <c r="AA16" s="1348">
        <v>1</v>
      </c>
      <c r="AB16" s="1348">
        <v>1</v>
      </c>
      <c r="AC16" s="1954">
        <v>1</v>
      </c>
    </row>
    <row r="17" spans="1:29" ht="71.25">
      <c r="A17" s="378"/>
      <c r="B17" s="578" t="s">
        <v>1259</v>
      </c>
      <c r="C17" s="1955"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974"/>
      <c r="Q17" s="1347" t="str">
        <f>B17</f>
        <v>交通便捷度</v>
      </c>
      <c r="R17" s="704" t="s">
        <v>14</v>
      </c>
      <c r="S17" s="705">
        <f>F17</f>
        <v>100</v>
      </c>
      <c r="T17" s="704" t="s">
        <v>14</v>
      </c>
      <c r="U17" s="705">
        <f>H17</f>
        <v>100</v>
      </c>
      <c r="V17" s="704" t="s">
        <v>14</v>
      </c>
      <c r="W17" s="705">
        <f>J17</f>
        <v>100</v>
      </c>
      <c r="X17" s="1350"/>
      <c r="Y17" s="3927"/>
      <c r="Z17" s="1351" t="str">
        <f>Q17</f>
        <v>交通便捷度</v>
      </c>
      <c r="AA17" s="1348">
        <f t="shared" si="3"/>
        <v>1</v>
      </c>
      <c r="AB17" s="1348">
        <f t="shared" si="4"/>
        <v>1</v>
      </c>
      <c r="AC17" s="1954">
        <f t="shared" si="5"/>
        <v>1</v>
      </c>
    </row>
    <row r="18" spans="1:29" ht="15">
      <c r="A18" s="378"/>
      <c r="B18" s="579"/>
      <c r="C18" s="1956"/>
      <c r="D18" s="400"/>
      <c r="E18" s="1896"/>
      <c r="F18" s="400"/>
      <c r="G18" s="1897"/>
      <c r="H18" s="398"/>
      <c r="I18" s="1897"/>
      <c r="J18" s="398"/>
      <c r="K18" s="563"/>
      <c r="L18" s="2712"/>
      <c r="M18" s="2706"/>
      <c r="N18" s="2706"/>
      <c r="O18" s="2706"/>
      <c r="P18" s="3974"/>
      <c r="Q18" s="1347"/>
      <c r="R18" s="704"/>
      <c r="S18" s="705"/>
      <c r="T18" s="704"/>
      <c r="U18" s="705"/>
      <c r="V18" s="704"/>
      <c r="W18" s="705"/>
      <c r="X18" s="1350"/>
      <c r="Y18" s="3927"/>
      <c r="Z18" s="1351"/>
      <c r="AA18" s="1348">
        <v>1</v>
      </c>
      <c r="AB18" s="1348">
        <v>1</v>
      </c>
      <c r="AC18" s="1954">
        <v>1</v>
      </c>
    </row>
    <row r="19" spans="1:29" ht="42.75">
      <c r="A19" s="378"/>
      <c r="B19" s="578" t="s">
        <v>1812</v>
      </c>
      <c r="C19" s="1955" t="str">
        <f>估价对象房地状况!C7</f>
        <v>估价对象所在区域公共配套设施齐备情况一般</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974"/>
      <c r="Q19" s="1347" t="str">
        <f>B19</f>
        <v>公共配套设施</v>
      </c>
      <c r="R19" s="704" t="s">
        <v>14</v>
      </c>
      <c r="S19" s="705">
        <f>F19</f>
        <v>100</v>
      </c>
      <c r="T19" s="704" t="s">
        <v>14</v>
      </c>
      <c r="U19" s="705">
        <f>H19</f>
        <v>100</v>
      </c>
      <c r="V19" s="704" t="s">
        <v>14</v>
      </c>
      <c r="W19" s="705">
        <f>J19</f>
        <v>100</v>
      </c>
      <c r="X19" s="1350"/>
      <c r="Y19" s="3927"/>
      <c r="Z19" s="1351" t="str">
        <f>Q19</f>
        <v>公共配套设施</v>
      </c>
      <c r="AA19" s="1348">
        <f t="shared" si="3"/>
        <v>1</v>
      </c>
      <c r="AB19" s="1348">
        <f t="shared" si="4"/>
        <v>1</v>
      </c>
      <c r="AC19" s="1954">
        <f t="shared" si="5"/>
        <v>1</v>
      </c>
    </row>
    <row r="20" spans="1:29" ht="15">
      <c r="A20" s="378"/>
      <c r="B20" s="579"/>
      <c r="C20" s="1898"/>
      <c r="D20" s="398"/>
      <c r="E20" s="1891"/>
      <c r="F20" s="398"/>
      <c r="G20" s="1892"/>
      <c r="H20" s="398"/>
      <c r="I20" s="1892"/>
      <c r="J20" s="398"/>
      <c r="K20" s="563"/>
      <c r="L20" s="2712"/>
      <c r="M20" s="2706"/>
      <c r="N20" s="2706"/>
      <c r="O20" s="2706"/>
      <c r="P20" s="3974"/>
      <c r="Q20" s="1347"/>
      <c r="R20" s="704"/>
      <c r="S20" s="705"/>
      <c r="T20" s="704"/>
      <c r="U20" s="705"/>
      <c r="V20" s="704"/>
      <c r="W20" s="705"/>
      <c r="X20" s="1350"/>
      <c r="Y20" s="3927"/>
      <c r="Z20" s="1351"/>
      <c r="AA20" s="1348">
        <v>1</v>
      </c>
      <c r="AB20" s="1348">
        <v>1</v>
      </c>
      <c r="AC20" s="1954">
        <v>1</v>
      </c>
    </row>
    <row r="21" spans="1:29" ht="28.5">
      <c r="A21" s="378"/>
      <c r="B21" s="580" t="s">
        <v>1813</v>
      </c>
      <c r="C21" s="1955"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974"/>
      <c r="Q21" s="1347" t="str">
        <f>B21</f>
        <v>基础设施水平</v>
      </c>
      <c r="R21" s="704" t="s">
        <v>14</v>
      </c>
      <c r="S21" s="705">
        <f>F21</f>
        <v>100</v>
      </c>
      <c r="T21" s="704" t="s">
        <v>14</v>
      </c>
      <c r="U21" s="705">
        <f>H21</f>
        <v>100</v>
      </c>
      <c r="V21" s="704" t="s">
        <v>14</v>
      </c>
      <c r="W21" s="705">
        <f>J21</f>
        <v>100</v>
      </c>
      <c r="X21" s="1350"/>
      <c r="Y21" s="3927"/>
      <c r="Z21" s="1351" t="str">
        <f>Q21</f>
        <v>基础设施水平</v>
      </c>
      <c r="AA21" s="1348">
        <f t="shared" ref="AA21" si="8">D21/F21</f>
        <v>1</v>
      </c>
      <c r="AB21" s="1348">
        <f t="shared" ref="AB21" si="9">D21/H21</f>
        <v>1</v>
      </c>
      <c r="AC21" s="1954">
        <f t="shared" ref="AC21" si="10">D21/J21</f>
        <v>1</v>
      </c>
    </row>
    <row r="22" spans="1:29" ht="15">
      <c r="A22" s="378"/>
      <c r="B22" s="580"/>
      <c r="C22" s="1956"/>
      <c r="D22" s="398"/>
      <c r="E22" s="397"/>
      <c r="F22" s="398"/>
      <c r="G22" s="1898"/>
      <c r="H22" s="398"/>
      <c r="I22" s="1898"/>
      <c r="J22" s="398"/>
      <c r="K22" s="1126"/>
      <c r="L22" s="2712"/>
      <c r="M22" s="2706"/>
      <c r="N22" s="2706"/>
      <c r="O22" s="2706"/>
      <c r="P22" s="3974"/>
      <c r="Q22" s="1347"/>
      <c r="R22" s="704"/>
      <c r="S22" s="705"/>
      <c r="T22" s="704"/>
      <c r="U22" s="705"/>
      <c r="V22" s="704"/>
      <c r="W22" s="705"/>
      <c r="X22" s="1350"/>
      <c r="Y22" s="3927"/>
      <c r="Z22" s="1351"/>
      <c r="AA22" s="1348">
        <v>1</v>
      </c>
      <c r="AB22" s="1348">
        <v>1</v>
      </c>
      <c r="AC22" s="1954">
        <v>1</v>
      </c>
    </row>
    <row r="23" spans="1:29" ht="42.75">
      <c r="A23" s="378"/>
      <c r="B23" s="578" t="s">
        <v>1814</v>
      </c>
      <c r="C23" s="1955"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974"/>
      <c r="Q23" s="1347" t="str">
        <f>B23</f>
        <v>环境质量</v>
      </c>
      <c r="R23" s="704" t="s">
        <v>14</v>
      </c>
      <c r="S23" s="705">
        <f>F23</f>
        <v>100</v>
      </c>
      <c r="T23" s="704" t="s">
        <v>14</v>
      </c>
      <c r="U23" s="705">
        <f>H23</f>
        <v>100</v>
      </c>
      <c r="V23" s="704" t="s">
        <v>14</v>
      </c>
      <c r="W23" s="705">
        <f>J23</f>
        <v>100</v>
      </c>
      <c r="X23" s="1350"/>
      <c r="Y23" s="3927"/>
      <c r="Z23" s="1351" t="str">
        <f>Q23</f>
        <v>环境质量</v>
      </c>
      <c r="AA23" s="1348">
        <f t="shared" si="3"/>
        <v>1</v>
      </c>
      <c r="AB23" s="1348">
        <f t="shared" si="4"/>
        <v>1</v>
      </c>
      <c r="AC23" s="1954">
        <f t="shared" si="5"/>
        <v>1</v>
      </c>
    </row>
    <row r="24" spans="1:29" ht="15">
      <c r="A24" s="378"/>
      <c r="B24" s="580"/>
      <c r="C24" s="1898"/>
      <c r="D24" s="398"/>
      <c r="E24" s="1891"/>
      <c r="F24" s="398"/>
      <c r="G24" s="1892"/>
      <c r="H24" s="398"/>
      <c r="I24" s="1892"/>
      <c r="J24" s="398"/>
      <c r="K24" s="563"/>
      <c r="L24" s="2712"/>
      <c r="M24" s="2706"/>
      <c r="N24" s="2706"/>
      <c r="O24" s="2706"/>
      <c r="P24" s="3974"/>
      <c r="Q24" s="1347"/>
      <c r="R24" s="704"/>
      <c r="S24" s="705"/>
      <c r="T24" s="704"/>
      <c r="U24" s="705"/>
      <c r="V24" s="704"/>
      <c r="W24" s="705"/>
      <c r="X24" s="1350"/>
      <c r="Y24" s="3927"/>
      <c r="Z24" s="1351"/>
      <c r="AA24" s="1348">
        <v>1</v>
      </c>
      <c r="AB24" s="1348">
        <v>1</v>
      </c>
      <c r="AC24" s="1954">
        <v>1</v>
      </c>
    </row>
    <row r="25" spans="1:29" ht="27">
      <c r="A25" s="357"/>
      <c r="B25" s="578" t="s">
        <v>1815</v>
      </c>
      <c r="C25" s="1902"/>
      <c r="D25" s="385">
        <v>100</v>
      </c>
      <c r="E25" s="384"/>
      <c r="F25" s="385">
        <f>SUMIF(87:87,E26,88:88)-SUMIF(87:87,C26,88:88)+100</f>
        <v>100</v>
      </c>
      <c r="G25" s="1902"/>
      <c r="H25" s="385">
        <f>SUMIF(87:87,G26,88:88)-SUMIF(87:87,C26,88:88)+100</f>
        <v>100</v>
      </c>
      <c r="I25" s="384"/>
      <c r="J25" s="385">
        <f>SUMIF(87:87,I26,88:88)-SUMIF(87:87,C26,88:88)+100</f>
        <v>100</v>
      </c>
      <c r="K25" s="562"/>
      <c r="L25" s="2712"/>
      <c r="M25" s="2706"/>
      <c r="N25" s="2706"/>
      <c r="O25" s="2706"/>
      <c r="P25" s="3974"/>
      <c r="Q25" s="1347" t="str">
        <f>B25</f>
        <v>毗邻道路的类型与等级</v>
      </c>
      <c r="R25" s="704" t="s">
        <v>14</v>
      </c>
      <c r="S25" s="705">
        <f>F25</f>
        <v>100</v>
      </c>
      <c r="T25" s="704" t="s">
        <v>14</v>
      </c>
      <c r="U25" s="705">
        <f>H25</f>
        <v>100</v>
      </c>
      <c r="V25" s="704" t="s">
        <v>14</v>
      </c>
      <c r="W25" s="705">
        <f>J25</f>
        <v>100</v>
      </c>
      <c r="X25" s="1350"/>
      <c r="Y25" s="3927"/>
      <c r="Z25" s="1351" t="str">
        <f>Q25</f>
        <v>毗邻道路的类型与等级</v>
      </c>
      <c r="AA25" s="1348">
        <f t="shared" si="3"/>
        <v>1</v>
      </c>
      <c r="AB25" s="1348">
        <f t="shared" si="4"/>
        <v>1</v>
      </c>
      <c r="AC25" s="1954">
        <f t="shared" si="5"/>
        <v>1</v>
      </c>
    </row>
    <row r="26" spans="1:29" ht="15">
      <c r="A26" s="357"/>
      <c r="B26" s="579"/>
      <c r="C26" s="581"/>
      <c r="D26" s="385"/>
      <c r="E26" s="564"/>
      <c r="F26" s="385"/>
      <c r="G26" s="581"/>
      <c r="H26" s="385"/>
      <c r="I26" s="564"/>
      <c r="J26" s="385"/>
      <c r="K26" s="563"/>
      <c r="L26" s="2712"/>
      <c r="M26" s="2706"/>
      <c r="N26" s="2706"/>
      <c r="O26" s="2706"/>
      <c r="P26" s="3974"/>
      <c r="Q26" s="1347"/>
      <c r="R26" s="704"/>
      <c r="S26" s="705"/>
      <c r="T26" s="704"/>
      <c r="U26" s="705"/>
      <c r="V26" s="704"/>
      <c r="W26" s="705"/>
      <c r="X26" s="1350"/>
      <c r="Y26" s="3927"/>
      <c r="Z26" s="1351"/>
      <c r="AA26" s="1348">
        <v>1</v>
      </c>
      <c r="AB26" s="1348">
        <v>1</v>
      </c>
      <c r="AC26" s="1954">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2"/>
      <c r="M27" s="2706"/>
      <c r="N27" s="2706"/>
      <c r="O27" s="2706"/>
      <c r="P27" s="3974"/>
      <c r="Q27" s="1347" t="str">
        <f t="shared" ref="Q27:Q47" si="11">B27</f>
        <v>楼层</v>
      </c>
      <c r="R27" s="704" t="s">
        <v>14</v>
      </c>
      <c r="S27" s="705">
        <f>F27</f>
        <v>100</v>
      </c>
      <c r="T27" s="704" t="s">
        <v>14</v>
      </c>
      <c r="U27" s="705">
        <f>H27</f>
        <v>100</v>
      </c>
      <c r="V27" s="704" t="s">
        <v>14</v>
      </c>
      <c r="W27" s="705">
        <f>J27</f>
        <v>100</v>
      </c>
      <c r="X27" s="1350"/>
      <c r="Y27" s="3927"/>
      <c r="Z27" s="1351" t="str">
        <f>Q27</f>
        <v>楼层</v>
      </c>
      <c r="AA27" s="1348">
        <f t="shared" si="3"/>
        <v>1</v>
      </c>
      <c r="AB27" s="1348">
        <f t="shared" si="4"/>
        <v>1</v>
      </c>
      <c r="AC27" s="1954">
        <f t="shared" si="5"/>
        <v>1</v>
      </c>
    </row>
    <row r="28" spans="1:29" s="107" customFormat="1" ht="15">
      <c r="A28" s="381"/>
      <c r="B28" s="578" t="s">
        <v>1816</v>
      </c>
      <c r="C28" s="1957"/>
      <c r="D28" s="412">
        <v>100</v>
      </c>
      <c r="E28" s="1948"/>
      <c r="F28" s="412">
        <f>SUMIF(91:91,E28,92:92)-SUMIF(91:91,C28,92:92)+100</f>
        <v>100</v>
      </c>
      <c r="G28" s="1957"/>
      <c r="H28" s="412">
        <f>SUMIF(91:91,G28,92:92)-SUMIF(91:91,C28,92:92)+100</f>
        <v>100</v>
      </c>
      <c r="I28" s="1948"/>
      <c r="J28" s="412">
        <f>SUMIF(91:91,I28,92:92)-SUMIF(91:91,C28,92:92)+100</f>
        <v>100</v>
      </c>
      <c r="K28" s="560"/>
      <c r="L28" s="2707"/>
      <c r="M28" s="2708"/>
      <c r="N28" s="2708"/>
      <c r="O28" s="2708"/>
      <c r="P28" s="3974"/>
      <c r="Q28" s="1338" t="str">
        <f t="shared" si="11"/>
        <v>朝向</v>
      </c>
      <c r="R28" s="700" t="s">
        <v>14</v>
      </c>
      <c r="S28" s="701">
        <f>F28</f>
        <v>100</v>
      </c>
      <c r="T28" s="700" t="s">
        <v>14</v>
      </c>
      <c r="U28" s="701">
        <f>H28</f>
        <v>100</v>
      </c>
      <c r="V28" s="700" t="s">
        <v>14</v>
      </c>
      <c r="W28" s="701">
        <f>J28</f>
        <v>100</v>
      </c>
      <c r="X28" s="702"/>
      <c r="Y28" s="3927"/>
      <c r="Z28" s="52" t="str">
        <f>Q28</f>
        <v>朝向</v>
      </c>
      <c r="AA28" s="1348">
        <f>D28/F28</f>
        <v>1</v>
      </c>
      <c r="AB28" s="1348">
        <f>D28/H28</f>
        <v>1</v>
      </c>
      <c r="AC28" s="1954">
        <f>D28/J28</f>
        <v>1</v>
      </c>
    </row>
    <row r="29" spans="1:29" ht="15">
      <c r="A29" s="378"/>
      <c r="B29" s="1958">
        <v>111</v>
      </c>
      <c r="C29" s="1902"/>
      <c r="D29" s="385">
        <v>100</v>
      </c>
      <c r="E29" s="382"/>
      <c r="F29" s="385">
        <f>SUMIF(93:93,E29,94:94)-SUMIF(93:93,C29,94:94)+100</f>
        <v>100</v>
      </c>
      <c r="G29" s="1952"/>
      <c r="H29" s="385">
        <f>SUMIF(93:93,G29,94:94)-SUMIF(93:93,C29,94:94)+100</f>
        <v>100</v>
      </c>
      <c r="I29" s="382"/>
      <c r="J29" s="385">
        <f>SUMIF(93:93,I29,94:94)-SUMIF(93:93,C29,94:94)+100</f>
        <v>100</v>
      </c>
      <c r="K29" s="561"/>
      <c r="L29" s="2712"/>
      <c r="M29" s="2706"/>
      <c r="N29" s="2706"/>
      <c r="O29" s="2706"/>
      <c r="P29" s="3974"/>
      <c r="Q29" s="1347">
        <f t="shared" si="11"/>
        <v>111</v>
      </c>
      <c r="R29" s="704" t="s">
        <v>14</v>
      </c>
      <c r="S29" s="705">
        <f t="shared" ref="S29:S47" si="12">F29</f>
        <v>100</v>
      </c>
      <c r="T29" s="704" t="s">
        <v>14</v>
      </c>
      <c r="U29" s="705">
        <f t="shared" ref="U29:U47" si="13">H29</f>
        <v>100</v>
      </c>
      <c r="V29" s="704" t="s">
        <v>14</v>
      </c>
      <c r="W29" s="705">
        <f t="shared" ref="W29:W47" si="14">J29</f>
        <v>100</v>
      </c>
      <c r="X29" s="1350"/>
      <c r="Y29" s="3927"/>
      <c r="Z29" s="1351">
        <f t="shared" ref="Z29:Z47" si="15">Q29</f>
        <v>111</v>
      </c>
      <c r="AA29" s="1348">
        <f t="shared" si="3"/>
        <v>1</v>
      </c>
      <c r="AB29" s="1348">
        <f t="shared" si="4"/>
        <v>1</v>
      </c>
      <c r="AC29" s="1954">
        <f t="shared" si="5"/>
        <v>1</v>
      </c>
    </row>
    <row r="30" spans="1:29" ht="15">
      <c r="A30" s="378"/>
      <c r="B30" s="1958">
        <v>111</v>
      </c>
      <c r="C30" s="1902"/>
      <c r="D30" s="385">
        <v>100</v>
      </c>
      <c r="E30" s="382"/>
      <c r="F30" s="385">
        <f>SUMIF(95:95,E30,96:96)-SUMIF(95:95,C30,96:96)+100</f>
        <v>100</v>
      </c>
      <c r="G30" s="1952"/>
      <c r="H30" s="385">
        <f>SUMIF(95:95,G30,96:96)-SUMIF(95:95,C30,96:96)+100</f>
        <v>100</v>
      </c>
      <c r="I30" s="382"/>
      <c r="J30" s="385">
        <f>SUMIF(95:95,I30,96:96)-SUMIF(95:95,C30,96:96)+100</f>
        <v>100</v>
      </c>
      <c r="K30" s="561"/>
      <c r="L30" s="2712"/>
      <c r="M30" s="2706"/>
      <c r="N30" s="2706"/>
      <c r="O30" s="2706"/>
      <c r="P30" s="3974"/>
      <c r="Q30" s="1347">
        <f t="shared" si="11"/>
        <v>111</v>
      </c>
      <c r="R30" s="704" t="s">
        <v>14</v>
      </c>
      <c r="S30" s="705">
        <f t="shared" si="12"/>
        <v>100</v>
      </c>
      <c r="T30" s="704" t="s">
        <v>14</v>
      </c>
      <c r="U30" s="705">
        <f t="shared" si="13"/>
        <v>100</v>
      </c>
      <c r="V30" s="704" t="s">
        <v>14</v>
      </c>
      <c r="W30" s="705">
        <f t="shared" si="14"/>
        <v>100</v>
      </c>
      <c r="X30" s="1350"/>
      <c r="Y30" s="3927"/>
      <c r="Z30" s="1351">
        <f t="shared" si="15"/>
        <v>111</v>
      </c>
      <c r="AA30" s="1348">
        <f t="shared" si="3"/>
        <v>1</v>
      </c>
      <c r="AB30" s="1348">
        <f t="shared" si="4"/>
        <v>1</v>
      </c>
      <c r="AC30" s="1954">
        <f t="shared" si="5"/>
        <v>1</v>
      </c>
    </row>
    <row r="31" spans="1:29" ht="15">
      <c r="A31" s="378"/>
      <c r="B31" s="1958">
        <v>111</v>
      </c>
      <c r="C31" s="1902"/>
      <c r="D31" s="385">
        <v>100</v>
      </c>
      <c r="E31" s="382"/>
      <c r="F31" s="385">
        <f>SUMIF(97:97,E31,98:98)-SUMIF(97:97,C31,98:98)+100</f>
        <v>100</v>
      </c>
      <c r="G31" s="1952"/>
      <c r="H31" s="385">
        <f>SUMIF(97:97,G31,98:98)-SUMIF(97:97,C31,98:98)+100</f>
        <v>100</v>
      </c>
      <c r="I31" s="382"/>
      <c r="J31" s="385">
        <f>SUMIF(97:97,I31,98:98)-SUMIF(97:97,C31,98:98)+100</f>
        <v>100</v>
      </c>
      <c r="K31" s="561"/>
      <c r="L31" s="2712"/>
      <c r="M31" s="2706"/>
      <c r="N31" s="2706"/>
      <c r="O31" s="2706"/>
      <c r="P31" s="3974"/>
      <c r="Q31" s="1347">
        <f t="shared" si="11"/>
        <v>111</v>
      </c>
      <c r="R31" s="704" t="s">
        <v>14</v>
      </c>
      <c r="S31" s="705">
        <f t="shared" si="12"/>
        <v>100</v>
      </c>
      <c r="T31" s="704" t="s">
        <v>14</v>
      </c>
      <c r="U31" s="705">
        <f t="shared" si="13"/>
        <v>100</v>
      </c>
      <c r="V31" s="704" t="s">
        <v>14</v>
      </c>
      <c r="W31" s="705">
        <f t="shared" si="14"/>
        <v>100</v>
      </c>
      <c r="X31" s="1350"/>
      <c r="Y31" s="3927"/>
      <c r="Z31" s="1351">
        <f t="shared" si="15"/>
        <v>111</v>
      </c>
      <c r="AA31" s="1348">
        <f t="shared" si="3"/>
        <v>1</v>
      </c>
      <c r="AB31" s="1348">
        <f t="shared" si="4"/>
        <v>1</v>
      </c>
      <c r="AC31" s="1954">
        <f t="shared" si="5"/>
        <v>1</v>
      </c>
    </row>
    <row r="32" spans="1:29" ht="15.75" thickBot="1">
      <c r="A32" s="386"/>
      <c r="B32" s="582">
        <v>111</v>
      </c>
      <c r="C32" s="1903"/>
      <c r="D32" s="388">
        <v>100</v>
      </c>
      <c r="E32" s="575"/>
      <c r="F32" s="388">
        <f>SUMIF(99:99,E32,100:100)-SUMIF(99:99,C32,100:100)+100</f>
        <v>100</v>
      </c>
      <c r="G32" s="1952"/>
      <c r="H32" s="388">
        <f>SUMIF(99:99,G32,100:100)-SUMIF(99:99,C32,100:100)+100</f>
        <v>100</v>
      </c>
      <c r="I32" s="382"/>
      <c r="J32" s="388">
        <f>SUMIF(99:99,I32,100:100)-SUMIF(99:99,C32,100:100)+100</f>
        <v>100</v>
      </c>
      <c r="K32" s="561"/>
      <c r="L32" s="2712"/>
      <c r="M32" s="2706"/>
      <c r="N32" s="2706"/>
      <c r="O32" s="2706"/>
      <c r="P32" s="3974"/>
      <c r="Q32" s="1347">
        <f t="shared" si="11"/>
        <v>111</v>
      </c>
      <c r="R32" s="704" t="s">
        <v>14</v>
      </c>
      <c r="S32" s="705">
        <f t="shared" si="12"/>
        <v>100</v>
      </c>
      <c r="T32" s="704" t="s">
        <v>14</v>
      </c>
      <c r="U32" s="705">
        <f t="shared" si="13"/>
        <v>100</v>
      </c>
      <c r="V32" s="704" t="s">
        <v>14</v>
      </c>
      <c r="W32" s="705">
        <f t="shared" si="14"/>
        <v>100</v>
      </c>
      <c r="X32" s="1350"/>
      <c r="Y32" s="3927"/>
      <c r="Z32" s="1351">
        <f t="shared" si="15"/>
        <v>111</v>
      </c>
      <c r="AA32" s="1348">
        <f t="shared" si="3"/>
        <v>1</v>
      </c>
      <c r="AB32" s="1348">
        <f t="shared" si="4"/>
        <v>1</v>
      </c>
      <c r="AC32" s="1954">
        <f t="shared" si="5"/>
        <v>1</v>
      </c>
    </row>
    <row r="33" spans="1:29" ht="15">
      <c r="A33" s="390" t="s">
        <v>1694</v>
      </c>
      <c r="B33" s="63" t="s">
        <v>1817</v>
      </c>
      <c r="C33" s="1959"/>
      <c r="D33" s="417">
        <v>100</v>
      </c>
      <c r="E33" s="1959"/>
      <c r="F33" s="411">
        <f>SUMIF(101:101,E33,102:102)-SUMIF(101:101,C33,102:102)+100</f>
        <v>100</v>
      </c>
      <c r="G33" s="1959"/>
      <c r="H33" s="385">
        <f>SUMIF(101:101,G33,102:102)-SUMIF(101:101,C33,102:102)+100</f>
        <v>100</v>
      </c>
      <c r="I33" s="1959"/>
      <c r="J33" s="417">
        <f>SUMIF(101:101,I33,102:102)-SUMIF(101:101,C33,102:102)+100</f>
        <v>100</v>
      </c>
      <c r="K33" s="560"/>
      <c r="L33" s="2712"/>
      <c r="M33" s="2706"/>
      <c r="N33" s="2706"/>
      <c r="O33" s="2706"/>
      <c r="P33" s="3969" t="s">
        <v>1696</v>
      </c>
      <c r="Q33" s="1347" t="str">
        <f t="shared" si="11"/>
        <v>建筑类型</v>
      </c>
      <c r="R33" s="704" t="s">
        <v>14</v>
      </c>
      <c r="S33" s="705">
        <f t="shared" si="12"/>
        <v>100</v>
      </c>
      <c r="T33" s="704" t="s">
        <v>14</v>
      </c>
      <c r="U33" s="705">
        <f t="shared" si="13"/>
        <v>100</v>
      </c>
      <c r="V33" s="704" t="s">
        <v>14</v>
      </c>
      <c r="W33" s="705">
        <f t="shared" si="14"/>
        <v>100</v>
      </c>
      <c r="X33" s="1350"/>
      <c r="Y33" s="3929" t="s">
        <v>1696</v>
      </c>
      <c r="Z33" s="1351" t="str">
        <f t="shared" si="15"/>
        <v>建筑类型</v>
      </c>
      <c r="AA33" s="1348">
        <f t="shared" si="3"/>
        <v>1</v>
      </c>
      <c r="AB33" s="1348">
        <f t="shared" si="4"/>
        <v>1</v>
      </c>
      <c r="AC33" s="1954">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970"/>
      <c r="Q34" s="706" t="str">
        <f t="shared" si="11"/>
        <v>项目建筑规模</v>
      </c>
      <c r="R34" s="707" t="s">
        <v>14</v>
      </c>
      <c r="S34" s="708" t="e">
        <f t="shared" si="12"/>
        <v>#N/A</v>
      </c>
      <c r="T34" s="707" t="s">
        <v>14</v>
      </c>
      <c r="U34" s="708" t="e">
        <f t="shared" si="13"/>
        <v>#N/A</v>
      </c>
      <c r="V34" s="707" t="s">
        <v>14</v>
      </c>
      <c r="W34" s="708" t="e">
        <f t="shared" si="14"/>
        <v>#N/A</v>
      </c>
      <c r="X34" s="709"/>
      <c r="Y34" s="3929"/>
      <c r="Z34" s="710" t="str">
        <f t="shared" si="15"/>
        <v>项目建筑规模</v>
      </c>
      <c r="AA34" s="1348" t="e">
        <f t="shared" si="3"/>
        <v>#N/A</v>
      </c>
      <c r="AB34" s="1348" t="e">
        <f t="shared" si="4"/>
        <v>#N/A</v>
      </c>
      <c r="AC34" s="1954"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970"/>
      <c r="Q35" s="1347" t="str">
        <f t="shared" si="11"/>
        <v>建筑结构</v>
      </c>
      <c r="R35" s="704" t="s">
        <v>14</v>
      </c>
      <c r="S35" s="705">
        <f t="shared" si="12"/>
        <v>100</v>
      </c>
      <c r="T35" s="704" t="s">
        <v>14</v>
      </c>
      <c r="U35" s="705">
        <f t="shared" si="13"/>
        <v>100</v>
      </c>
      <c r="V35" s="704" t="s">
        <v>14</v>
      </c>
      <c r="W35" s="705">
        <f t="shared" si="14"/>
        <v>100</v>
      </c>
      <c r="X35" s="1350"/>
      <c r="Y35" s="3929"/>
      <c r="Z35" s="1351" t="str">
        <f t="shared" si="15"/>
        <v>建筑结构</v>
      </c>
      <c r="AA35" s="1348">
        <f t="shared" si="3"/>
        <v>1</v>
      </c>
      <c r="AB35" s="1348">
        <f t="shared" si="4"/>
        <v>1</v>
      </c>
      <c r="AC35" s="1954">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970"/>
      <c r="Q36" s="1347" t="str">
        <f t="shared" si="11"/>
        <v>公共部分装修</v>
      </c>
      <c r="R36" s="704" t="s">
        <v>14</v>
      </c>
      <c r="S36" s="705">
        <f t="shared" si="12"/>
        <v>100</v>
      </c>
      <c r="T36" s="704" t="s">
        <v>14</v>
      </c>
      <c r="U36" s="705">
        <f t="shared" si="13"/>
        <v>100</v>
      </c>
      <c r="V36" s="704" t="s">
        <v>14</v>
      </c>
      <c r="W36" s="705">
        <f t="shared" si="14"/>
        <v>100</v>
      </c>
      <c r="X36" s="1350"/>
      <c r="Y36" s="3929"/>
      <c r="Z36" s="1351" t="str">
        <f t="shared" si="15"/>
        <v>公共部分装修</v>
      </c>
      <c r="AA36" s="1348">
        <f t="shared" si="3"/>
        <v>1</v>
      </c>
      <c r="AB36" s="1348">
        <f t="shared" si="4"/>
        <v>1</v>
      </c>
      <c r="AC36" s="1954">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970"/>
      <c r="Q37" s="1347" t="str">
        <f t="shared" si="11"/>
        <v>成新度</v>
      </c>
      <c r="R37" s="704" t="s">
        <v>14</v>
      </c>
      <c r="S37" s="705" t="e">
        <f t="shared" si="12"/>
        <v>#N/A</v>
      </c>
      <c r="T37" s="704" t="s">
        <v>14</v>
      </c>
      <c r="U37" s="705" t="e">
        <f t="shared" si="13"/>
        <v>#N/A</v>
      </c>
      <c r="V37" s="704" t="s">
        <v>14</v>
      </c>
      <c r="W37" s="705" t="e">
        <f t="shared" si="14"/>
        <v>#N/A</v>
      </c>
      <c r="X37" s="1350"/>
      <c r="Y37" s="3929"/>
      <c r="Z37" s="1351" t="str">
        <f t="shared" si="15"/>
        <v>成新度</v>
      </c>
      <c r="AA37" s="1348" t="e">
        <f t="shared" si="3"/>
        <v>#N/A</v>
      </c>
      <c r="AB37" s="1348" t="e">
        <f t="shared" si="4"/>
        <v>#N/A</v>
      </c>
      <c r="AC37" s="1954"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970"/>
      <c r="Q38" s="1338" t="str">
        <f t="shared" si="11"/>
        <v>写字楼等级</v>
      </c>
      <c r="R38" s="700" t="s">
        <v>14</v>
      </c>
      <c r="S38" s="701">
        <f t="shared" si="12"/>
        <v>100</v>
      </c>
      <c r="T38" s="700" t="s">
        <v>14</v>
      </c>
      <c r="U38" s="701">
        <f t="shared" si="13"/>
        <v>100</v>
      </c>
      <c r="V38" s="700" t="s">
        <v>14</v>
      </c>
      <c r="W38" s="701">
        <f t="shared" si="14"/>
        <v>100</v>
      </c>
      <c r="X38" s="702"/>
      <c r="Y38" s="3929"/>
      <c r="Z38" s="52" t="str">
        <f t="shared" si="15"/>
        <v>写字楼等级</v>
      </c>
      <c r="AA38" s="703">
        <f t="shared" si="3"/>
        <v>1</v>
      </c>
      <c r="AB38" s="703">
        <f t="shared" si="4"/>
        <v>1</v>
      </c>
      <c r="AC38" s="1951">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970" t="s">
        <v>1696</v>
      </c>
      <c r="Q39" s="1347" t="str">
        <f t="shared" si="11"/>
        <v>物业管理</v>
      </c>
      <c r="R39" s="704" t="s">
        <v>14</v>
      </c>
      <c r="S39" s="705">
        <f t="shared" si="12"/>
        <v>100</v>
      </c>
      <c r="T39" s="704" t="s">
        <v>14</v>
      </c>
      <c r="U39" s="705">
        <f t="shared" si="13"/>
        <v>100</v>
      </c>
      <c r="V39" s="704" t="s">
        <v>14</v>
      </c>
      <c r="W39" s="705">
        <f t="shared" si="14"/>
        <v>100</v>
      </c>
      <c r="X39" s="1350"/>
      <c r="Y39" s="3929" t="s">
        <v>1696</v>
      </c>
      <c r="Z39" s="1351" t="str">
        <f t="shared" si="15"/>
        <v>物业管理</v>
      </c>
      <c r="AA39" s="1348">
        <f t="shared" si="3"/>
        <v>1</v>
      </c>
      <c r="AB39" s="1348">
        <f t="shared" si="4"/>
        <v>1</v>
      </c>
      <c r="AC39" s="1954">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970"/>
      <c r="Q40" s="1347" t="str">
        <f t="shared" si="11"/>
        <v>市政基础设施</v>
      </c>
      <c r="R40" s="704" t="s">
        <v>14</v>
      </c>
      <c r="S40" s="705">
        <f t="shared" si="12"/>
        <v>100</v>
      </c>
      <c r="T40" s="704" t="s">
        <v>14</v>
      </c>
      <c r="U40" s="705">
        <f t="shared" si="13"/>
        <v>100</v>
      </c>
      <c r="V40" s="704" t="s">
        <v>14</v>
      </c>
      <c r="W40" s="705">
        <f t="shared" si="14"/>
        <v>100</v>
      </c>
      <c r="X40" s="1350"/>
      <c r="Y40" s="3929"/>
      <c r="Z40" s="1351" t="str">
        <f t="shared" si="15"/>
        <v>市政基础设施</v>
      </c>
      <c r="AA40" s="1348">
        <f t="shared" si="3"/>
        <v>1</v>
      </c>
      <c r="AB40" s="1348">
        <f t="shared" si="4"/>
        <v>1</v>
      </c>
      <c r="AC40" s="1954">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970"/>
      <c r="Q41" s="1347" t="str">
        <f t="shared" si="11"/>
        <v>层高</v>
      </c>
      <c r="R41" s="704" t="s">
        <v>14</v>
      </c>
      <c r="S41" s="705">
        <f t="shared" si="12"/>
        <v>100</v>
      </c>
      <c r="T41" s="704" t="s">
        <v>14</v>
      </c>
      <c r="U41" s="705">
        <f t="shared" si="13"/>
        <v>100</v>
      </c>
      <c r="V41" s="704" t="s">
        <v>14</v>
      </c>
      <c r="W41" s="705">
        <f t="shared" si="14"/>
        <v>100</v>
      </c>
      <c r="X41" s="1350"/>
      <c r="Y41" s="3929"/>
      <c r="Z41" s="1351" t="str">
        <f t="shared" si="15"/>
        <v>层高</v>
      </c>
      <c r="AA41" s="1348">
        <f t="shared" si="3"/>
        <v>1</v>
      </c>
      <c r="AB41" s="1348">
        <f t="shared" si="4"/>
        <v>1</v>
      </c>
      <c r="AC41" s="1954">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970"/>
      <c r="Q42" s="706" t="str">
        <f t="shared" si="11"/>
        <v>单套建筑面积</v>
      </c>
      <c r="R42" s="707" t="s">
        <v>14</v>
      </c>
      <c r="S42" s="708">
        <f t="shared" si="12"/>
        <v>100</v>
      </c>
      <c r="T42" s="707" t="s">
        <v>14</v>
      </c>
      <c r="U42" s="708">
        <f t="shared" si="13"/>
        <v>100</v>
      </c>
      <c r="V42" s="707" t="s">
        <v>14</v>
      </c>
      <c r="W42" s="708">
        <f t="shared" si="14"/>
        <v>100</v>
      </c>
      <c r="X42" s="709"/>
      <c r="Y42" s="3929"/>
      <c r="Z42" s="710" t="str">
        <f t="shared" si="15"/>
        <v>单套建筑面积</v>
      </c>
      <c r="AA42" s="1348">
        <f t="shared" si="3"/>
        <v>1</v>
      </c>
      <c r="AB42" s="1348">
        <f t="shared" si="4"/>
        <v>1</v>
      </c>
      <c r="AC42" s="1954">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970"/>
      <c r="Q43" s="1347" t="str">
        <f t="shared" si="11"/>
        <v>内部装修</v>
      </c>
      <c r="R43" s="704" t="s">
        <v>14</v>
      </c>
      <c r="S43" s="705">
        <f t="shared" si="12"/>
        <v>100</v>
      </c>
      <c r="T43" s="704" t="s">
        <v>14</v>
      </c>
      <c r="U43" s="705">
        <f t="shared" si="13"/>
        <v>100</v>
      </c>
      <c r="V43" s="704" t="s">
        <v>14</v>
      </c>
      <c r="W43" s="705">
        <f t="shared" si="14"/>
        <v>100</v>
      </c>
      <c r="X43" s="1350"/>
      <c r="Y43" s="3929"/>
      <c r="Z43" s="1351" t="str">
        <f t="shared" si="15"/>
        <v>内部装修</v>
      </c>
      <c r="AA43" s="1348">
        <f t="shared" si="3"/>
        <v>1</v>
      </c>
      <c r="AB43" s="1348">
        <f t="shared" si="4"/>
        <v>1</v>
      </c>
      <c r="AC43" s="1954">
        <f t="shared" si="5"/>
        <v>1</v>
      </c>
    </row>
    <row r="44" spans="1:29" ht="15">
      <c r="A44" s="422"/>
      <c r="B44" s="374" t="s">
        <v>1707</v>
      </c>
      <c r="C44" s="410"/>
      <c r="D44" s="385">
        <v>100</v>
      </c>
      <c r="E44" s="1900"/>
      <c r="F44" s="411">
        <f>SUMIF(125:125,E44,126:126)-SUMIF(125:125,C44,126:126)+100</f>
        <v>100</v>
      </c>
      <c r="G44" s="1900"/>
      <c r="H44" s="385">
        <f>SUMIF(125:125,G44,126:126)-SUMIF(125:125,C44,126:126)+100</f>
        <v>100</v>
      </c>
      <c r="I44" s="1900"/>
      <c r="J44" s="385">
        <f>SUMIF(125:125,I44,126:126)-SUMIF(125:125,C44,126:126)+100</f>
        <v>100</v>
      </c>
      <c r="K44" s="560"/>
      <c r="L44" s="2712"/>
      <c r="M44" s="2706"/>
      <c r="N44" s="2706"/>
      <c r="O44" s="2706"/>
      <c r="P44" s="3970"/>
      <c r="Q44" s="1347" t="str">
        <f t="shared" si="11"/>
        <v>内部装修维护情况</v>
      </c>
      <c r="R44" s="704" t="s">
        <v>14</v>
      </c>
      <c r="S44" s="705">
        <f t="shared" si="12"/>
        <v>100</v>
      </c>
      <c r="T44" s="704" t="s">
        <v>14</v>
      </c>
      <c r="U44" s="705">
        <f t="shared" si="13"/>
        <v>100</v>
      </c>
      <c r="V44" s="704" t="s">
        <v>14</v>
      </c>
      <c r="W44" s="705">
        <f t="shared" si="14"/>
        <v>100</v>
      </c>
      <c r="X44" s="1350"/>
      <c r="Y44" s="3929"/>
      <c r="Z44" s="1351" t="str">
        <f t="shared" si="15"/>
        <v>内部装修维护情况</v>
      </c>
      <c r="AA44" s="1348">
        <f t="shared" si="3"/>
        <v>1</v>
      </c>
      <c r="AB44" s="1348">
        <f t="shared" si="4"/>
        <v>1</v>
      </c>
      <c r="AC44" s="1954">
        <f t="shared" si="5"/>
        <v>1</v>
      </c>
    </row>
    <row r="45" spans="1:29" s="107"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970"/>
      <c r="Q45" s="1338">
        <f t="shared" si="11"/>
        <v>111</v>
      </c>
      <c r="R45" s="700" t="s">
        <v>14</v>
      </c>
      <c r="S45" s="701">
        <f t="shared" si="12"/>
        <v>100</v>
      </c>
      <c r="T45" s="700" t="s">
        <v>14</v>
      </c>
      <c r="U45" s="701">
        <f t="shared" si="13"/>
        <v>100</v>
      </c>
      <c r="V45" s="700" t="s">
        <v>14</v>
      </c>
      <c r="W45" s="701">
        <f t="shared" si="14"/>
        <v>100</v>
      </c>
      <c r="X45" s="702"/>
      <c r="Y45" s="3929"/>
      <c r="Z45" s="52">
        <f t="shared" si="15"/>
        <v>111</v>
      </c>
      <c r="AA45" s="703">
        <f t="shared" si="3"/>
        <v>1</v>
      </c>
      <c r="AB45" s="703">
        <f t="shared" si="4"/>
        <v>1</v>
      </c>
      <c r="AC45" s="1951">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970"/>
      <c r="Q46" s="1347">
        <f t="shared" si="11"/>
        <v>111</v>
      </c>
      <c r="R46" s="704" t="s">
        <v>14</v>
      </c>
      <c r="S46" s="705">
        <f t="shared" si="12"/>
        <v>100</v>
      </c>
      <c r="T46" s="704" t="s">
        <v>14</v>
      </c>
      <c r="U46" s="705">
        <f t="shared" si="13"/>
        <v>100</v>
      </c>
      <c r="V46" s="704" t="s">
        <v>14</v>
      </c>
      <c r="W46" s="705">
        <f t="shared" si="14"/>
        <v>100</v>
      </c>
      <c r="X46" s="1350"/>
      <c r="Y46" s="3929"/>
      <c r="Z46" s="1351">
        <f t="shared" si="15"/>
        <v>111</v>
      </c>
      <c r="AA46" s="1348">
        <f t="shared" si="3"/>
        <v>1</v>
      </c>
      <c r="AB46" s="1348">
        <f t="shared" si="4"/>
        <v>1</v>
      </c>
      <c r="AC46" s="1954">
        <f t="shared" si="5"/>
        <v>1</v>
      </c>
    </row>
    <row r="47" spans="1:29" ht="15.75" thickBot="1">
      <c r="A47" s="428"/>
      <c r="B47" s="1889">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971"/>
      <c r="Q47" s="1347">
        <f t="shared" si="11"/>
        <v>111</v>
      </c>
      <c r="R47" s="704" t="s">
        <v>14</v>
      </c>
      <c r="S47" s="705">
        <f t="shared" si="12"/>
        <v>100</v>
      </c>
      <c r="T47" s="704" t="s">
        <v>14</v>
      </c>
      <c r="U47" s="705">
        <f t="shared" si="13"/>
        <v>100</v>
      </c>
      <c r="V47" s="704" t="s">
        <v>14</v>
      </c>
      <c r="W47" s="705">
        <f t="shared" si="14"/>
        <v>100</v>
      </c>
      <c r="X47" s="1350"/>
      <c r="Y47" s="3972"/>
      <c r="Z47" s="1351">
        <f t="shared" si="15"/>
        <v>111</v>
      </c>
      <c r="AA47" s="1348">
        <f t="shared" si="3"/>
        <v>1</v>
      </c>
      <c r="AB47" s="1348">
        <f t="shared" si="4"/>
        <v>1</v>
      </c>
      <c r="AC47" s="1954">
        <f t="shared" si="5"/>
        <v>1</v>
      </c>
    </row>
    <row r="48" spans="1:29" ht="15">
      <c r="A48" s="429" t="s">
        <v>1708</v>
      </c>
      <c r="B48" s="430"/>
      <c r="C48" s="1150" t="s">
        <v>0</v>
      </c>
      <c r="D48" s="1151"/>
      <c r="E48" s="1152"/>
      <c r="F48" s="1153"/>
      <c r="G48" s="1154"/>
      <c r="H48" s="1155"/>
      <c r="I48" s="1152"/>
      <c r="J48" s="435"/>
      <c r="K48" s="713"/>
      <c r="L48" s="2714"/>
      <c r="M48" s="2706"/>
      <c r="N48" s="2706"/>
      <c r="O48" s="2706"/>
      <c r="P48" s="3935" t="str">
        <f>A48</f>
        <v>成交单价（元/平方米）</v>
      </c>
      <c r="Q48" s="3911"/>
      <c r="R48" s="3968">
        <f>E48</f>
        <v>0</v>
      </c>
      <c r="S48" s="3968"/>
      <c r="T48" s="3968">
        <f>G48</f>
        <v>0</v>
      </c>
      <c r="U48" s="3968"/>
      <c r="V48" s="3968">
        <f>I48</f>
        <v>0</v>
      </c>
      <c r="W48" s="3968"/>
      <c r="X48" s="396"/>
      <c r="Y48" s="711"/>
      <c r="Z48" s="396"/>
      <c r="AA48" s="396"/>
      <c r="AB48" s="396"/>
      <c r="AC48" s="577"/>
    </row>
    <row r="49" spans="1:29" ht="15.75" thickBot="1">
      <c r="A49" s="436" t="s">
        <v>1793</v>
      </c>
      <c r="B49" s="437"/>
      <c r="C49" s="1156" t="e">
        <f>R50</f>
        <v>#DIV/0!</v>
      </c>
      <c r="D49" s="2309" t="s">
        <v>2137</v>
      </c>
      <c r="E49" s="1157" t="e">
        <f>R49</f>
        <v>#DIV/0!</v>
      </c>
      <c r="F49" s="2310"/>
      <c r="G49" s="1156" t="e">
        <f>T49</f>
        <v>#DIV/0!</v>
      </c>
      <c r="H49" s="2310"/>
      <c r="I49" s="1157" t="e">
        <f>V49</f>
        <v>#DIV/0!</v>
      </c>
      <c r="J49" s="2310"/>
      <c r="K49" s="2312">
        <f>F49+H49+J49</f>
        <v>0</v>
      </c>
      <c r="L49" s="2714"/>
      <c r="M49" s="2706"/>
      <c r="N49" s="2706"/>
      <c r="O49" s="2706"/>
      <c r="P49" s="3935" t="str">
        <f>A49</f>
        <v>比较价值（元/平方米）</v>
      </c>
      <c r="Q49" s="3911"/>
      <c r="R49" s="3968" t="e">
        <f>IF(F1="售价",ROUND(PRODUCT(R48,AA7:AA47),0),ROUND(PRODUCT(R48,AA7:AA47),1))</f>
        <v>#DIV/0!</v>
      </c>
      <c r="S49" s="3968"/>
      <c r="T49" s="3968" t="e">
        <f>IF(F1="售价",ROUND(PRODUCT(T48,AB7:AB47),0),ROUND(PRODUCT(T48,AB7:AB47),1))</f>
        <v>#DIV/0!</v>
      </c>
      <c r="U49" s="3968"/>
      <c r="V49" s="3968" t="e">
        <f>IF(F1="售价",ROUND(PRODUCT(V48,AC7:AC47),0),ROUND(PRODUCT(V48,AC7:AC47),1))</f>
        <v>#DIV/0!</v>
      </c>
      <c r="W49" s="3968"/>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4"/>
      <c r="L50" s="2714"/>
      <c r="M50" s="2706"/>
      <c r="N50" s="2706"/>
      <c r="O50" s="2706"/>
      <c r="P50" s="3987" t="str">
        <f>A50</f>
        <v>估价对象XX用房的比较价值（楼面单价，元/平方米）</v>
      </c>
      <c r="Q50" s="3988"/>
      <c r="R50" s="3989" t="e">
        <f>IF(F1="售价",ROUND(IF(D49="简单平均",AVERAGE(R49:V49),R49*F49+T49*H49+V49*J49),0),ROUND(IF(D49="简单平均",AVERAGE(R49:V49),R49*F49+T49*H49+V49*J49),1))</f>
        <v>#DIV/0!</v>
      </c>
      <c r="S50" s="3989"/>
      <c r="T50" s="3989"/>
      <c r="U50" s="3989"/>
      <c r="V50" s="3989"/>
      <c r="W50" s="3989"/>
      <c r="X50" s="1938"/>
      <c r="Y50" s="1938"/>
      <c r="Z50" s="1938"/>
      <c r="AA50" s="1938"/>
      <c r="AB50" s="1938"/>
      <c r="AC50" s="1939"/>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50" customFormat="1" ht="13.5" customHeight="1">
      <c r="A55" s="2718"/>
      <c r="B55" s="2718"/>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1798</v>
      </c>
      <c r="B58" s="689"/>
      <c r="C58" s="694"/>
      <c r="D58" s="694"/>
      <c r="E58" s="694"/>
      <c r="F58" s="695"/>
      <c r="G58" s="695"/>
      <c r="H58" s="694"/>
      <c r="I58" s="694"/>
      <c r="J58" s="694"/>
      <c r="K58" s="696"/>
      <c r="L58" s="938"/>
      <c r="M58" s="936"/>
      <c r="N58" s="2759"/>
      <c r="O58" s="2759"/>
      <c r="P58" s="2748"/>
      <c r="Q58" s="2729"/>
      <c r="R58" s="2715"/>
      <c r="S58" s="2715"/>
      <c r="T58" s="2715"/>
      <c r="U58" s="2715"/>
      <c r="V58" s="2715"/>
      <c r="W58" s="2715"/>
      <c r="X58" s="2715"/>
      <c r="Y58" s="2715"/>
      <c r="Z58" s="2715"/>
      <c r="AA58" s="2715"/>
      <c r="AB58" s="2715"/>
      <c r="AC58" s="2715"/>
    </row>
    <row r="59" spans="1:29" s="456" customFormat="1" ht="15">
      <c r="A59" s="453" t="s">
        <v>1679</v>
      </c>
      <c r="B59" s="454"/>
      <c r="C59" s="1179" t="str">
        <f>YEAR(C7)&amp;"-"&amp;MONTH(C7)</f>
        <v>2023-3</v>
      </c>
      <c r="D59" s="1180">
        <f>EDATE(C59,-1)</f>
        <v>44958</v>
      </c>
      <c r="E59" s="1180">
        <f>EDATE(D59,-1)</f>
        <v>44927</v>
      </c>
      <c r="F59" s="1180">
        <f t="shared" ref="F59:O59" si="16">EDATE(E59,-1)</f>
        <v>44896</v>
      </c>
      <c r="G59" s="1180">
        <f t="shared" si="16"/>
        <v>44866</v>
      </c>
      <c r="H59" s="1180">
        <f t="shared" si="16"/>
        <v>44835</v>
      </c>
      <c r="I59" s="1180">
        <f t="shared" si="16"/>
        <v>44805</v>
      </c>
      <c r="J59" s="1180">
        <f t="shared" si="16"/>
        <v>44774</v>
      </c>
      <c r="K59" s="1180">
        <f t="shared" si="16"/>
        <v>44743</v>
      </c>
      <c r="L59" s="1180">
        <f t="shared" si="16"/>
        <v>44713</v>
      </c>
      <c r="M59" s="1180">
        <f t="shared" si="16"/>
        <v>44682</v>
      </c>
      <c r="N59" s="1180">
        <f t="shared" si="16"/>
        <v>44652</v>
      </c>
      <c r="O59" s="1180">
        <f t="shared" si="16"/>
        <v>44621</v>
      </c>
      <c r="P59" s="2749"/>
      <c r="Q59" s="2731"/>
      <c r="R59" s="2731"/>
      <c r="S59" s="2731"/>
      <c r="T59" s="2731"/>
      <c r="U59" s="2731"/>
      <c r="V59" s="2731"/>
      <c r="W59" s="2731"/>
      <c r="X59" s="2731"/>
      <c r="Y59" s="2731"/>
      <c r="Z59" s="2731"/>
      <c r="AA59" s="2731"/>
      <c r="AB59" s="2731"/>
      <c r="AC59" s="2731"/>
    </row>
    <row r="60" spans="1:29" s="107" customFormat="1" ht="15">
      <c r="A60" s="457"/>
      <c r="B60" s="458"/>
      <c r="C60" s="1178">
        <v>100</v>
      </c>
      <c r="D60" s="460"/>
      <c r="E60" s="460"/>
      <c r="F60" s="460"/>
      <c r="G60" s="460"/>
      <c r="H60" s="460"/>
      <c r="I60" s="460"/>
      <c r="J60" s="460"/>
      <c r="K60" s="460"/>
      <c r="L60" s="460"/>
      <c r="M60" s="461"/>
      <c r="N60" s="460"/>
      <c r="O60" s="461"/>
      <c r="P60" s="2750"/>
      <c r="Q60" s="2652"/>
      <c r="R60" s="2652"/>
      <c r="S60" s="2652"/>
      <c r="T60" s="2652"/>
      <c r="U60" s="2652"/>
      <c r="V60" s="2652"/>
      <c r="W60" s="2652"/>
      <c r="X60" s="2652"/>
      <c r="Y60" s="2652"/>
      <c r="Z60" s="2652"/>
      <c r="AA60" s="2652"/>
      <c r="AB60" s="2652"/>
      <c r="AC60" s="2652"/>
    </row>
    <row r="61" spans="1:29" s="107" customFormat="1" ht="15.75" thickBot="1">
      <c r="A61" s="463" t="s">
        <v>1716</v>
      </c>
      <c r="B61" s="464"/>
      <c r="C61" s="465"/>
      <c r="D61" s="466"/>
      <c r="E61" s="466"/>
      <c r="F61" s="466"/>
      <c r="G61" s="466"/>
      <c r="H61" s="466"/>
      <c r="I61" s="466"/>
      <c r="J61" s="466"/>
      <c r="K61" s="466"/>
      <c r="L61" s="466"/>
      <c r="M61" s="467"/>
      <c r="N61" s="466"/>
      <c r="O61" s="467"/>
      <c r="P61" s="2750"/>
      <c r="Q61" s="2729"/>
      <c r="R61" s="2652"/>
      <c r="S61" s="2652"/>
      <c r="T61" s="2652"/>
      <c r="U61" s="2652"/>
      <c r="V61" s="2652"/>
      <c r="W61" s="2652"/>
      <c r="X61" s="2652"/>
      <c r="Y61" s="2652"/>
      <c r="Z61" s="2652"/>
      <c r="AA61" s="2652"/>
      <c r="AB61" s="2652"/>
      <c r="AC61" s="2652"/>
    </row>
    <row r="62" spans="1:29" s="107" customFormat="1" ht="15">
      <c r="A62" s="469" t="s">
        <v>1681</v>
      </c>
      <c r="B62" s="458"/>
      <c r="C62" s="470" t="s">
        <v>1776</v>
      </c>
      <c r="D62" s="471"/>
      <c r="E62" s="471"/>
      <c r="F62" s="471"/>
      <c r="G62" s="471"/>
      <c r="H62" s="471"/>
      <c r="I62" s="471"/>
      <c r="J62" s="471"/>
      <c r="K62" s="471"/>
      <c r="L62" s="472"/>
      <c r="M62" s="473"/>
      <c r="N62" s="2742"/>
      <c r="O62" s="2742"/>
      <c r="P62" s="2751"/>
      <c r="Q62" s="2729"/>
      <c r="R62" s="2652"/>
      <c r="S62" s="2652"/>
      <c r="T62" s="2652"/>
      <c r="U62" s="2652"/>
      <c r="V62" s="2652"/>
      <c r="W62" s="2652"/>
      <c r="X62" s="2652"/>
      <c r="Y62" s="2652"/>
      <c r="Z62" s="2652"/>
      <c r="AA62" s="2652"/>
      <c r="AB62" s="2652"/>
      <c r="AC62" s="2652"/>
    </row>
    <row r="63" spans="1:29" s="107" customFormat="1" ht="15.75" thickBot="1">
      <c r="A63" s="469"/>
      <c r="B63" s="458"/>
      <c r="C63" s="459">
        <v>100</v>
      </c>
      <c r="D63" s="460"/>
      <c r="E63" s="460"/>
      <c r="F63" s="460"/>
      <c r="G63" s="460"/>
      <c r="H63" s="460"/>
      <c r="I63" s="460"/>
      <c r="J63" s="460"/>
      <c r="K63" s="460"/>
      <c r="L63" s="460"/>
      <c r="M63" s="462"/>
      <c r="N63" s="2742"/>
      <c r="O63" s="2742"/>
      <c r="P63" s="2750"/>
      <c r="Q63" s="2729"/>
      <c r="R63" s="2652"/>
      <c r="S63" s="2652"/>
      <c r="T63" s="2652"/>
      <c r="U63" s="2652"/>
      <c r="V63" s="2652"/>
      <c r="W63" s="2652"/>
      <c r="X63" s="2652"/>
      <c r="Y63" s="2652"/>
      <c r="Z63" s="2652"/>
      <c r="AA63" s="2652"/>
      <c r="AB63" s="2652"/>
      <c r="AC63" s="2652"/>
    </row>
    <row r="64" spans="1:29">
      <c r="A64" s="475" t="s">
        <v>1719</v>
      </c>
      <c r="B64" s="476" t="s">
        <v>1685</v>
      </c>
      <c r="C64" s="477">
        <f>C9</f>
        <v>0</v>
      </c>
      <c r="D64" s="478"/>
      <c r="E64" s="478"/>
      <c r="F64" s="478"/>
      <c r="G64" s="478"/>
      <c r="H64" s="478"/>
      <c r="I64" s="478"/>
      <c r="J64" s="478"/>
      <c r="K64" s="479"/>
      <c r="L64" s="480"/>
      <c r="M64" s="481"/>
      <c r="N64" s="2743"/>
      <c r="O64" s="2743"/>
      <c r="P64" s="2752"/>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4"/>
      <c r="O65" s="2744"/>
      <c r="P65" s="2752"/>
      <c r="Q65" s="2729"/>
      <c r="R65" s="2715"/>
      <c r="S65" s="2715"/>
      <c r="T65" s="2715"/>
      <c r="U65" s="2715"/>
      <c r="V65" s="2715"/>
      <c r="W65" s="2715"/>
      <c r="X65" s="2715"/>
      <c r="Y65" s="2715"/>
      <c r="Z65" s="2715"/>
      <c r="AA65" s="2715"/>
      <c r="AB65" s="2715"/>
      <c r="AC65" s="2715"/>
    </row>
    <row r="66" spans="1:29" ht="27.75" thickTop="1">
      <c r="A66" s="482"/>
      <c r="B66" s="486" t="s">
        <v>1688</v>
      </c>
      <c r="C66" s="531"/>
      <c r="D66" s="531"/>
      <c r="E66" s="531"/>
      <c r="F66" s="531"/>
      <c r="G66" s="531"/>
      <c r="H66" s="531"/>
      <c r="I66" s="531"/>
      <c r="J66" s="531"/>
      <c r="K66" s="532"/>
      <c r="L66" s="533"/>
      <c r="M66" s="534"/>
      <c r="N66" s="2743"/>
      <c r="O66" s="2743"/>
      <c r="P66" s="2752"/>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4"/>
      <c r="O67" s="2744"/>
      <c r="P67" s="2752"/>
      <c r="Q67" s="2729"/>
      <c r="R67" s="2715"/>
      <c r="S67" s="2715"/>
      <c r="T67" s="2715"/>
      <c r="U67" s="2715"/>
      <c r="V67" s="2715"/>
      <c r="W67" s="2715"/>
      <c r="X67" s="2715"/>
      <c r="Y67" s="2715"/>
      <c r="Z67" s="2715"/>
      <c r="AA67" s="2715"/>
      <c r="AB67" s="2715"/>
      <c r="AC67" s="2715"/>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3"/>
      <c r="O69" s="2743"/>
      <c r="P69" s="2752"/>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5"/>
      <c r="O71" s="2745"/>
      <c r="P71" s="2753"/>
      <c r="Q71" s="2736"/>
      <c r="R71" s="2737"/>
      <c r="S71" s="2737"/>
      <c r="T71" s="2737"/>
      <c r="U71" s="2737"/>
      <c r="V71" s="2737"/>
      <c r="W71" s="2737"/>
      <c r="X71" s="2737"/>
      <c r="Y71" s="2737"/>
      <c r="Z71" s="2737"/>
      <c r="AA71" s="2737"/>
      <c r="AB71" s="2737"/>
      <c r="AC71" s="2737"/>
    </row>
    <row r="72" spans="1:29" s="421" customFormat="1" ht="15.75" thickBot="1">
      <c r="A72" s="501"/>
      <c r="B72" s="491"/>
      <c r="C72" s="508"/>
      <c r="D72" s="484"/>
      <c r="E72" s="484"/>
      <c r="F72" s="484"/>
      <c r="G72" s="484"/>
      <c r="H72" s="484"/>
      <c r="I72" s="484"/>
      <c r="J72" s="484"/>
      <c r="K72" s="484"/>
      <c r="L72" s="484"/>
      <c r="M72" s="485"/>
      <c r="N72" s="2744"/>
      <c r="O72" s="2744"/>
      <c r="P72" s="2753"/>
      <c r="Q72" s="2736"/>
      <c r="R72" s="2737"/>
      <c r="S72" s="2737"/>
      <c r="T72" s="2737"/>
      <c r="U72" s="2737"/>
      <c r="V72" s="2737"/>
      <c r="W72" s="2737"/>
      <c r="X72" s="2737"/>
      <c r="Y72" s="2737"/>
      <c r="Z72" s="2737"/>
      <c r="AA72" s="2737"/>
      <c r="AB72" s="2737"/>
      <c r="AC72" s="2737"/>
    </row>
    <row r="73" spans="1:29" s="421" customFormat="1" ht="15.75" thickTop="1">
      <c r="A73" s="501"/>
      <c r="B73" s="486">
        <f>B13</f>
        <v>111</v>
      </c>
      <c r="C73" s="502"/>
      <c r="D73" s="502"/>
      <c r="E73" s="502"/>
      <c r="F73" s="502"/>
      <c r="G73" s="502"/>
      <c r="H73" s="503"/>
      <c r="I73" s="503"/>
      <c r="J73" s="503"/>
      <c r="K73" s="503"/>
      <c r="L73" s="504"/>
      <c r="M73" s="505"/>
      <c r="N73" s="2745"/>
      <c r="O73" s="2745"/>
      <c r="P73" s="2754"/>
      <c r="Q73" s="2739"/>
      <c r="R73" s="2737"/>
      <c r="S73" s="2737"/>
      <c r="T73" s="2737"/>
      <c r="U73" s="2737"/>
      <c r="V73" s="2737"/>
      <c r="W73" s="2737"/>
      <c r="X73" s="2737"/>
      <c r="Y73" s="2737"/>
      <c r="Z73" s="2737"/>
      <c r="AA73" s="2737"/>
      <c r="AB73" s="2737"/>
      <c r="AC73" s="2737"/>
    </row>
    <row r="74" spans="1:29" s="421" customFormat="1" ht="15.75" thickBot="1">
      <c r="A74" s="501"/>
      <c r="B74" s="491"/>
      <c r="C74" s="508"/>
      <c r="D74" s="508"/>
      <c r="E74" s="508"/>
      <c r="F74" s="508"/>
      <c r="G74" s="508"/>
      <c r="H74" s="510"/>
      <c r="I74" s="510"/>
      <c r="J74" s="510"/>
      <c r="K74" s="510"/>
      <c r="L74" s="510"/>
      <c r="M74" s="511"/>
      <c r="N74" s="2745"/>
      <c r="O74" s="2745"/>
      <c r="P74" s="2753"/>
      <c r="Q74" s="2736"/>
      <c r="R74" s="2737"/>
      <c r="S74" s="2737"/>
      <c r="T74" s="2737"/>
      <c r="U74" s="2737"/>
      <c r="V74" s="2737"/>
      <c r="W74" s="2737"/>
      <c r="X74" s="2737"/>
      <c r="Y74" s="2737"/>
      <c r="Z74" s="2737"/>
      <c r="AA74" s="2737"/>
      <c r="AB74" s="2737"/>
      <c r="AC74" s="2737"/>
    </row>
    <row r="75" spans="1:29" s="421" customFormat="1" ht="15.75" thickTop="1">
      <c r="A75" s="501"/>
      <c r="B75" s="494">
        <f>B14</f>
        <v>111</v>
      </c>
      <c r="C75" s="471"/>
      <c r="D75" s="471"/>
      <c r="E75" s="471"/>
      <c r="F75" s="471"/>
      <c r="G75" s="471"/>
      <c r="H75" s="512"/>
      <c r="I75" s="512"/>
      <c r="J75" s="512"/>
      <c r="K75" s="512"/>
      <c r="L75" s="513"/>
      <c r="M75" s="514"/>
      <c r="N75" s="2745"/>
      <c r="O75" s="2745"/>
      <c r="P75" s="2755"/>
      <c r="Q75" s="2736"/>
      <c r="R75" s="2737"/>
      <c r="S75" s="2737"/>
      <c r="T75" s="2737"/>
      <c r="U75" s="2737"/>
      <c r="V75" s="2737"/>
      <c r="W75" s="2737"/>
      <c r="X75" s="2737"/>
      <c r="Y75" s="2737"/>
      <c r="Z75" s="2737"/>
      <c r="AA75" s="2737"/>
      <c r="AB75" s="2737"/>
      <c r="AC75" s="2737"/>
    </row>
    <row r="76" spans="1:29" s="421" customFormat="1" ht="15.75" thickBot="1">
      <c r="A76" s="516"/>
      <c r="B76" s="517"/>
      <c r="C76" s="518"/>
      <c r="D76" s="518"/>
      <c r="E76" s="518"/>
      <c r="F76" s="518"/>
      <c r="G76" s="518"/>
      <c r="H76" s="519"/>
      <c r="I76" s="519"/>
      <c r="J76" s="519"/>
      <c r="K76" s="519"/>
      <c r="L76" s="519"/>
      <c r="M76" s="520"/>
      <c r="N76" s="2745"/>
      <c r="O76" s="2745"/>
      <c r="P76" s="2753"/>
      <c r="Q76" s="2736"/>
      <c r="R76" s="2737"/>
      <c r="S76" s="2737"/>
      <c r="T76" s="2737"/>
      <c r="U76" s="2737"/>
      <c r="V76" s="2737"/>
      <c r="W76" s="2737"/>
      <c r="X76" s="2737"/>
      <c r="Y76" s="2737"/>
      <c r="Z76" s="2737"/>
      <c r="AA76" s="2737"/>
      <c r="AB76" s="2737"/>
      <c r="AC76" s="2737"/>
    </row>
    <row r="77" spans="1:29">
      <c r="A77" s="475" t="s">
        <v>1690</v>
      </c>
      <c r="B77" s="476" t="s">
        <v>1821</v>
      </c>
      <c r="C77" s="521" t="s">
        <v>1721</v>
      </c>
      <c r="D77" s="521" t="s">
        <v>1722</v>
      </c>
      <c r="E77" s="521" t="s">
        <v>1723</v>
      </c>
      <c r="F77" s="521" t="s">
        <v>1724</v>
      </c>
      <c r="G77" s="521" t="s">
        <v>1725</v>
      </c>
      <c r="H77" s="477"/>
      <c r="I77" s="477"/>
      <c r="J77" s="477"/>
      <c r="K77" s="522"/>
      <c r="L77" s="523"/>
      <c r="M77" s="524"/>
      <c r="N77" s="2743"/>
      <c r="O77" s="2743"/>
      <c r="P77" s="2756"/>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4"/>
      <c r="O78" s="2744"/>
      <c r="P78" s="2752"/>
      <c r="Q78" s="2729"/>
      <c r="R78" s="2715"/>
      <c r="S78" s="2715"/>
      <c r="T78" s="2715"/>
      <c r="U78" s="2715"/>
      <c r="V78" s="2715"/>
      <c r="W78" s="2715"/>
      <c r="X78" s="2715"/>
      <c r="Y78" s="2715"/>
      <c r="Z78" s="2715"/>
      <c r="AA78" s="2715"/>
      <c r="AB78" s="2715"/>
      <c r="AC78" s="2715"/>
    </row>
    <row r="79" spans="1:29" ht="15.75" thickTop="1">
      <c r="A79" s="482"/>
      <c r="B79" s="486" t="s">
        <v>1726</v>
      </c>
      <c r="C79" s="526" t="s">
        <v>1721</v>
      </c>
      <c r="D79" s="526" t="s">
        <v>1722</v>
      </c>
      <c r="E79" s="526" t="s">
        <v>1723</v>
      </c>
      <c r="F79" s="526" t="s">
        <v>1724</v>
      </c>
      <c r="G79" s="526" t="s">
        <v>1725</v>
      </c>
      <c r="H79" s="487"/>
      <c r="I79" s="487"/>
      <c r="J79" s="487"/>
      <c r="K79" s="488"/>
      <c r="L79" s="489"/>
      <c r="M79" s="490"/>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4"/>
      <c r="O80" s="2744"/>
      <c r="P80" s="2752"/>
      <c r="Q80" s="2729"/>
      <c r="R80" s="2715"/>
      <c r="S80" s="2715"/>
      <c r="T80" s="2715"/>
      <c r="U80" s="2715"/>
      <c r="V80" s="2715"/>
      <c r="W80" s="2715"/>
      <c r="X80" s="2715"/>
      <c r="Y80" s="2715"/>
      <c r="Z80" s="2715"/>
      <c r="AA80" s="2715"/>
      <c r="AB80" s="2715"/>
      <c r="AC80" s="2715"/>
    </row>
    <row r="81" spans="1:29" ht="15.75" thickTop="1">
      <c r="A81" s="482"/>
      <c r="B81" s="486" t="s">
        <v>1727</v>
      </c>
      <c r="C81" s="526" t="s">
        <v>1721</v>
      </c>
      <c r="D81" s="526" t="s">
        <v>1722</v>
      </c>
      <c r="E81" s="526" t="s">
        <v>1723</v>
      </c>
      <c r="F81" s="526" t="s">
        <v>1724</v>
      </c>
      <c r="G81" s="526" t="s">
        <v>1725</v>
      </c>
      <c r="H81" s="487"/>
      <c r="I81" s="487"/>
      <c r="J81" s="487"/>
      <c r="K81" s="488"/>
      <c r="L81" s="489"/>
      <c r="M81" s="490"/>
      <c r="N81" s="2743"/>
      <c r="O81" s="2743"/>
      <c r="P81" s="2752"/>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4"/>
      <c r="O82" s="2744"/>
      <c r="P82" s="2752"/>
      <c r="Q82" s="2729"/>
      <c r="R82" s="2715"/>
      <c r="S82" s="2715"/>
      <c r="T82" s="2715"/>
      <c r="U82" s="2715"/>
      <c r="V82" s="2715"/>
      <c r="W82" s="2715"/>
      <c r="X82" s="2715"/>
      <c r="Y82" s="2715"/>
      <c r="Z82" s="2715"/>
      <c r="AA82" s="2715"/>
      <c r="AB82" s="2715"/>
      <c r="AC82" s="2715"/>
    </row>
    <row r="83" spans="1:29" ht="15.75" thickTop="1">
      <c r="A83" s="482"/>
      <c r="B83" s="494" t="s">
        <v>1813</v>
      </c>
      <c r="C83" s="607" t="s">
        <v>1799</v>
      </c>
      <c r="D83" s="607" t="s">
        <v>1800</v>
      </c>
      <c r="E83" s="607" t="s">
        <v>1801</v>
      </c>
      <c r="F83" s="607" t="s">
        <v>1802</v>
      </c>
      <c r="G83" s="607" t="s">
        <v>1803</v>
      </c>
      <c r="H83" s="487"/>
      <c r="I83" s="487"/>
      <c r="J83" s="487"/>
      <c r="K83" s="487"/>
      <c r="L83" s="487"/>
      <c r="M83" s="1125"/>
      <c r="N83" s="2744"/>
      <c r="O83" s="2744"/>
      <c r="P83" s="2752"/>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4"/>
      <c r="O84" s="2744"/>
      <c r="P84" s="2752"/>
      <c r="Q84" s="2729"/>
      <c r="R84" s="2715"/>
      <c r="S84" s="2715"/>
      <c r="T84" s="2715"/>
      <c r="U84" s="2715"/>
      <c r="V84" s="2715"/>
      <c r="W84" s="2715"/>
      <c r="X84" s="2715"/>
      <c r="Y84" s="2715"/>
      <c r="Z84" s="2715"/>
      <c r="AA84" s="2715"/>
      <c r="AB84" s="2715"/>
      <c r="AC84" s="2715"/>
    </row>
    <row r="85" spans="1:29" ht="15.75" thickTop="1">
      <c r="A85" s="482"/>
      <c r="B85" s="486" t="s">
        <v>1822</v>
      </c>
      <c r="C85" s="526" t="s">
        <v>1721</v>
      </c>
      <c r="D85" s="526" t="s">
        <v>1722</v>
      </c>
      <c r="E85" s="526" t="s">
        <v>1723</v>
      </c>
      <c r="F85" s="526" t="s">
        <v>1724</v>
      </c>
      <c r="G85" s="526" t="s">
        <v>1725</v>
      </c>
      <c r="H85" s="487"/>
      <c r="I85" s="487"/>
      <c r="J85" s="487"/>
      <c r="K85" s="488"/>
      <c r="L85" s="489"/>
      <c r="M85" s="490"/>
      <c r="N85" s="2743"/>
      <c r="O85" s="2743"/>
      <c r="P85" s="2752"/>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4"/>
      <c r="O86" s="2744"/>
      <c r="P86" s="2752"/>
      <c r="Q86" s="2729"/>
      <c r="R86" s="2715"/>
      <c r="S86" s="2715"/>
      <c r="T86" s="2715"/>
      <c r="U86" s="2715"/>
      <c r="V86" s="2715"/>
      <c r="W86" s="2715"/>
      <c r="X86" s="2715"/>
      <c r="Y86" s="2715"/>
      <c r="Z86" s="2715"/>
      <c r="AA86" s="2715"/>
      <c r="AB86" s="2715"/>
      <c r="AC86" s="2715"/>
    </row>
    <row r="87" spans="1:29" s="107" customFormat="1" ht="27.75" thickTop="1">
      <c r="A87" s="527"/>
      <c r="B87" s="486" t="s">
        <v>1823</v>
      </c>
      <c r="C87" s="502"/>
      <c r="D87" s="502"/>
      <c r="E87" s="502"/>
      <c r="F87" s="502"/>
      <c r="G87" s="502"/>
      <c r="H87" s="502"/>
      <c r="I87" s="502"/>
      <c r="J87" s="502"/>
      <c r="K87" s="502"/>
      <c r="L87" s="528"/>
      <c r="M87" s="529"/>
      <c r="N87" s="2742"/>
      <c r="O87" s="2742"/>
      <c r="P87" s="2752"/>
      <c r="Q87" s="2729"/>
      <c r="R87" s="2652"/>
      <c r="S87" s="2652"/>
      <c r="T87" s="2652"/>
      <c r="U87" s="2652"/>
      <c r="V87" s="2652"/>
      <c r="W87" s="2652"/>
      <c r="X87" s="2652"/>
      <c r="Y87" s="2652"/>
      <c r="Z87" s="2652"/>
      <c r="AA87" s="2652"/>
      <c r="AB87" s="2652"/>
      <c r="AC87" s="2652"/>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7"/>
      <c r="B89" s="486" t="str">
        <f>B27</f>
        <v>楼层</v>
      </c>
      <c r="C89" s="502"/>
      <c r="D89" s="502"/>
      <c r="E89" s="502"/>
      <c r="F89" s="1919"/>
      <c r="G89" s="502"/>
      <c r="H89" s="502"/>
      <c r="I89" s="502"/>
      <c r="J89" s="502"/>
      <c r="K89" s="502"/>
      <c r="L89" s="502"/>
      <c r="M89" s="529"/>
      <c r="N89" s="2742"/>
      <c r="O89" s="2742"/>
      <c r="P89" s="2752"/>
      <c r="Q89" s="2729"/>
      <c r="R89" s="2652"/>
      <c r="S89" s="2652"/>
      <c r="T89" s="2652"/>
      <c r="U89" s="2652"/>
      <c r="V89" s="2652"/>
      <c r="W89" s="2652"/>
      <c r="X89" s="2652"/>
      <c r="Y89" s="2652"/>
      <c r="Z89" s="2652"/>
      <c r="AA89" s="2652"/>
      <c r="AB89" s="2652"/>
      <c r="AC89" s="2652"/>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2"/>
      <c r="B93" s="486">
        <f>B29</f>
        <v>111</v>
      </c>
      <c r="C93" s="502"/>
      <c r="D93" s="502"/>
      <c r="E93" s="502"/>
      <c r="F93" s="502"/>
      <c r="G93" s="502"/>
      <c r="H93" s="502"/>
      <c r="I93" s="502"/>
      <c r="J93" s="502"/>
      <c r="K93" s="502"/>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4"/>
      <c r="O94" s="2744"/>
      <c r="P94" s="2752"/>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4"/>
      <c r="O96" s="2744"/>
      <c r="P96" s="2752"/>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3"/>
      <c r="O97" s="2743"/>
      <c r="P97" s="2752"/>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4"/>
      <c r="O98" s="2744"/>
      <c r="P98" s="2752"/>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3"/>
      <c r="O99" s="2743"/>
      <c r="P99" s="2752"/>
      <c r="Q99" s="2729"/>
      <c r="R99" s="2715"/>
      <c r="S99" s="2715"/>
      <c r="T99" s="2715"/>
      <c r="U99" s="2715"/>
      <c r="V99" s="2715"/>
      <c r="W99" s="2715"/>
      <c r="X99" s="2715"/>
      <c r="Y99" s="2715"/>
      <c r="Z99" s="2715"/>
      <c r="AA99" s="2715"/>
      <c r="AB99" s="2715"/>
      <c r="AC99" s="2715"/>
    </row>
    <row r="100" spans="1:29" ht="15.75" thickBot="1">
      <c r="A100" s="1920"/>
      <c r="B100" s="517"/>
      <c r="C100" s="518"/>
      <c r="D100" s="518"/>
      <c r="E100" s="518"/>
      <c r="F100" s="518"/>
      <c r="G100" s="539"/>
      <c r="H100" s="539"/>
      <c r="I100" s="539"/>
      <c r="J100" s="539"/>
      <c r="K100" s="539"/>
      <c r="L100" s="539"/>
      <c r="M100" s="540"/>
      <c r="N100" s="2744"/>
      <c r="O100" s="2744"/>
      <c r="P100" s="2752"/>
      <c r="Q100" s="2729"/>
      <c r="R100" s="2715"/>
      <c r="S100" s="2715"/>
      <c r="T100" s="2715"/>
      <c r="U100" s="2715"/>
      <c r="V100" s="2715"/>
      <c r="W100" s="2715"/>
      <c r="X100" s="2715"/>
      <c r="Y100" s="2715"/>
      <c r="Z100" s="2715"/>
      <c r="AA100" s="2715"/>
      <c r="AB100" s="2715"/>
      <c r="AC100" s="2715"/>
    </row>
    <row r="101" spans="1:29">
      <c r="A101" s="475" t="s">
        <v>1694</v>
      </c>
      <c r="B101" s="476" t="s">
        <v>1736</v>
      </c>
      <c r="C101" s="478"/>
      <c r="D101" s="478"/>
      <c r="E101" s="478"/>
      <c r="F101" s="478"/>
      <c r="G101" s="478"/>
      <c r="H101" s="478"/>
      <c r="I101" s="478"/>
      <c r="J101" s="478"/>
      <c r="K101" s="479"/>
      <c r="L101" s="480"/>
      <c r="M101" s="481"/>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501"/>
      <c r="B105" s="491"/>
      <c r="C105" s="508"/>
      <c r="D105" s="484"/>
      <c r="E105" s="484"/>
      <c r="F105" s="484"/>
      <c r="G105" s="484"/>
      <c r="H105" s="484"/>
      <c r="I105" s="484"/>
      <c r="J105" s="484"/>
      <c r="K105" s="484"/>
      <c r="L105" s="484"/>
      <c r="M105" s="485"/>
      <c r="N105" s="2744"/>
      <c r="O105" s="2744"/>
      <c r="P105" s="2753"/>
      <c r="Q105" s="2736"/>
      <c r="R105" s="2737"/>
      <c r="S105" s="2737"/>
      <c r="T105" s="2737"/>
      <c r="U105" s="2737"/>
      <c r="V105" s="2737"/>
      <c r="W105" s="2737"/>
      <c r="X105" s="2737"/>
      <c r="Y105" s="2737"/>
      <c r="Z105" s="2737"/>
      <c r="AA105" s="2737"/>
      <c r="AB105" s="2737"/>
      <c r="AC105" s="2737"/>
    </row>
    <row r="106" spans="1:29" ht="15" thickTop="1">
      <c r="A106" s="547"/>
      <c r="B106" s="486" t="s">
        <v>1738</v>
      </c>
      <c r="C106" s="502"/>
      <c r="D106" s="502"/>
      <c r="E106" s="531"/>
      <c r="F106" s="531"/>
      <c r="G106" s="531"/>
      <c r="H106" s="531"/>
      <c r="I106" s="531"/>
      <c r="J106" s="531"/>
      <c r="K106" s="532"/>
      <c r="L106" s="533"/>
      <c r="M106" s="534"/>
      <c r="N106" s="2743"/>
      <c r="O106" s="2743"/>
      <c r="P106" s="2752"/>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7"/>
      <c r="B108" s="486" t="s">
        <v>1740</v>
      </c>
      <c r="C108" s="502"/>
      <c r="D108" s="502"/>
      <c r="E108" s="502"/>
      <c r="F108" s="531"/>
      <c r="G108" s="531"/>
      <c r="H108" s="531"/>
      <c r="I108" s="531"/>
      <c r="J108" s="531"/>
      <c r="K108" s="532"/>
      <c r="L108" s="533"/>
      <c r="M108" s="534"/>
      <c r="N108" s="2743"/>
      <c r="O108" s="2743"/>
      <c r="P108" s="2752"/>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3"/>
      <c r="O110" s="2743"/>
      <c r="P110" s="2752"/>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41"/>
      <c r="B113" s="486" t="s">
        <v>1824</v>
      </c>
      <c r="C113" s="502"/>
      <c r="D113" s="502"/>
      <c r="E113" s="502"/>
      <c r="F113" s="502"/>
      <c r="G113" s="502"/>
      <c r="H113" s="531"/>
      <c r="I113" s="531"/>
      <c r="J113" s="531"/>
      <c r="K113" s="532"/>
      <c r="L113" s="533"/>
      <c r="M113" s="534"/>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7"/>
      <c r="B115" s="486" t="s">
        <v>1741</v>
      </c>
      <c r="C115" s="502"/>
      <c r="D115" s="502"/>
      <c r="E115" s="531"/>
      <c r="F115" s="531"/>
      <c r="G115" s="531"/>
      <c r="H115" s="531"/>
      <c r="I115" s="531"/>
      <c r="J115" s="531"/>
      <c r="K115" s="532"/>
      <c r="L115" s="533"/>
      <c r="M115" s="534"/>
      <c r="N115" s="2743"/>
      <c r="O115" s="2743"/>
      <c r="P115" s="2752"/>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7"/>
      <c r="B117" s="486" t="s">
        <v>1742</v>
      </c>
      <c r="C117" s="502"/>
      <c r="D117" s="502"/>
      <c r="E117" s="502"/>
      <c r="F117" s="502"/>
      <c r="G117" s="502"/>
      <c r="H117" s="531"/>
      <c r="I117" s="531"/>
      <c r="J117" s="531"/>
      <c r="K117" s="532"/>
      <c r="L117" s="533"/>
      <c r="M117" s="534"/>
      <c r="N117" s="2743"/>
      <c r="O117" s="2743"/>
      <c r="P117" s="2752"/>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4"/>
      <c r="O118" s="2744"/>
      <c r="P118" s="2752"/>
      <c r="Q118" s="2729"/>
      <c r="R118" s="2715"/>
      <c r="S118" s="2715"/>
      <c r="T118" s="2715"/>
      <c r="U118" s="2715"/>
      <c r="V118" s="2715"/>
      <c r="W118" s="2715"/>
      <c r="X118" s="2715"/>
      <c r="Y118" s="2715"/>
      <c r="Z118" s="2715"/>
      <c r="AA118" s="2715"/>
      <c r="AB118" s="2715"/>
      <c r="AC118" s="2715"/>
    </row>
    <row r="119" spans="1:29" ht="15" thickTop="1">
      <c r="A119" s="547"/>
      <c r="B119" s="583" t="s">
        <v>1825</v>
      </c>
      <c r="C119" s="531"/>
      <c r="D119" s="531"/>
      <c r="E119" s="531"/>
      <c r="F119" s="531"/>
      <c r="G119" s="531"/>
      <c r="H119" s="531"/>
      <c r="I119" s="531"/>
      <c r="J119" s="531"/>
      <c r="K119" s="531"/>
      <c r="L119" s="1960"/>
      <c r="M119" s="1961"/>
      <c r="N119" s="2744"/>
      <c r="O119" s="2744"/>
      <c r="P119" s="2757"/>
      <c r="Q119" s="2758"/>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41"/>
      <c r="B121" s="486" t="s">
        <v>1808</v>
      </c>
      <c r="C121" s="502"/>
      <c r="D121" s="502"/>
      <c r="E121" s="502"/>
      <c r="F121" s="531"/>
      <c r="G121" s="503"/>
      <c r="H121" s="503"/>
      <c r="I121" s="503"/>
      <c r="J121" s="503"/>
      <c r="K121" s="503"/>
      <c r="L121" s="504"/>
      <c r="M121" s="505"/>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501"/>
      <c r="B122" s="483"/>
      <c r="C122" s="508"/>
      <c r="D122" s="508"/>
      <c r="E122" s="508"/>
      <c r="F122" s="508"/>
      <c r="G122" s="508"/>
      <c r="H122" s="508"/>
      <c r="I122" s="508"/>
      <c r="J122" s="508"/>
      <c r="K122" s="508"/>
      <c r="L122" s="508"/>
      <c r="M122" s="508"/>
      <c r="N122" s="2745"/>
      <c r="O122" s="2745"/>
      <c r="P122" s="2753"/>
      <c r="Q122" s="2736"/>
      <c r="R122" s="2737"/>
      <c r="S122" s="2737"/>
      <c r="T122" s="2737"/>
      <c r="U122" s="2737"/>
      <c r="V122" s="2737"/>
      <c r="W122" s="2737"/>
      <c r="X122" s="2737"/>
      <c r="Y122" s="2737"/>
      <c r="Z122" s="2737"/>
      <c r="AA122" s="2737"/>
      <c r="AB122" s="2737"/>
      <c r="AC122" s="2737"/>
    </row>
    <row r="123" spans="1:29" ht="15" thickTop="1">
      <c r="A123" s="547"/>
      <c r="B123" s="486" t="s">
        <v>1744</v>
      </c>
      <c r="C123" s="502"/>
      <c r="D123" s="502"/>
      <c r="E123" s="502"/>
      <c r="F123" s="531"/>
      <c r="G123" s="531"/>
      <c r="H123" s="531"/>
      <c r="I123" s="531"/>
      <c r="J123" s="531"/>
      <c r="K123" s="532"/>
      <c r="L123" s="533"/>
      <c r="M123" s="534"/>
      <c r="N123" s="2743"/>
      <c r="O123" s="2743"/>
      <c r="P123" s="2752"/>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3"/>
      <c r="O125" s="2743"/>
      <c r="P125" s="2753"/>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501"/>
      <c r="B128" s="491"/>
      <c r="C128" s="508"/>
      <c r="D128" s="484"/>
      <c r="E128" s="484"/>
      <c r="F128" s="484"/>
      <c r="G128" s="508"/>
      <c r="H128" s="510"/>
      <c r="I128" s="510"/>
      <c r="J128" s="510"/>
      <c r="K128" s="510"/>
      <c r="L128" s="510"/>
      <c r="M128" s="511"/>
      <c r="N128" s="2745"/>
      <c r="O128" s="2745"/>
      <c r="P128" s="2753"/>
      <c r="Q128" s="2736"/>
      <c r="R128" s="2737"/>
      <c r="S128" s="2737"/>
      <c r="T128" s="2737"/>
      <c r="U128" s="2737"/>
      <c r="V128" s="2737"/>
      <c r="W128" s="2737"/>
      <c r="X128" s="2737"/>
      <c r="Y128" s="2737"/>
      <c r="Z128" s="2737"/>
      <c r="AA128" s="2737"/>
      <c r="AB128" s="2737"/>
      <c r="AC128" s="2737"/>
    </row>
    <row r="129" spans="1:29" ht="15" thickTop="1">
      <c r="A129" s="547"/>
      <c r="B129" s="486">
        <f>B46</f>
        <v>111</v>
      </c>
      <c r="C129" s="502"/>
      <c r="D129" s="502"/>
      <c r="E129" s="502"/>
      <c r="F129" s="502"/>
      <c r="G129" s="531"/>
      <c r="H129" s="531"/>
      <c r="I129" s="531"/>
      <c r="J129" s="531"/>
      <c r="K129" s="532"/>
      <c r="L129" s="533"/>
      <c r="M129" s="534"/>
      <c r="N129" s="2743"/>
      <c r="O129" s="2743"/>
      <c r="P129" s="2752"/>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4"/>
      <c r="O130" s="2744"/>
      <c r="P130" s="2752"/>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3"/>
      <c r="O131" s="2743"/>
      <c r="P131" s="2752"/>
      <c r="Q131" s="2729"/>
      <c r="R131" s="2715"/>
      <c r="S131" s="2715"/>
      <c r="T131" s="2715"/>
      <c r="U131" s="2715"/>
      <c r="V131" s="2715"/>
      <c r="W131" s="2715"/>
      <c r="X131" s="2715"/>
      <c r="Y131" s="2715"/>
      <c r="Z131" s="2715"/>
      <c r="AA131" s="2715"/>
      <c r="AB131" s="2715"/>
      <c r="AC131" s="2715"/>
    </row>
    <row r="132" spans="1:29" ht="15.75" thickBot="1">
      <c r="A132" s="1920"/>
      <c r="B132" s="517"/>
      <c r="C132" s="518"/>
      <c r="D132" s="518"/>
      <c r="E132" s="518"/>
      <c r="F132" s="518"/>
      <c r="G132" s="539"/>
      <c r="H132" s="539"/>
      <c r="I132" s="539"/>
      <c r="J132" s="539"/>
      <c r="K132" s="539"/>
      <c r="L132" s="539"/>
      <c r="M132" s="540"/>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1826</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185933.89999999997</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4" t="s">
        <v>1769</v>
      </c>
      <c r="B4" s="355"/>
      <c r="C4" s="3912" t="s">
        <v>1770</v>
      </c>
      <c r="D4" s="3913"/>
      <c r="E4" s="3914" t="s">
        <v>1771</v>
      </c>
      <c r="F4" s="3915"/>
      <c r="G4" s="3912" t="s">
        <v>1772</v>
      </c>
      <c r="H4" s="3913"/>
      <c r="I4" s="3912" t="s">
        <v>1773</v>
      </c>
      <c r="J4" s="3913"/>
      <c r="K4" s="558" t="s">
        <v>1774</v>
      </c>
      <c r="L4" s="909"/>
      <c r="M4" s="910"/>
      <c r="N4" s="910"/>
      <c r="O4" s="910"/>
      <c r="P4" s="3916" t="s">
        <v>1775</v>
      </c>
      <c r="Q4" s="3917"/>
      <c r="R4" s="3899" t="s">
        <v>1771</v>
      </c>
      <c r="S4" s="3900"/>
      <c r="T4" s="3899" t="s">
        <v>1772</v>
      </c>
      <c r="U4" s="3900"/>
      <c r="V4" s="3924" t="s">
        <v>1773</v>
      </c>
      <c r="W4" s="3924"/>
      <c r="X4" s="1350"/>
      <c r="Y4" s="3899" t="s">
        <v>1775</v>
      </c>
      <c r="Z4" s="3900"/>
      <c r="AA4" s="3894" t="s">
        <v>1771</v>
      </c>
      <c r="AB4" s="3895" t="s">
        <v>1772</v>
      </c>
      <c r="AC4" s="3894" t="s">
        <v>1773</v>
      </c>
    </row>
    <row r="5" spans="1:29" ht="15">
      <c r="A5" s="357"/>
      <c r="B5" s="358"/>
      <c r="C5" s="3905" t="s">
        <v>1673</v>
      </c>
      <c r="D5" s="3906"/>
      <c r="E5" s="3903" t="s">
        <v>1674</v>
      </c>
      <c r="F5" s="3904"/>
      <c r="G5" s="3905" t="s">
        <v>1675</v>
      </c>
      <c r="H5" s="3906"/>
      <c r="I5" s="3905" t="s">
        <v>1676</v>
      </c>
      <c r="J5" s="3906"/>
      <c r="K5" s="558"/>
      <c r="L5" s="909"/>
      <c r="M5" s="910"/>
      <c r="N5" s="910"/>
      <c r="O5" s="910"/>
      <c r="P5" s="3918"/>
      <c r="Q5" s="3919"/>
      <c r="R5" s="3901"/>
      <c r="S5" s="3902"/>
      <c r="T5" s="3901"/>
      <c r="U5" s="3902"/>
      <c r="V5" s="3924"/>
      <c r="W5" s="3924"/>
      <c r="X5" s="1350"/>
      <c r="Y5" s="3901"/>
      <c r="Z5" s="3902"/>
      <c r="AA5" s="3895"/>
      <c r="AB5" s="3895"/>
      <c r="AC5" s="3895"/>
    </row>
    <row r="6" spans="1:29" ht="15.75" thickBot="1">
      <c r="A6" s="359"/>
      <c r="B6" s="360"/>
      <c r="C6" s="3907" t="s">
        <v>1677</v>
      </c>
      <c r="D6" s="3908"/>
      <c r="E6" s="3909" t="s">
        <v>1677</v>
      </c>
      <c r="F6" s="3910"/>
      <c r="G6" s="3907" t="s">
        <v>1677</v>
      </c>
      <c r="H6" s="3908"/>
      <c r="I6" s="3907" t="s">
        <v>1677</v>
      </c>
      <c r="J6" s="3908"/>
      <c r="K6" s="558" t="s">
        <v>1678</v>
      </c>
      <c r="L6" s="909"/>
      <c r="M6" s="910"/>
      <c r="N6" s="910"/>
      <c r="O6" s="910"/>
      <c r="P6" s="3920"/>
      <c r="Q6" s="3921"/>
      <c r="R6" s="3901"/>
      <c r="S6" s="3902"/>
      <c r="T6" s="3922"/>
      <c r="U6" s="3923"/>
      <c r="V6" s="3924"/>
      <c r="W6" s="3924"/>
      <c r="X6" s="1350"/>
      <c r="Y6" s="3922"/>
      <c r="Z6" s="3923"/>
      <c r="AA6" s="3896"/>
      <c r="AB6" s="3896"/>
      <c r="AC6" s="3896"/>
    </row>
    <row r="7" spans="1:29" s="107" customFormat="1" ht="15.75" thickBot="1">
      <c r="A7" s="361" t="s">
        <v>1679</v>
      </c>
      <c r="B7" s="362"/>
      <c r="C7" s="363">
        <f>'数据-取费表'!B2</f>
        <v>44999</v>
      </c>
      <c r="D7" s="364">
        <v>100</v>
      </c>
      <c r="E7" s="365"/>
      <c r="F7" s="366">
        <f>SUMIF(52:52,YEAR(E7)&amp;"-"&amp;MONTH(E7),53:53)</f>
        <v>0</v>
      </c>
      <c r="G7" s="365"/>
      <c r="H7" s="364">
        <f>SUMIF(52:52,YEAR(G7)&amp;"-"&amp;MONTH(G7),53:53)</f>
        <v>0</v>
      </c>
      <c r="I7" s="365"/>
      <c r="J7" s="364">
        <f>SUMIF(52:52,YEAR(I7)&amp;"-"&amp;MONTH(I7),53:53)</f>
        <v>0</v>
      </c>
      <c r="K7" s="559"/>
      <c r="L7" s="911"/>
      <c r="M7" s="912"/>
      <c r="N7" s="912"/>
      <c r="O7" s="912"/>
      <c r="P7" s="3897" t="s">
        <v>1680</v>
      </c>
      <c r="Q7" s="3925"/>
      <c r="R7" s="700" t="s">
        <v>14</v>
      </c>
      <c r="S7" s="701">
        <f t="shared" ref="S7:S15" si="0">F7</f>
        <v>0</v>
      </c>
      <c r="T7" s="700" t="s">
        <v>14</v>
      </c>
      <c r="U7" s="701">
        <f t="shared" ref="U7:U15" si="1">H7</f>
        <v>0</v>
      </c>
      <c r="V7" s="700" t="s">
        <v>14</v>
      </c>
      <c r="W7" s="701">
        <f t="shared" ref="W7:W15" si="2">J7</f>
        <v>0</v>
      </c>
      <c r="X7" s="702"/>
      <c r="Y7" s="3897" t="s">
        <v>1680</v>
      </c>
      <c r="Z7" s="3898"/>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97" t="s">
        <v>1683</v>
      </c>
      <c r="Q8" s="3898"/>
      <c r="R8" s="700" t="s">
        <v>14</v>
      </c>
      <c r="S8" s="701">
        <f t="shared" si="0"/>
        <v>100</v>
      </c>
      <c r="T8" s="700" t="s">
        <v>14</v>
      </c>
      <c r="U8" s="701">
        <f t="shared" si="1"/>
        <v>100</v>
      </c>
      <c r="V8" s="700" t="s">
        <v>14</v>
      </c>
      <c r="W8" s="701">
        <f t="shared" si="2"/>
        <v>100</v>
      </c>
      <c r="X8" s="702"/>
      <c r="Y8" s="3897" t="s">
        <v>1683</v>
      </c>
      <c r="Z8" s="3898"/>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911"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0"/>
      <c r="F10" s="126">
        <f>SUMIF(59:59,E10,60:60)-SUMIF(59:59,C10,60:60)+100</f>
        <v>100</v>
      </c>
      <c r="G10" s="3421"/>
      <c r="H10" s="126">
        <f>SUMIF(59:59,G10,60:60)-SUMIF(59:59,C10,60:60)+100</f>
        <v>100</v>
      </c>
      <c r="I10" s="3420"/>
      <c r="J10" s="126">
        <f>SUMIF(59:59,I10,60:60)-SUMIF(59:59,C10,60:60)+100</f>
        <v>100</v>
      </c>
      <c r="K10" s="559"/>
      <c r="L10" s="914"/>
      <c r="M10" s="915"/>
      <c r="N10" s="915"/>
      <c r="O10" s="916"/>
      <c r="P10" s="3911"/>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911"/>
      <c r="Q11" s="1338" t="str">
        <f t="shared" si="6"/>
        <v>容积率</v>
      </c>
      <c r="R11" s="700" t="s">
        <v>14</v>
      </c>
      <c r="S11" s="701">
        <f t="shared" si="0"/>
        <v>100</v>
      </c>
      <c r="T11" s="700" t="s">
        <v>14</v>
      </c>
      <c r="U11" s="701">
        <f t="shared" si="1"/>
        <v>100</v>
      </c>
      <c r="V11" s="700" t="s">
        <v>14</v>
      </c>
      <c r="W11" s="701">
        <f t="shared" si="2"/>
        <v>100</v>
      </c>
      <c r="X11" s="702"/>
      <c r="Y11" s="3851"/>
      <c r="Z11" s="52" t="str">
        <f t="shared" si="7"/>
        <v>容积率</v>
      </c>
      <c r="AA11" s="703">
        <f t="shared" si="3"/>
        <v>1</v>
      </c>
      <c r="AB11" s="703">
        <f t="shared" si="4"/>
        <v>1</v>
      </c>
      <c r="AC11" s="703">
        <f t="shared" si="5"/>
        <v>1</v>
      </c>
    </row>
    <row r="12" spans="1:29" s="107" customFormat="1" ht="15">
      <c r="A12" s="381"/>
      <c r="B12" s="1887">
        <v>111</v>
      </c>
      <c r="C12" s="382"/>
      <c r="D12" s="383">
        <v>100</v>
      </c>
      <c r="E12" s="384"/>
      <c r="F12" s="126">
        <f>SUMIF(64:64,E12,65:65)-SUMIF(64:64,C12,65:65)+100</f>
        <v>100</v>
      </c>
      <c r="G12" s="1962"/>
      <c r="H12" s="126">
        <f>SUMIF(64:64,G12,65:65)-SUMIF(64:64,C12,65:65)+100</f>
        <v>100</v>
      </c>
      <c r="I12" s="419"/>
      <c r="J12" s="126">
        <f>SUMIF(64:64,I12,65:65)-SUMIF(64:64,C12,65:65)+100</f>
        <v>100</v>
      </c>
      <c r="K12" s="561"/>
      <c r="L12" s="911"/>
      <c r="M12" s="912"/>
      <c r="N12" s="912"/>
      <c r="O12" s="913"/>
      <c r="P12" s="3911"/>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703">
        <f>D12/J12</f>
        <v>1</v>
      </c>
    </row>
    <row r="13" spans="1:29" ht="15">
      <c r="A13" s="378"/>
      <c r="B13" s="1887">
        <v>111</v>
      </c>
      <c r="C13" s="384"/>
      <c r="D13" s="385">
        <v>100</v>
      </c>
      <c r="E13" s="384"/>
      <c r="F13" s="126">
        <f>SUMIF(66:66,E13,67:67)-SUMIF(66:66,C13,67:67)+100</f>
        <v>100</v>
      </c>
      <c r="G13" s="1962"/>
      <c r="H13" s="385">
        <f>SUMIF(66:66,G13,67:67)-SUMIF(66:66,C13,67:67)+100</f>
        <v>100</v>
      </c>
      <c r="I13" s="419"/>
      <c r="J13" s="385">
        <f>SUMIF(66:66,I13,67:67)-SUMIF(66:66,C13,67:67)+100</f>
        <v>100</v>
      </c>
      <c r="K13" s="561"/>
      <c r="L13" s="919"/>
      <c r="M13" s="910"/>
      <c r="N13" s="910"/>
      <c r="O13" s="918"/>
      <c r="P13" s="3911"/>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703">
        <f t="shared" si="5"/>
        <v>1</v>
      </c>
    </row>
    <row r="14" spans="1:29" ht="15.75" thickBot="1">
      <c r="A14" s="386"/>
      <c r="B14" s="1889">
        <v>111</v>
      </c>
      <c r="C14" s="387"/>
      <c r="D14" s="388">
        <v>100</v>
      </c>
      <c r="E14" s="387"/>
      <c r="F14" s="388">
        <f>SUMIF(68:68,E14,69:69)-SUMIF(68:68,C14,69:69)+100</f>
        <v>100</v>
      </c>
      <c r="G14" s="1962"/>
      <c r="H14" s="388">
        <f>SUMIF(68:68,G14,69:69)-SUMIF(68:68,C14,69:69)+100</f>
        <v>100</v>
      </c>
      <c r="I14" s="419"/>
      <c r="J14" s="388">
        <f>SUMIF(68:68,I14,69:69)-SUMIF(68:68,C14,69:69)+100</f>
        <v>100</v>
      </c>
      <c r="K14" s="561"/>
      <c r="L14" s="919"/>
      <c r="M14" s="910"/>
      <c r="N14" s="910"/>
      <c r="O14" s="918"/>
      <c r="P14" s="3911"/>
      <c r="Q14" s="1338">
        <f t="shared" si="6"/>
        <v>111</v>
      </c>
      <c r="R14" s="700" t="s">
        <v>14</v>
      </c>
      <c r="S14" s="701">
        <f t="shared" si="0"/>
        <v>100</v>
      </c>
      <c r="T14" s="700" t="s">
        <v>14</v>
      </c>
      <c r="U14" s="701">
        <f t="shared" si="1"/>
        <v>100</v>
      </c>
      <c r="V14" s="700" t="s">
        <v>14</v>
      </c>
      <c r="W14" s="701">
        <f t="shared" si="2"/>
        <v>100</v>
      </c>
      <c r="X14" s="702"/>
      <c r="Y14" s="3851"/>
      <c r="Z14" s="52">
        <f t="shared" si="7"/>
        <v>111</v>
      </c>
      <c r="AA14" s="703">
        <f t="shared" si="3"/>
        <v>1</v>
      </c>
      <c r="AB14" s="703">
        <f t="shared" si="4"/>
        <v>1</v>
      </c>
      <c r="AC14" s="703">
        <f t="shared" si="5"/>
        <v>1</v>
      </c>
    </row>
    <row r="15" spans="1:29" ht="57">
      <c r="A15" s="390" t="s">
        <v>1690</v>
      </c>
      <c r="B15" s="61" t="s">
        <v>1827</v>
      </c>
      <c r="C15" s="1963"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926" t="s">
        <v>1691</v>
      </c>
      <c r="Q15" s="1347" t="str">
        <f t="shared" si="6"/>
        <v>产业集聚程度</v>
      </c>
      <c r="R15" s="704" t="s">
        <v>14</v>
      </c>
      <c r="S15" s="705">
        <f t="shared" si="0"/>
        <v>100</v>
      </c>
      <c r="T15" s="704" t="s">
        <v>14</v>
      </c>
      <c r="U15" s="705">
        <f t="shared" si="1"/>
        <v>100</v>
      </c>
      <c r="V15" s="704" t="s">
        <v>14</v>
      </c>
      <c r="W15" s="705">
        <f t="shared" si="2"/>
        <v>100</v>
      </c>
      <c r="X15" s="1350"/>
      <c r="Y15" s="3926"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3927"/>
      <c r="Q16" s="1347"/>
      <c r="R16" s="704"/>
      <c r="S16" s="705"/>
      <c r="T16" s="704"/>
      <c r="U16" s="705"/>
      <c r="V16" s="704"/>
      <c r="W16" s="705"/>
      <c r="X16" s="1350"/>
      <c r="Y16" s="3927"/>
      <c r="Z16" s="1351"/>
      <c r="AA16" s="1348">
        <v>1</v>
      </c>
      <c r="AB16" s="1348">
        <v>1</v>
      </c>
      <c r="AC16" s="1348">
        <v>1</v>
      </c>
    </row>
    <row r="17" spans="1:29" ht="85.5">
      <c r="A17" s="378"/>
      <c r="B17" s="401" t="s">
        <v>1259</v>
      </c>
      <c r="C17" s="1894"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927"/>
      <c r="Q17" s="1347" t="str">
        <f>B17</f>
        <v>交通便捷度</v>
      </c>
      <c r="R17" s="704" t="s">
        <v>14</v>
      </c>
      <c r="S17" s="705">
        <f>F17</f>
        <v>100</v>
      </c>
      <c r="T17" s="704" t="s">
        <v>14</v>
      </c>
      <c r="U17" s="705">
        <f>H17</f>
        <v>100</v>
      </c>
      <c r="V17" s="704" t="s">
        <v>14</v>
      </c>
      <c r="W17" s="705">
        <f>J17</f>
        <v>100</v>
      </c>
      <c r="X17" s="1350"/>
      <c r="Y17" s="3927"/>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919"/>
      <c r="M18" s="910"/>
      <c r="N18" s="910"/>
      <c r="O18" s="918"/>
      <c r="P18" s="3927"/>
      <c r="Q18" s="1347"/>
      <c r="R18" s="704"/>
      <c r="S18" s="705"/>
      <c r="T18" s="704"/>
      <c r="U18" s="705"/>
      <c r="V18" s="704"/>
      <c r="W18" s="705"/>
      <c r="X18" s="1350"/>
      <c r="Y18" s="3927"/>
      <c r="Z18" s="1351"/>
      <c r="AA18" s="1348">
        <v>1</v>
      </c>
      <c r="AB18" s="1348">
        <v>1</v>
      </c>
      <c r="AC18" s="1348">
        <v>1</v>
      </c>
    </row>
    <row r="19" spans="1:29" ht="42.75">
      <c r="A19" s="378"/>
      <c r="B19" s="401" t="s">
        <v>1812</v>
      </c>
      <c r="C19" s="1894"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927"/>
      <c r="Q19" s="1347" t="str">
        <f>B19</f>
        <v>公共配套设施</v>
      </c>
      <c r="R19" s="704" t="s">
        <v>14</v>
      </c>
      <c r="S19" s="705">
        <f>F19</f>
        <v>100</v>
      </c>
      <c r="T19" s="704" t="s">
        <v>14</v>
      </c>
      <c r="U19" s="705">
        <f>H19</f>
        <v>100</v>
      </c>
      <c r="V19" s="704" t="s">
        <v>14</v>
      </c>
      <c r="W19" s="705">
        <f>J19</f>
        <v>100</v>
      </c>
      <c r="X19" s="1350"/>
      <c r="Y19" s="3927"/>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919"/>
      <c r="M20" s="910"/>
      <c r="N20" s="910"/>
      <c r="O20" s="918"/>
      <c r="P20" s="3927"/>
      <c r="Q20" s="1347"/>
      <c r="R20" s="704"/>
      <c r="S20" s="705"/>
      <c r="T20" s="704"/>
      <c r="U20" s="705"/>
      <c r="V20" s="704"/>
      <c r="W20" s="705"/>
      <c r="X20" s="1350"/>
      <c r="Y20" s="3927"/>
      <c r="Z20" s="1351"/>
      <c r="AA20" s="1348">
        <v>1</v>
      </c>
      <c r="AB20" s="1348">
        <v>1</v>
      </c>
      <c r="AC20" s="1348">
        <v>1</v>
      </c>
    </row>
    <row r="21" spans="1:29" ht="28.5">
      <c r="A21" s="378"/>
      <c r="B21" s="1127" t="s">
        <v>1813</v>
      </c>
      <c r="C21" s="1894"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927"/>
      <c r="Q21" s="1347" t="str">
        <f>B21</f>
        <v>基础设施水平</v>
      </c>
      <c r="R21" s="704" t="s">
        <v>14</v>
      </c>
      <c r="S21" s="705">
        <f>F21</f>
        <v>100</v>
      </c>
      <c r="T21" s="704" t="s">
        <v>14</v>
      </c>
      <c r="U21" s="705">
        <f>H21</f>
        <v>100</v>
      </c>
      <c r="V21" s="704" t="s">
        <v>14</v>
      </c>
      <c r="W21" s="705">
        <f>J21</f>
        <v>100</v>
      </c>
      <c r="X21" s="1350"/>
      <c r="Y21" s="3927"/>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919"/>
      <c r="M22" s="910"/>
      <c r="N22" s="910"/>
      <c r="O22" s="918"/>
      <c r="P22" s="3927"/>
      <c r="Q22" s="1347"/>
      <c r="R22" s="704"/>
      <c r="S22" s="705"/>
      <c r="T22" s="704"/>
      <c r="U22" s="705"/>
      <c r="V22" s="704"/>
      <c r="W22" s="705"/>
      <c r="X22" s="1350"/>
      <c r="Y22" s="3927"/>
      <c r="Z22" s="1351"/>
      <c r="AA22" s="1348">
        <v>1</v>
      </c>
      <c r="AB22" s="1348">
        <v>1</v>
      </c>
      <c r="AC22" s="1348">
        <v>1</v>
      </c>
    </row>
    <row r="23" spans="1:29" ht="71.25">
      <c r="A23" s="378"/>
      <c r="B23" s="401" t="s">
        <v>1814</v>
      </c>
      <c r="C23" s="1894"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927"/>
      <c r="Q23" s="1347" t="str">
        <f>B23</f>
        <v>环境质量</v>
      </c>
      <c r="R23" s="704" t="s">
        <v>14</v>
      </c>
      <c r="S23" s="705">
        <f>F23</f>
        <v>100</v>
      </c>
      <c r="T23" s="704" t="s">
        <v>14</v>
      </c>
      <c r="U23" s="705">
        <f>H23</f>
        <v>100</v>
      </c>
      <c r="V23" s="704" t="s">
        <v>14</v>
      </c>
      <c r="W23" s="705">
        <f>J23</f>
        <v>100</v>
      </c>
      <c r="X23" s="1350"/>
      <c r="Y23" s="3927"/>
      <c r="Z23" s="1351" t="str">
        <f>Q23</f>
        <v>环境质量</v>
      </c>
      <c r="AA23" s="1348">
        <f t="shared" si="3"/>
        <v>1</v>
      </c>
      <c r="AB23" s="1348">
        <f t="shared" si="4"/>
        <v>1</v>
      </c>
      <c r="AC23" s="1348">
        <f t="shared" si="5"/>
        <v>1</v>
      </c>
    </row>
    <row r="24" spans="1:29" ht="15">
      <c r="A24" s="378"/>
      <c r="B24" s="1127"/>
      <c r="C24" s="397"/>
      <c r="D24" s="398"/>
      <c r="E24" s="1892"/>
      <c r="F24" s="399"/>
      <c r="G24" s="1891"/>
      <c r="H24" s="398"/>
      <c r="I24" s="1892"/>
      <c r="J24" s="398"/>
      <c r="K24" s="563"/>
      <c r="L24" s="919"/>
      <c r="M24" s="910"/>
      <c r="N24" s="910"/>
      <c r="O24" s="918"/>
      <c r="P24" s="3927"/>
      <c r="Q24" s="1347"/>
      <c r="R24" s="704"/>
      <c r="S24" s="705"/>
      <c r="T24" s="704"/>
      <c r="U24" s="705"/>
      <c r="V24" s="704"/>
      <c r="W24" s="705"/>
      <c r="X24" s="1350"/>
      <c r="Y24" s="3927"/>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927"/>
      <c r="Q25" s="1347">
        <f>B25</f>
        <v>111</v>
      </c>
      <c r="R25" s="704" t="s">
        <v>14</v>
      </c>
      <c r="S25" s="705">
        <f>F25</f>
        <v>100</v>
      </c>
      <c r="T25" s="704" t="s">
        <v>14</v>
      </c>
      <c r="U25" s="705">
        <f>H25</f>
        <v>100</v>
      </c>
      <c r="V25" s="704" t="s">
        <v>14</v>
      </c>
      <c r="W25" s="705">
        <f>J25</f>
        <v>100</v>
      </c>
      <c r="X25" s="1350"/>
      <c r="Y25" s="3927"/>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927"/>
      <c r="Q26" s="1347">
        <f t="shared" ref="Q26:Q40" si="11">B26</f>
        <v>111</v>
      </c>
      <c r="R26" s="704" t="s">
        <v>14</v>
      </c>
      <c r="S26" s="705">
        <f>F26</f>
        <v>100</v>
      </c>
      <c r="T26" s="704" t="s">
        <v>14</v>
      </c>
      <c r="U26" s="705">
        <f>H26</f>
        <v>100</v>
      </c>
      <c r="V26" s="704" t="s">
        <v>14</v>
      </c>
      <c r="W26" s="705">
        <f>J26</f>
        <v>100</v>
      </c>
      <c r="X26" s="1350"/>
      <c r="Y26" s="3927"/>
      <c r="Z26" s="1351">
        <f>Q26</f>
        <v>111</v>
      </c>
      <c r="AA26" s="1348">
        <f t="shared" si="3"/>
        <v>1</v>
      </c>
      <c r="AB26" s="1348">
        <f t="shared" si="4"/>
        <v>1</v>
      </c>
      <c r="AC26" s="1348">
        <f t="shared" si="5"/>
        <v>1</v>
      </c>
    </row>
    <row r="27" spans="1:29" s="107"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927"/>
      <c r="Q27" s="1338">
        <f t="shared" si="11"/>
        <v>111</v>
      </c>
      <c r="R27" s="700" t="s">
        <v>14</v>
      </c>
      <c r="S27" s="701">
        <f>F27</f>
        <v>100</v>
      </c>
      <c r="T27" s="700" t="s">
        <v>14</v>
      </c>
      <c r="U27" s="701">
        <f>H27</f>
        <v>100</v>
      </c>
      <c r="V27" s="700" t="s">
        <v>14</v>
      </c>
      <c r="W27" s="701">
        <f>J27</f>
        <v>100</v>
      </c>
      <c r="X27" s="702"/>
      <c r="Y27" s="3927"/>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927"/>
      <c r="Q28" s="1347">
        <f t="shared" si="11"/>
        <v>111</v>
      </c>
      <c r="R28" s="704" t="s">
        <v>14</v>
      </c>
      <c r="S28" s="705">
        <f t="shared" ref="S28:S40" si="12">F28</f>
        <v>100</v>
      </c>
      <c r="T28" s="704" t="s">
        <v>14</v>
      </c>
      <c r="U28" s="705">
        <f t="shared" ref="U28:U40" si="13">H28</f>
        <v>100</v>
      </c>
      <c r="V28" s="704" t="s">
        <v>14</v>
      </c>
      <c r="W28" s="705">
        <f t="shared" ref="W28:W40" si="14">J28</f>
        <v>100</v>
      </c>
      <c r="X28" s="1350"/>
      <c r="Y28" s="3927"/>
      <c r="Z28" s="1351">
        <f t="shared" ref="Z28:Z40" si="15">Q28</f>
        <v>111</v>
      </c>
      <c r="AA28" s="1348">
        <f t="shared" si="3"/>
        <v>1</v>
      </c>
      <c r="AB28" s="1348">
        <f t="shared" si="4"/>
        <v>1</v>
      </c>
      <c r="AC28" s="1348">
        <f t="shared" si="5"/>
        <v>1</v>
      </c>
    </row>
    <row r="29" spans="1:29" ht="28.5">
      <c r="A29" s="416" t="s">
        <v>1694</v>
      </c>
      <c r="B29" s="63" t="s">
        <v>1817</v>
      </c>
      <c r="C29" s="1959"/>
      <c r="D29" s="417">
        <v>100</v>
      </c>
      <c r="E29" s="1959"/>
      <c r="F29" s="411">
        <f>SUMIF(88:88,E29,89:89)-SUMIF(88:88,C29,89:89)+100</f>
        <v>100</v>
      </c>
      <c r="G29" s="1959"/>
      <c r="H29" s="385">
        <f>SUMIF(88:88,G29,89:89)-SUMIF(88:88,C29,89:89)+100</f>
        <v>100</v>
      </c>
      <c r="I29" s="1959"/>
      <c r="J29" s="417">
        <f>SUMIF(88:88,I29,89:89)-SUMIF(88:88,C29,89:89)+100</f>
        <v>100</v>
      </c>
      <c r="K29" s="560"/>
      <c r="L29" s="919"/>
      <c r="M29" s="910"/>
      <c r="N29" s="910"/>
      <c r="O29" s="918"/>
      <c r="P29" s="3928" t="s">
        <v>1696</v>
      </c>
      <c r="Q29" s="1347" t="str">
        <f t="shared" si="11"/>
        <v>建筑类型</v>
      </c>
      <c r="R29" s="704" t="s">
        <v>14</v>
      </c>
      <c r="S29" s="705">
        <f t="shared" si="12"/>
        <v>100</v>
      </c>
      <c r="T29" s="704" t="s">
        <v>14</v>
      </c>
      <c r="U29" s="705">
        <f t="shared" si="13"/>
        <v>100</v>
      </c>
      <c r="V29" s="704" t="s">
        <v>14</v>
      </c>
      <c r="W29" s="705">
        <f t="shared" si="14"/>
        <v>100</v>
      </c>
      <c r="X29" s="1350"/>
      <c r="Y29" s="3929"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929"/>
      <c r="Q30" s="706" t="str">
        <f t="shared" si="11"/>
        <v>项目建筑规模</v>
      </c>
      <c r="R30" s="707" t="s">
        <v>14</v>
      </c>
      <c r="S30" s="708" t="e">
        <f t="shared" si="12"/>
        <v>#N/A</v>
      </c>
      <c r="T30" s="707" t="s">
        <v>14</v>
      </c>
      <c r="U30" s="708" t="e">
        <f t="shared" si="13"/>
        <v>#N/A</v>
      </c>
      <c r="V30" s="707" t="s">
        <v>14</v>
      </c>
      <c r="W30" s="708" t="e">
        <f t="shared" si="14"/>
        <v>#N/A</v>
      </c>
      <c r="X30" s="709"/>
      <c r="Y30" s="3929"/>
      <c r="Z30" s="710"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929"/>
      <c r="Q31" s="1347" t="str">
        <f t="shared" si="11"/>
        <v>建筑结构</v>
      </c>
      <c r="R31" s="704" t="s">
        <v>14</v>
      </c>
      <c r="S31" s="705">
        <f t="shared" si="12"/>
        <v>100</v>
      </c>
      <c r="T31" s="704" t="s">
        <v>14</v>
      </c>
      <c r="U31" s="705">
        <f t="shared" si="13"/>
        <v>100</v>
      </c>
      <c r="V31" s="704" t="s">
        <v>14</v>
      </c>
      <c r="W31" s="705">
        <f t="shared" si="14"/>
        <v>100</v>
      </c>
      <c r="X31" s="1350"/>
      <c r="Y31" s="3929"/>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929"/>
      <c r="Q32" s="1347" t="str">
        <f t="shared" si="11"/>
        <v>公共部分装修</v>
      </c>
      <c r="R32" s="704" t="s">
        <v>14</v>
      </c>
      <c r="S32" s="705">
        <f t="shared" si="12"/>
        <v>100</v>
      </c>
      <c r="T32" s="704" t="s">
        <v>14</v>
      </c>
      <c r="U32" s="705">
        <f t="shared" si="13"/>
        <v>100</v>
      </c>
      <c r="V32" s="704" t="s">
        <v>14</v>
      </c>
      <c r="W32" s="705">
        <f t="shared" si="14"/>
        <v>100</v>
      </c>
      <c r="X32" s="1350"/>
      <c r="Y32" s="3929"/>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929"/>
      <c r="Q33" s="1347" t="str">
        <f t="shared" si="11"/>
        <v>成新度</v>
      </c>
      <c r="R33" s="704" t="s">
        <v>14</v>
      </c>
      <c r="S33" s="705" t="e">
        <f t="shared" si="12"/>
        <v>#N/A</v>
      </c>
      <c r="T33" s="704" t="s">
        <v>14</v>
      </c>
      <c r="U33" s="705" t="e">
        <f t="shared" si="13"/>
        <v>#N/A</v>
      </c>
      <c r="V33" s="704" t="s">
        <v>14</v>
      </c>
      <c r="W33" s="705" t="e">
        <f t="shared" si="14"/>
        <v>#N/A</v>
      </c>
      <c r="X33" s="1350"/>
      <c r="Y33" s="3929"/>
      <c r="Z33" s="1351" t="str">
        <f t="shared" si="15"/>
        <v>成新度</v>
      </c>
      <c r="AA33" s="1348" t="e">
        <f t="shared" si="3"/>
        <v>#N/A</v>
      </c>
      <c r="AB33" s="1348" t="e">
        <f t="shared" si="4"/>
        <v>#N/A</v>
      </c>
      <c r="AC33" s="1348"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929"/>
      <c r="Q34" s="1338" t="str">
        <f t="shared" si="11"/>
        <v>物业管理</v>
      </c>
      <c r="R34" s="700" t="s">
        <v>14</v>
      </c>
      <c r="S34" s="701">
        <f t="shared" si="12"/>
        <v>100</v>
      </c>
      <c r="T34" s="700" t="s">
        <v>14</v>
      </c>
      <c r="U34" s="701">
        <f t="shared" si="13"/>
        <v>100</v>
      </c>
      <c r="V34" s="700" t="s">
        <v>14</v>
      </c>
      <c r="W34" s="701">
        <f t="shared" si="14"/>
        <v>100</v>
      </c>
      <c r="X34" s="702"/>
      <c r="Y34" s="392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929" t="s">
        <v>1696</v>
      </c>
      <c r="Q35" s="1347" t="str">
        <f t="shared" si="11"/>
        <v>市政基础设施</v>
      </c>
      <c r="R35" s="704" t="s">
        <v>14</v>
      </c>
      <c r="S35" s="705">
        <f t="shared" si="12"/>
        <v>100</v>
      </c>
      <c r="T35" s="704" t="s">
        <v>14</v>
      </c>
      <c r="U35" s="705">
        <f t="shared" si="13"/>
        <v>100</v>
      </c>
      <c r="V35" s="704" t="s">
        <v>14</v>
      </c>
      <c r="W35" s="705">
        <f t="shared" si="14"/>
        <v>100</v>
      </c>
      <c r="X35" s="1350"/>
      <c r="Y35" s="3929"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929"/>
      <c r="Q36" s="1347" t="str">
        <f t="shared" si="11"/>
        <v>内部装修</v>
      </c>
      <c r="R36" s="704" t="s">
        <v>14</v>
      </c>
      <c r="S36" s="705">
        <f t="shared" si="12"/>
        <v>100</v>
      </c>
      <c r="T36" s="704" t="s">
        <v>14</v>
      </c>
      <c r="U36" s="705">
        <f t="shared" si="13"/>
        <v>100</v>
      </c>
      <c r="V36" s="704" t="s">
        <v>14</v>
      </c>
      <c r="W36" s="705">
        <f t="shared" si="14"/>
        <v>100</v>
      </c>
      <c r="X36" s="1350"/>
      <c r="Y36" s="3929"/>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929"/>
      <c r="Q37" s="1347" t="str">
        <f t="shared" si="11"/>
        <v>内部装修状况</v>
      </c>
      <c r="R37" s="704" t="s">
        <v>14</v>
      </c>
      <c r="S37" s="705">
        <f t="shared" si="12"/>
        <v>100</v>
      </c>
      <c r="T37" s="704" t="s">
        <v>14</v>
      </c>
      <c r="U37" s="705">
        <f t="shared" si="13"/>
        <v>100</v>
      </c>
      <c r="V37" s="704" t="s">
        <v>14</v>
      </c>
      <c r="W37" s="705">
        <f t="shared" si="14"/>
        <v>100</v>
      </c>
      <c r="X37" s="1350"/>
      <c r="Y37" s="3929"/>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929"/>
      <c r="Q38" s="706">
        <f t="shared" si="11"/>
        <v>111</v>
      </c>
      <c r="R38" s="707" t="s">
        <v>14</v>
      </c>
      <c r="S38" s="708">
        <f t="shared" si="12"/>
        <v>100</v>
      </c>
      <c r="T38" s="707" t="s">
        <v>14</v>
      </c>
      <c r="U38" s="708">
        <f t="shared" si="13"/>
        <v>100</v>
      </c>
      <c r="V38" s="707" t="s">
        <v>14</v>
      </c>
      <c r="W38" s="708">
        <f t="shared" si="14"/>
        <v>100</v>
      </c>
      <c r="X38" s="709"/>
      <c r="Y38" s="3929"/>
      <c r="Z38" s="710">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929"/>
      <c r="Q39" s="1347">
        <f t="shared" si="11"/>
        <v>111</v>
      </c>
      <c r="R39" s="704" t="s">
        <v>14</v>
      </c>
      <c r="S39" s="705">
        <f t="shared" si="12"/>
        <v>100</v>
      </c>
      <c r="T39" s="704" t="s">
        <v>14</v>
      </c>
      <c r="U39" s="705">
        <f t="shared" si="13"/>
        <v>100</v>
      </c>
      <c r="V39" s="704" t="s">
        <v>14</v>
      </c>
      <c r="W39" s="705">
        <f t="shared" si="14"/>
        <v>100</v>
      </c>
      <c r="X39" s="1350"/>
      <c r="Y39" s="3929"/>
      <c r="Z39" s="1351">
        <f t="shared" si="15"/>
        <v>111</v>
      </c>
      <c r="AA39" s="1348">
        <f t="shared" si="3"/>
        <v>1</v>
      </c>
      <c r="AB39" s="1348">
        <f t="shared" si="4"/>
        <v>1</v>
      </c>
      <c r="AC39" s="1348">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972"/>
      <c r="Q40" s="1347">
        <f t="shared" si="11"/>
        <v>111</v>
      </c>
      <c r="R40" s="704" t="s">
        <v>14</v>
      </c>
      <c r="S40" s="705">
        <f t="shared" si="12"/>
        <v>100</v>
      </c>
      <c r="T40" s="704" t="s">
        <v>14</v>
      </c>
      <c r="U40" s="705">
        <f t="shared" si="13"/>
        <v>100</v>
      </c>
      <c r="V40" s="704" t="s">
        <v>14</v>
      </c>
      <c r="W40" s="705">
        <f t="shared" si="14"/>
        <v>100</v>
      </c>
      <c r="X40" s="1350"/>
      <c r="Y40" s="3972"/>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3"/>
      <c r="L41" s="922"/>
      <c r="M41" s="923"/>
      <c r="N41" s="910"/>
      <c r="O41" s="923"/>
      <c r="P41" s="3911" t="str">
        <f>A41</f>
        <v>成交单价（元/平方米）</v>
      </c>
      <c r="Q41" s="3911"/>
      <c r="R41" s="3968">
        <f>E41</f>
        <v>0</v>
      </c>
      <c r="S41" s="3968"/>
      <c r="T41" s="3968">
        <f>G41</f>
        <v>0</v>
      </c>
      <c r="U41" s="3968"/>
      <c r="V41" s="3968">
        <f>I41</f>
        <v>0</v>
      </c>
      <c r="W41" s="3968"/>
      <c r="X41" s="689"/>
      <c r="Y41" s="711"/>
      <c r="Z41" s="689"/>
      <c r="AA41" s="689"/>
      <c r="AB41" s="689"/>
      <c r="AC41" s="689"/>
    </row>
    <row r="42" spans="1:29" ht="15.75" thickBot="1">
      <c r="A42" s="436" t="s">
        <v>1793</v>
      </c>
      <c r="B42" s="437"/>
      <c r="C42" s="1156" t="e">
        <f>R43</f>
        <v>#DIV/0!</v>
      </c>
      <c r="D42" s="2309" t="s">
        <v>2137</v>
      </c>
      <c r="E42" s="1157" t="e">
        <f>R42</f>
        <v>#DIV/0!</v>
      </c>
      <c r="F42" s="2310"/>
      <c r="G42" s="1156" t="e">
        <f>T42</f>
        <v>#DIV/0!</v>
      </c>
      <c r="H42" s="2310"/>
      <c r="I42" s="1157" t="e">
        <f>V42</f>
        <v>#DIV/0!</v>
      </c>
      <c r="J42" s="2310"/>
      <c r="K42" s="2312">
        <f>F42+H42+J42</f>
        <v>0</v>
      </c>
      <c r="L42" s="922"/>
      <c r="M42" s="923"/>
      <c r="N42" s="910"/>
      <c r="O42" s="923"/>
      <c r="P42" s="3911" t="str">
        <f>A42</f>
        <v>比较价值（元/平方米）</v>
      </c>
      <c r="Q42" s="3911"/>
      <c r="R42" s="3968" t="e">
        <f>IF(F1="售价",ROUND(PRODUCT(R41,AA7:AA40),0),ROUND(PRODUCT(R41,AA7:AA40),1))</f>
        <v>#DIV/0!</v>
      </c>
      <c r="S42" s="3968"/>
      <c r="T42" s="3968" t="e">
        <f>IF(F1="售价",ROUND(PRODUCT(T41,AB7:AB40),0),ROUND(PRODUCT(T41,AB7:AB40),1))</f>
        <v>#DIV/0!</v>
      </c>
      <c r="U42" s="3968"/>
      <c r="V42" s="3968" t="e">
        <f>IF(F1="售价",ROUND(PRODUCT(V41,AC7:AC40),0),ROUND(PRODUCT(V41,AC7:AC40),1))</f>
        <v>#DIV/0!</v>
      </c>
      <c r="W42" s="3968"/>
      <c r="X42" s="689"/>
      <c r="Y42" s="689"/>
      <c r="Z42" s="689"/>
      <c r="AA42" s="689"/>
      <c r="AB42" s="689"/>
      <c r="AC42" s="689"/>
    </row>
    <row r="43" spans="1:29" ht="15.75" thickBot="1">
      <c r="A43" s="440" t="s">
        <v>1794</v>
      </c>
      <c r="B43" s="441"/>
      <c r="C43" s="1159" t="e">
        <f>R43</f>
        <v>#DIV/0!</v>
      </c>
      <c r="D43" s="1159"/>
      <c r="E43" s="1159"/>
      <c r="F43" s="1159"/>
      <c r="G43" s="1159"/>
      <c r="H43" s="1159"/>
      <c r="I43" s="1159"/>
      <c r="J43" s="1159"/>
      <c r="K43" s="714"/>
      <c r="L43" s="922"/>
      <c r="M43" s="923"/>
      <c r="N43" s="923"/>
      <c r="O43" s="923"/>
      <c r="P43" s="3931" t="str">
        <f>A43</f>
        <v>估价对象XX用房的比较价值（楼面单价，元/平方米）</v>
      </c>
      <c r="Q43" s="3932"/>
      <c r="R43" s="3967" t="e">
        <f>IF(F1="售价",ROUND(IF(D42="简单平均",AVERAGE(R42:V42),R42*F42+T42*H42+V42*J42),0),ROUND(IF(D42="简单平均",AVERAGE(R42:V42),R42*F42+T42*H42+V42*J42),1))</f>
        <v>#DIV/0!</v>
      </c>
      <c r="S43" s="3967"/>
      <c r="T43" s="3967"/>
      <c r="U43" s="3967"/>
      <c r="V43" s="3967"/>
      <c r="W43" s="3967"/>
      <c r="X43" s="689"/>
      <c r="Y43" s="689"/>
      <c r="Z43" s="689"/>
      <c r="AA43" s="689"/>
      <c r="AB43" s="689"/>
      <c r="AC43" s="689"/>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5"/>
      <c r="M46" s="923"/>
      <c r="N46" s="923"/>
      <c r="O46" s="923"/>
    </row>
    <row r="47" spans="1:29"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5"/>
      <c r="M47" s="923"/>
      <c r="N47" s="923"/>
      <c r="O47" s="923"/>
    </row>
    <row r="48" spans="1:29"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6"/>
      <c r="M48" s="924"/>
      <c r="N48" s="924"/>
      <c r="O48" s="924"/>
    </row>
    <row r="49" spans="1:17" s="450"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1.75" thickBot="1">
      <c r="A51" s="693" t="s">
        <v>1798</v>
      </c>
      <c r="B51" s="689"/>
      <c r="C51" s="694"/>
      <c r="D51" s="694"/>
      <c r="E51" s="694"/>
      <c r="F51" s="695"/>
      <c r="G51" s="695"/>
      <c r="H51" s="694"/>
      <c r="I51" s="694"/>
      <c r="J51" s="694"/>
      <c r="K51" s="937"/>
      <c r="L51" s="938"/>
      <c r="M51" s="936"/>
      <c r="N51" s="936"/>
      <c r="O51" s="936"/>
      <c r="P51" s="451"/>
      <c r="Q51" s="452"/>
    </row>
    <row r="52" spans="1:17" s="456" customFormat="1" ht="15">
      <c r="A52" s="453" t="s">
        <v>1679</v>
      </c>
      <c r="B52" s="454"/>
      <c r="C52" s="1179" t="str">
        <f>YEAR(C7)&amp;"-"&amp;MONTH(C7)</f>
        <v>2023-3</v>
      </c>
      <c r="D52" s="1180">
        <f>EDATE(C52,-1)</f>
        <v>44958</v>
      </c>
      <c r="E52" s="1180">
        <f t="shared" ref="E52:O52" si="16">EDATE(D52,-1)</f>
        <v>44927</v>
      </c>
      <c r="F52" s="1180">
        <f t="shared" si="16"/>
        <v>44896</v>
      </c>
      <c r="G52" s="1180">
        <f t="shared" si="16"/>
        <v>44866</v>
      </c>
      <c r="H52" s="1180">
        <f t="shared" si="16"/>
        <v>44835</v>
      </c>
      <c r="I52" s="1180">
        <f t="shared" si="16"/>
        <v>44805</v>
      </c>
      <c r="J52" s="1180">
        <f t="shared" si="16"/>
        <v>44774</v>
      </c>
      <c r="K52" s="1180">
        <f t="shared" si="16"/>
        <v>44743</v>
      </c>
      <c r="L52" s="1180">
        <f t="shared" si="16"/>
        <v>44713</v>
      </c>
      <c r="M52" s="1180">
        <f t="shared" si="16"/>
        <v>44682</v>
      </c>
      <c r="N52" s="1180">
        <f t="shared" si="16"/>
        <v>44652</v>
      </c>
      <c r="O52" s="1180">
        <f t="shared" si="16"/>
        <v>44621</v>
      </c>
      <c r="P52" s="455"/>
    </row>
    <row r="53" spans="1:17" s="107" customFormat="1" ht="15">
      <c r="A53" s="457"/>
      <c r="B53" s="458"/>
      <c r="C53" s="1178">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0"/>
      <c r="O54" s="2761"/>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0"/>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0"/>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3336</v>
      </c>
      <c r="C1" s="1219" t="s">
        <v>1662</v>
      </c>
      <c r="D1" s="1220"/>
      <c r="E1" s="3419"/>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1161"/>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8"/>
      <c r="R3" s="698"/>
      <c r="S3" s="698"/>
      <c r="T3" s="698"/>
      <c r="U3" s="698"/>
      <c r="V3" s="698"/>
      <c r="W3" s="698"/>
      <c r="X3" s="698"/>
      <c r="Y3" s="698"/>
      <c r="Z3" s="698"/>
      <c r="AA3" s="698"/>
      <c r="AB3" s="715"/>
      <c r="AC3" s="712"/>
    </row>
    <row r="4" spans="1:29" ht="15">
      <c r="A4" s="354" t="s">
        <v>1769</v>
      </c>
      <c r="B4" s="355"/>
      <c r="C4" s="3912" t="s">
        <v>1770</v>
      </c>
      <c r="D4" s="3913"/>
      <c r="E4" s="3914" t="s">
        <v>1771</v>
      </c>
      <c r="F4" s="3915"/>
      <c r="G4" s="3912" t="s">
        <v>1772</v>
      </c>
      <c r="H4" s="3913"/>
      <c r="I4" s="3912" t="s">
        <v>1773</v>
      </c>
      <c r="J4" s="3913"/>
      <c r="K4" s="558" t="s">
        <v>1774</v>
      </c>
      <c r="L4" s="2705"/>
      <c r="M4" s="2706"/>
      <c r="N4" s="2706"/>
      <c r="O4" s="2706"/>
      <c r="P4" s="3916" t="s">
        <v>1775</v>
      </c>
      <c r="Q4" s="3917"/>
      <c r="R4" s="3899" t="s">
        <v>1771</v>
      </c>
      <c r="S4" s="3900"/>
      <c r="T4" s="3899" t="s">
        <v>1772</v>
      </c>
      <c r="U4" s="3900"/>
      <c r="V4" s="3924" t="s">
        <v>1773</v>
      </c>
      <c r="W4" s="3924"/>
      <c r="X4" s="1350"/>
      <c r="Y4" s="3899" t="s">
        <v>1775</v>
      </c>
      <c r="Z4" s="3900"/>
      <c r="AA4" s="3894" t="s">
        <v>1771</v>
      </c>
      <c r="AB4" s="3895" t="s">
        <v>1772</v>
      </c>
      <c r="AC4" s="3894" t="s">
        <v>1773</v>
      </c>
    </row>
    <row r="5" spans="1:29" ht="15">
      <c r="A5" s="357"/>
      <c r="B5" s="358"/>
      <c r="C5" s="3905" t="s">
        <v>1673</v>
      </c>
      <c r="D5" s="3906"/>
      <c r="E5" s="3903" t="s">
        <v>1674</v>
      </c>
      <c r="F5" s="3904"/>
      <c r="G5" s="3905" t="s">
        <v>1675</v>
      </c>
      <c r="H5" s="3906"/>
      <c r="I5" s="3905" t="s">
        <v>1676</v>
      </c>
      <c r="J5" s="3906"/>
      <c r="K5" s="558"/>
      <c r="L5" s="2705"/>
      <c r="M5" s="2706"/>
      <c r="N5" s="2706"/>
      <c r="O5" s="2706"/>
      <c r="P5" s="3918"/>
      <c r="Q5" s="3919"/>
      <c r="R5" s="3901"/>
      <c r="S5" s="3902"/>
      <c r="T5" s="3901"/>
      <c r="U5" s="3902"/>
      <c r="V5" s="3924"/>
      <c r="W5" s="3924"/>
      <c r="X5" s="1350"/>
      <c r="Y5" s="3901"/>
      <c r="Z5" s="3902"/>
      <c r="AA5" s="3895"/>
      <c r="AB5" s="3895"/>
      <c r="AC5" s="3895"/>
    </row>
    <row r="6" spans="1:29" ht="15.75" thickBot="1">
      <c r="A6" s="359"/>
      <c r="B6" s="360"/>
      <c r="C6" s="3907" t="s">
        <v>1677</v>
      </c>
      <c r="D6" s="3908"/>
      <c r="E6" s="3909" t="s">
        <v>1677</v>
      </c>
      <c r="F6" s="3910"/>
      <c r="G6" s="3907" t="s">
        <v>1677</v>
      </c>
      <c r="H6" s="3908"/>
      <c r="I6" s="3907" t="s">
        <v>1677</v>
      </c>
      <c r="J6" s="3908"/>
      <c r="K6" s="558" t="s">
        <v>1678</v>
      </c>
      <c r="L6" s="2705"/>
      <c r="M6" s="2706"/>
      <c r="N6" s="2706"/>
      <c r="O6" s="2706"/>
      <c r="P6" s="3920"/>
      <c r="Q6" s="3921"/>
      <c r="R6" s="3901"/>
      <c r="S6" s="3902"/>
      <c r="T6" s="3922"/>
      <c r="U6" s="3923"/>
      <c r="V6" s="3924"/>
      <c r="W6" s="3924"/>
      <c r="X6" s="1350"/>
      <c r="Y6" s="3922"/>
      <c r="Z6" s="3923"/>
      <c r="AA6" s="3896"/>
      <c r="AB6" s="3896"/>
      <c r="AC6" s="3896"/>
    </row>
    <row r="7" spans="1:29" s="107" customFormat="1" ht="15.75" thickBot="1">
      <c r="A7" s="361" t="s">
        <v>1679</v>
      </c>
      <c r="B7" s="362"/>
      <c r="C7" s="363">
        <f>'数据-取费表'!B2</f>
        <v>44999</v>
      </c>
      <c r="D7" s="364">
        <v>100</v>
      </c>
      <c r="E7" s="365"/>
      <c r="F7" s="366">
        <f>SUMIF(48:48,YEAR(E7)&amp;"-"&amp;MONTH(E7),49:49)</f>
        <v>0</v>
      </c>
      <c r="G7" s="365"/>
      <c r="H7" s="364">
        <f>SUMIF(48:48,YEAR(G7)&amp;"-"&amp;MONTH(G7),49:49)</f>
        <v>0</v>
      </c>
      <c r="I7" s="365"/>
      <c r="J7" s="364">
        <f>SUMIF(48:48,YEAR(I7)&amp;"-"&amp;MONTH(I7),49:49)</f>
        <v>0</v>
      </c>
      <c r="K7" s="559"/>
      <c r="L7" s="2707"/>
      <c r="M7" s="2708"/>
      <c r="N7" s="2708"/>
      <c r="O7" s="2708"/>
      <c r="P7" s="3897" t="s">
        <v>1680</v>
      </c>
      <c r="Q7" s="3925"/>
      <c r="R7" s="700" t="s">
        <v>14</v>
      </c>
      <c r="S7" s="701">
        <f t="shared" ref="S7:S14" si="0">F7</f>
        <v>0</v>
      </c>
      <c r="T7" s="700" t="s">
        <v>14</v>
      </c>
      <c r="U7" s="701">
        <f t="shared" ref="U7:U14" si="1">H7</f>
        <v>0</v>
      </c>
      <c r="V7" s="700" t="s">
        <v>14</v>
      </c>
      <c r="W7" s="701">
        <f t="shared" ref="W7:W14" si="2">J7</f>
        <v>0</v>
      </c>
      <c r="X7" s="702"/>
      <c r="Y7" s="3897" t="s">
        <v>1680</v>
      </c>
      <c r="Z7" s="3898"/>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897" t="s">
        <v>1683</v>
      </c>
      <c r="Q8" s="3898"/>
      <c r="R8" s="700" t="s">
        <v>14</v>
      </c>
      <c r="S8" s="701">
        <f t="shared" si="0"/>
        <v>100</v>
      </c>
      <c r="T8" s="700" t="s">
        <v>14</v>
      </c>
      <c r="U8" s="701">
        <f t="shared" si="1"/>
        <v>100</v>
      </c>
      <c r="V8" s="700" t="s">
        <v>14</v>
      </c>
      <c r="W8" s="701">
        <f t="shared" si="2"/>
        <v>100</v>
      </c>
      <c r="X8" s="702"/>
      <c r="Y8" s="3897" t="s">
        <v>1683</v>
      </c>
      <c r="Z8" s="3898"/>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911" t="s">
        <v>1686</v>
      </c>
      <c r="Q9" s="1338" t="str">
        <f t="shared" ref="Q9:Q14" si="6">B9</f>
        <v>用途</v>
      </c>
      <c r="R9" s="700" t="s">
        <v>14</v>
      </c>
      <c r="S9" s="701">
        <f t="shared" si="0"/>
        <v>100</v>
      </c>
      <c r="T9" s="700" t="s">
        <v>14</v>
      </c>
      <c r="U9" s="701">
        <f t="shared" si="1"/>
        <v>100</v>
      </c>
      <c r="V9" s="700" t="s">
        <v>14</v>
      </c>
      <c r="W9" s="701">
        <f t="shared" si="2"/>
        <v>100</v>
      </c>
      <c r="X9" s="702"/>
      <c r="Y9" s="3851" t="s">
        <v>1687</v>
      </c>
      <c r="Z9" s="52" t="str">
        <f t="shared" ref="Z9:Z14" si="7">Q9</f>
        <v>用途</v>
      </c>
      <c r="AA9" s="703">
        <f t="shared" si="3"/>
        <v>1</v>
      </c>
      <c r="AB9" s="703">
        <f t="shared" si="4"/>
        <v>1</v>
      </c>
      <c r="AC9" s="703">
        <f t="shared" si="5"/>
        <v>1</v>
      </c>
    </row>
    <row r="10" spans="1:29" s="377" customFormat="1" ht="27">
      <c r="A10" s="588"/>
      <c r="B10" s="589" t="s">
        <v>1688</v>
      </c>
      <c r="C10" s="3420"/>
      <c r="D10" s="126">
        <v>100</v>
      </c>
      <c r="E10" s="3420"/>
      <c r="F10" s="126">
        <f>SUMIF(55:55,E10,56:56)-SUMIF(55:55,C10,56:56)+100</f>
        <v>100</v>
      </c>
      <c r="G10" s="3421"/>
      <c r="H10" s="126">
        <f>SUMIF(55:55,G10,56:56)-SUMIF(55:55,C10,56:56)+100</f>
        <v>100</v>
      </c>
      <c r="I10" s="3420"/>
      <c r="J10" s="126">
        <f>SUMIF(55:55,I10,56:56)-SUMIF(55:55,C10,56:56)+100</f>
        <v>100</v>
      </c>
      <c r="K10" s="559"/>
      <c r="L10" s="2709"/>
      <c r="M10" s="2710"/>
      <c r="N10" s="2710"/>
      <c r="O10" s="2710"/>
      <c r="P10" s="3911"/>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911"/>
      <c r="Q11" s="1338">
        <f t="shared" si="6"/>
        <v>111</v>
      </c>
      <c r="R11" s="700" t="s">
        <v>14</v>
      </c>
      <c r="S11" s="701">
        <f t="shared" si="0"/>
        <v>100</v>
      </c>
      <c r="T11" s="700" t="s">
        <v>14</v>
      </c>
      <c r="U11" s="701">
        <f t="shared" si="1"/>
        <v>100</v>
      </c>
      <c r="V11" s="700" t="s">
        <v>14</v>
      </c>
      <c r="W11" s="701">
        <f t="shared" si="2"/>
        <v>100</v>
      </c>
      <c r="X11" s="702"/>
      <c r="Y11" s="3851"/>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911"/>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911"/>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703">
        <f t="shared" si="5"/>
        <v>1</v>
      </c>
    </row>
    <row r="14" spans="1:29" ht="85.5">
      <c r="A14" s="354" t="s">
        <v>1690</v>
      </c>
      <c r="B14" s="576" t="s">
        <v>1833</v>
      </c>
      <c r="C14" s="1963"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926" t="s">
        <v>1691</v>
      </c>
      <c r="Q14" s="1347" t="str">
        <f t="shared" si="6"/>
        <v>交通便捷度</v>
      </c>
      <c r="R14" s="704" t="s">
        <v>14</v>
      </c>
      <c r="S14" s="705">
        <f t="shared" si="0"/>
        <v>100</v>
      </c>
      <c r="T14" s="704" t="s">
        <v>14</v>
      </c>
      <c r="U14" s="705">
        <f t="shared" si="1"/>
        <v>100</v>
      </c>
      <c r="V14" s="704" t="s">
        <v>14</v>
      </c>
      <c r="W14" s="705">
        <f t="shared" si="2"/>
        <v>100</v>
      </c>
      <c r="X14" s="1350"/>
      <c r="Y14" s="3926"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2"/>
      <c r="M15" s="2706"/>
      <c r="N15" s="2706"/>
      <c r="O15" s="2706"/>
      <c r="P15" s="3927"/>
      <c r="Q15" s="1347"/>
      <c r="R15" s="704"/>
      <c r="S15" s="705"/>
      <c r="T15" s="704"/>
      <c r="U15" s="705"/>
      <c r="V15" s="704"/>
      <c r="W15" s="705"/>
      <c r="X15" s="1350"/>
      <c r="Y15" s="3927"/>
      <c r="Z15" s="1351"/>
      <c r="AA15" s="1348">
        <v>1</v>
      </c>
      <c r="AB15" s="1348">
        <v>1</v>
      </c>
      <c r="AC15" s="1348">
        <v>1</v>
      </c>
    </row>
    <row r="16" spans="1:29" ht="42.75">
      <c r="A16" s="357"/>
      <c r="B16" s="578" t="s">
        <v>1812</v>
      </c>
      <c r="C16" s="1894" t="str">
        <f>IF(B1="工业",估价对象房地状况!G5,估价对象房地状况!C7)</f>
        <v>估价对象所在区域公共配套设施齐备情况一般</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927"/>
      <c r="Q16" s="1347" t="str">
        <f>B16</f>
        <v>公共配套设施</v>
      </c>
      <c r="R16" s="704" t="s">
        <v>14</v>
      </c>
      <c r="S16" s="705">
        <f>F16</f>
        <v>100</v>
      </c>
      <c r="T16" s="704" t="s">
        <v>14</v>
      </c>
      <c r="U16" s="705">
        <f>H16</f>
        <v>100</v>
      </c>
      <c r="V16" s="704" t="s">
        <v>14</v>
      </c>
      <c r="W16" s="705">
        <f>J16</f>
        <v>100</v>
      </c>
      <c r="X16" s="1350"/>
      <c r="Y16" s="3927"/>
      <c r="Z16" s="1351" t="str">
        <f>Q16</f>
        <v>公共配套设施</v>
      </c>
      <c r="AA16" s="1348">
        <f t="shared" si="3"/>
        <v>1</v>
      </c>
      <c r="AB16" s="1348">
        <f t="shared" si="4"/>
        <v>1</v>
      </c>
      <c r="AC16" s="1348">
        <f t="shared" si="5"/>
        <v>1</v>
      </c>
    </row>
    <row r="17" spans="1:29" ht="15">
      <c r="A17" s="357"/>
      <c r="B17" s="579"/>
      <c r="C17" s="1895"/>
      <c r="D17" s="398"/>
      <c r="E17" s="397"/>
      <c r="F17" s="399"/>
      <c r="G17" s="397"/>
      <c r="H17" s="398"/>
      <c r="I17" s="397"/>
      <c r="J17" s="398"/>
      <c r="K17" s="563"/>
      <c r="L17" s="2712"/>
      <c r="M17" s="2706"/>
      <c r="N17" s="2706"/>
      <c r="O17" s="2706"/>
      <c r="P17" s="3927"/>
      <c r="Q17" s="1347"/>
      <c r="R17" s="704"/>
      <c r="S17" s="705"/>
      <c r="T17" s="704"/>
      <c r="U17" s="705"/>
      <c r="V17" s="704"/>
      <c r="W17" s="705"/>
      <c r="X17" s="1350"/>
      <c r="Y17" s="3927"/>
      <c r="Z17" s="1351"/>
      <c r="AA17" s="1348">
        <v>1</v>
      </c>
      <c r="AB17" s="1348">
        <v>1</v>
      </c>
      <c r="AC17" s="1348">
        <v>1</v>
      </c>
    </row>
    <row r="18" spans="1:29" ht="28.5">
      <c r="A18" s="357"/>
      <c r="B18" s="580" t="s">
        <v>1813</v>
      </c>
      <c r="C18" s="1894"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927"/>
      <c r="Q18" s="1347" t="str">
        <f>B18</f>
        <v>基础设施水平</v>
      </c>
      <c r="R18" s="704" t="s">
        <v>14</v>
      </c>
      <c r="S18" s="705">
        <f>F18</f>
        <v>100</v>
      </c>
      <c r="T18" s="704" t="s">
        <v>14</v>
      </c>
      <c r="U18" s="705">
        <f>H18</f>
        <v>100</v>
      </c>
      <c r="V18" s="704" t="s">
        <v>14</v>
      </c>
      <c r="W18" s="705">
        <f>J18</f>
        <v>100</v>
      </c>
      <c r="X18" s="1350"/>
      <c r="Y18" s="3927"/>
      <c r="Z18" s="1351" t="str">
        <f>Q18</f>
        <v>基础设施水平</v>
      </c>
      <c r="AA18" s="1348">
        <f t="shared" ref="AA18" si="8">D18/F18</f>
        <v>1</v>
      </c>
      <c r="AB18" s="1348">
        <f t="shared" ref="AB18" si="9">D18/H18</f>
        <v>1</v>
      </c>
      <c r="AC18" s="1348">
        <f t="shared" ref="AC18" si="10">D18/J18</f>
        <v>1</v>
      </c>
    </row>
    <row r="19" spans="1:29" ht="15">
      <c r="A19" s="357"/>
      <c r="B19" s="580"/>
      <c r="C19" s="1895"/>
      <c r="D19" s="400"/>
      <c r="E19" s="1895"/>
      <c r="F19" s="403"/>
      <c r="G19" s="1895"/>
      <c r="H19" s="398"/>
      <c r="I19" s="397"/>
      <c r="J19" s="398"/>
      <c r="K19" s="1126"/>
      <c r="L19" s="2712"/>
      <c r="M19" s="2706"/>
      <c r="N19" s="2706"/>
      <c r="O19" s="2706"/>
      <c r="P19" s="3927"/>
      <c r="Q19" s="1347"/>
      <c r="R19" s="704"/>
      <c r="S19" s="705"/>
      <c r="T19" s="704"/>
      <c r="U19" s="705"/>
      <c r="V19" s="704"/>
      <c r="W19" s="705"/>
      <c r="X19" s="1350"/>
      <c r="Y19" s="3927"/>
      <c r="Z19" s="1351"/>
      <c r="AA19" s="1348">
        <v>1</v>
      </c>
      <c r="AB19" s="1348">
        <v>1</v>
      </c>
      <c r="AC19" s="1348">
        <v>1</v>
      </c>
    </row>
    <row r="20" spans="1:29" ht="57">
      <c r="A20" s="357"/>
      <c r="B20" s="578" t="s">
        <v>1834</v>
      </c>
      <c r="C20" s="1894"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927"/>
      <c r="Q20" s="1347" t="str">
        <f>B20</f>
        <v>自然及人文环境</v>
      </c>
      <c r="R20" s="704" t="s">
        <v>14</v>
      </c>
      <c r="S20" s="705">
        <f>F20</f>
        <v>100</v>
      </c>
      <c r="T20" s="704" t="s">
        <v>14</v>
      </c>
      <c r="U20" s="705">
        <f>H20</f>
        <v>100</v>
      </c>
      <c r="V20" s="704" t="s">
        <v>14</v>
      </c>
      <c r="W20" s="705">
        <f>J20</f>
        <v>100</v>
      </c>
      <c r="X20" s="1350"/>
      <c r="Y20" s="3927"/>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2"/>
      <c r="M21" s="2706"/>
      <c r="N21" s="2706"/>
      <c r="O21" s="2706"/>
      <c r="P21" s="3927"/>
      <c r="Q21" s="1347"/>
      <c r="R21" s="704"/>
      <c r="S21" s="705"/>
      <c r="T21" s="704"/>
      <c r="U21" s="705"/>
      <c r="V21" s="704"/>
      <c r="W21" s="705"/>
      <c r="X21" s="1350"/>
      <c r="Y21" s="3927"/>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927"/>
      <c r="Q22" s="1347" t="str">
        <f>B22</f>
        <v>楼层</v>
      </c>
      <c r="R22" s="704" t="s">
        <v>14</v>
      </c>
      <c r="S22" s="705">
        <f>F22</f>
        <v>100</v>
      </c>
      <c r="T22" s="704" t="s">
        <v>14</v>
      </c>
      <c r="U22" s="705">
        <f>H22</f>
        <v>100</v>
      </c>
      <c r="V22" s="704" t="s">
        <v>14</v>
      </c>
      <c r="W22" s="705">
        <f>J22</f>
        <v>100</v>
      </c>
      <c r="X22" s="1350"/>
      <c r="Y22" s="3927"/>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927"/>
      <c r="Q23" s="1347">
        <f>B23</f>
        <v>111</v>
      </c>
      <c r="R23" s="704" t="s">
        <v>14</v>
      </c>
      <c r="S23" s="705">
        <f>F23</f>
        <v>100</v>
      </c>
      <c r="T23" s="704" t="s">
        <v>14</v>
      </c>
      <c r="U23" s="705">
        <f>H23</f>
        <v>100</v>
      </c>
      <c r="V23" s="704" t="s">
        <v>14</v>
      </c>
      <c r="W23" s="705">
        <f>J23</f>
        <v>100</v>
      </c>
      <c r="X23" s="1350"/>
      <c r="Y23" s="3927"/>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927"/>
      <c r="Q24" s="1347">
        <f t="shared" ref="Q24:Q36" si="11">B24</f>
        <v>111</v>
      </c>
      <c r="R24" s="704" t="s">
        <v>14</v>
      </c>
      <c r="S24" s="705">
        <f>F24</f>
        <v>100</v>
      </c>
      <c r="T24" s="704" t="s">
        <v>14</v>
      </c>
      <c r="U24" s="705">
        <f>H24</f>
        <v>100</v>
      </c>
      <c r="V24" s="704" t="s">
        <v>14</v>
      </c>
      <c r="W24" s="705">
        <f>J24</f>
        <v>100</v>
      </c>
      <c r="X24" s="1350"/>
      <c r="Y24" s="3927"/>
      <c r="Z24" s="1351">
        <f>Q24</f>
        <v>111</v>
      </c>
      <c r="AA24" s="1348">
        <f t="shared" si="3"/>
        <v>1</v>
      </c>
      <c r="AB24" s="1348">
        <f t="shared" si="4"/>
        <v>1</v>
      </c>
      <c r="AC24" s="1348">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07"/>
      <c r="M25" s="2708"/>
      <c r="N25" s="2708"/>
      <c r="O25" s="2708"/>
      <c r="P25" s="3927"/>
      <c r="Q25" s="1338">
        <f t="shared" si="11"/>
        <v>111</v>
      </c>
      <c r="R25" s="700" t="s">
        <v>14</v>
      </c>
      <c r="S25" s="701">
        <f>F25</f>
        <v>100</v>
      </c>
      <c r="T25" s="700" t="s">
        <v>14</v>
      </c>
      <c r="U25" s="701">
        <f>H25</f>
        <v>100</v>
      </c>
      <c r="V25" s="700" t="s">
        <v>14</v>
      </c>
      <c r="W25" s="701">
        <f>J25</f>
        <v>100</v>
      </c>
      <c r="X25" s="702"/>
      <c r="Y25" s="3927"/>
      <c r="Z25" s="52">
        <f>Q25</f>
        <v>111</v>
      </c>
      <c r="AA25" s="1348">
        <f>D25/F25</f>
        <v>1</v>
      </c>
      <c r="AB25" s="1348">
        <f>D25/H25</f>
        <v>1</v>
      </c>
      <c r="AC25" s="1348">
        <f>D25/J25</f>
        <v>1</v>
      </c>
    </row>
    <row r="26" spans="1:29" ht="28.5">
      <c r="A26" s="599" t="s">
        <v>1694</v>
      </c>
      <c r="B26" s="62" t="s">
        <v>1836</v>
      </c>
      <c r="C26" s="1964"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928" t="s">
        <v>1696</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929"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1"/>
      <c r="M27" s="2713"/>
      <c r="N27" s="2713"/>
      <c r="O27" s="2713"/>
      <c r="P27" s="3929"/>
      <c r="Q27" s="706" t="str">
        <f t="shared" si="11"/>
        <v>项目停车位配比</v>
      </c>
      <c r="R27" s="707" t="s">
        <v>14</v>
      </c>
      <c r="S27" s="708">
        <f t="shared" si="12"/>
        <v>100</v>
      </c>
      <c r="T27" s="707" t="s">
        <v>14</v>
      </c>
      <c r="U27" s="708">
        <f t="shared" si="13"/>
        <v>100</v>
      </c>
      <c r="V27" s="707" t="s">
        <v>14</v>
      </c>
      <c r="W27" s="708">
        <f t="shared" si="14"/>
        <v>100</v>
      </c>
      <c r="X27" s="709"/>
      <c r="Y27" s="3929"/>
      <c r="Z27" s="710"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929"/>
      <c r="Q28" s="1347" t="str">
        <f t="shared" si="11"/>
        <v>公共部分装修</v>
      </c>
      <c r="R28" s="704" t="s">
        <v>14</v>
      </c>
      <c r="S28" s="705">
        <f t="shared" si="12"/>
        <v>100</v>
      </c>
      <c r="T28" s="704" t="s">
        <v>14</v>
      </c>
      <c r="U28" s="705">
        <f t="shared" si="13"/>
        <v>100</v>
      </c>
      <c r="V28" s="704" t="s">
        <v>14</v>
      </c>
      <c r="W28" s="705">
        <f t="shared" si="14"/>
        <v>100</v>
      </c>
      <c r="X28" s="1350"/>
      <c r="Y28" s="3929"/>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929"/>
      <c r="Q29" s="1347" t="str">
        <f t="shared" si="11"/>
        <v>成新率</v>
      </c>
      <c r="R29" s="704" t="s">
        <v>14</v>
      </c>
      <c r="S29" s="705" t="e">
        <f t="shared" si="12"/>
        <v>#N/A</v>
      </c>
      <c r="T29" s="704" t="s">
        <v>14</v>
      </c>
      <c r="U29" s="705" t="e">
        <f t="shared" si="13"/>
        <v>#N/A</v>
      </c>
      <c r="V29" s="704" t="s">
        <v>14</v>
      </c>
      <c r="W29" s="705" t="e">
        <f t="shared" si="14"/>
        <v>#N/A</v>
      </c>
      <c r="X29" s="1350"/>
      <c r="Y29" s="3929"/>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2"/>
      <c r="M30" s="2706"/>
      <c r="N30" s="2706"/>
      <c r="O30" s="2706"/>
      <c r="P30" s="3929"/>
      <c r="Q30" s="1347" t="str">
        <f t="shared" si="11"/>
        <v>物业等级</v>
      </c>
      <c r="R30" s="704" t="s">
        <v>14</v>
      </c>
      <c r="S30" s="705">
        <f t="shared" si="12"/>
        <v>100</v>
      </c>
      <c r="T30" s="704" t="s">
        <v>14</v>
      </c>
      <c r="U30" s="705">
        <f t="shared" si="13"/>
        <v>100</v>
      </c>
      <c r="V30" s="704" t="s">
        <v>14</v>
      </c>
      <c r="W30" s="705">
        <f t="shared" si="14"/>
        <v>100</v>
      </c>
      <c r="X30" s="1350"/>
      <c r="Y30" s="3929"/>
      <c r="Z30" s="1351" t="str">
        <f t="shared" si="15"/>
        <v>物业等级</v>
      </c>
      <c r="AA30" s="1348">
        <f t="shared" si="3"/>
        <v>1</v>
      </c>
      <c r="AB30" s="1348">
        <f t="shared" si="4"/>
        <v>1</v>
      </c>
      <c r="AC30" s="1348">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929"/>
      <c r="Q31" s="1338" t="str">
        <f t="shared" si="11"/>
        <v>停车位面积</v>
      </c>
      <c r="R31" s="700" t="s">
        <v>14</v>
      </c>
      <c r="S31" s="701" t="e">
        <f t="shared" si="12"/>
        <v>#N/A</v>
      </c>
      <c r="T31" s="700" t="s">
        <v>14</v>
      </c>
      <c r="U31" s="701" t="e">
        <f t="shared" si="13"/>
        <v>#N/A</v>
      </c>
      <c r="V31" s="700" t="s">
        <v>14</v>
      </c>
      <c r="W31" s="701" t="e">
        <f t="shared" si="14"/>
        <v>#N/A</v>
      </c>
      <c r="X31" s="702"/>
      <c r="Y31" s="392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929" t="s">
        <v>1696</v>
      </c>
      <c r="Q32" s="1347" t="str">
        <f t="shared" si="11"/>
        <v>车位类型</v>
      </c>
      <c r="R32" s="704" t="s">
        <v>14</v>
      </c>
      <c r="S32" s="705">
        <f t="shared" si="12"/>
        <v>100</v>
      </c>
      <c r="T32" s="704" t="s">
        <v>14</v>
      </c>
      <c r="U32" s="705">
        <f t="shared" si="13"/>
        <v>100</v>
      </c>
      <c r="V32" s="704" t="s">
        <v>14</v>
      </c>
      <c r="W32" s="705">
        <f t="shared" si="14"/>
        <v>100</v>
      </c>
      <c r="X32" s="1350"/>
      <c r="Y32" s="3929"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929"/>
      <c r="Q33" s="1347" t="str">
        <f t="shared" si="11"/>
        <v>是否直接入户</v>
      </c>
      <c r="R33" s="704" t="s">
        <v>14</v>
      </c>
      <c r="S33" s="705">
        <f t="shared" si="12"/>
        <v>100</v>
      </c>
      <c r="T33" s="704" t="s">
        <v>14</v>
      </c>
      <c r="U33" s="705">
        <f t="shared" si="13"/>
        <v>100</v>
      </c>
      <c r="V33" s="704" t="s">
        <v>14</v>
      </c>
      <c r="W33" s="705">
        <f t="shared" si="14"/>
        <v>100</v>
      </c>
      <c r="X33" s="1350"/>
      <c r="Y33" s="3929"/>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929"/>
      <c r="Q34" s="1347">
        <f t="shared" si="11"/>
        <v>111</v>
      </c>
      <c r="R34" s="704" t="s">
        <v>14</v>
      </c>
      <c r="S34" s="705">
        <f t="shared" si="12"/>
        <v>100</v>
      </c>
      <c r="T34" s="704" t="s">
        <v>14</v>
      </c>
      <c r="U34" s="705">
        <f t="shared" si="13"/>
        <v>100</v>
      </c>
      <c r="V34" s="704" t="s">
        <v>14</v>
      </c>
      <c r="W34" s="705">
        <f t="shared" si="14"/>
        <v>100</v>
      </c>
      <c r="X34" s="1350"/>
      <c r="Y34" s="3929"/>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929"/>
      <c r="Q35" s="706">
        <f t="shared" si="11"/>
        <v>111</v>
      </c>
      <c r="R35" s="707" t="s">
        <v>14</v>
      </c>
      <c r="S35" s="708">
        <f t="shared" si="12"/>
        <v>100</v>
      </c>
      <c r="T35" s="707" t="s">
        <v>14</v>
      </c>
      <c r="U35" s="708">
        <f t="shared" si="13"/>
        <v>100</v>
      </c>
      <c r="V35" s="707" t="s">
        <v>14</v>
      </c>
      <c r="W35" s="708">
        <f t="shared" si="14"/>
        <v>100</v>
      </c>
      <c r="X35" s="709"/>
      <c r="Y35" s="3929"/>
      <c r="Z35" s="710">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929"/>
      <c r="Q36" s="1347">
        <f t="shared" si="11"/>
        <v>111</v>
      </c>
      <c r="R36" s="704" t="s">
        <v>14</v>
      </c>
      <c r="S36" s="705">
        <f t="shared" si="12"/>
        <v>100</v>
      </c>
      <c r="T36" s="704" t="s">
        <v>14</v>
      </c>
      <c r="U36" s="705">
        <f t="shared" si="13"/>
        <v>100</v>
      </c>
      <c r="V36" s="704" t="s">
        <v>14</v>
      </c>
      <c r="W36" s="705">
        <f t="shared" si="14"/>
        <v>100</v>
      </c>
      <c r="X36" s="1350"/>
      <c r="Y36" s="3929"/>
      <c r="Z36" s="1351">
        <f t="shared" si="15"/>
        <v>111</v>
      </c>
      <c r="AA36" s="1348">
        <f t="shared" si="3"/>
        <v>1</v>
      </c>
      <c r="AB36" s="1348">
        <f t="shared" si="4"/>
        <v>1</v>
      </c>
      <c r="AC36" s="1348">
        <f t="shared" si="5"/>
        <v>1</v>
      </c>
    </row>
    <row r="37" spans="1:29" ht="15">
      <c r="A37" s="429" t="s">
        <v>1844</v>
      </c>
      <c r="B37" s="1965" t="s">
        <v>3357</v>
      </c>
      <c r="C37" s="1150" t="s">
        <v>0</v>
      </c>
      <c r="D37" s="1151"/>
      <c r="E37" s="1152"/>
      <c r="F37" s="1153"/>
      <c r="G37" s="1154"/>
      <c r="H37" s="1155"/>
      <c r="I37" s="1152"/>
      <c r="J37" s="1155"/>
      <c r="K37" s="567"/>
      <c r="L37" s="2714"/>
      <c r="M37" s="2715"/>
      <c r="N37" s="2706"/>
      <c r="O37" s="2715"/>
      <c r="P37" s="3911" t="str">
        <f>A37</f>
        <v>成交单价</v>
      </c>
      <c r="Q37" s="3911"/>
      <c r="R37" s="3968">
        <f>E37</f>
        <v>0</v>
      </c>
      <c r="S37" s="3968"/>
      <c r="T37" s="3968">
        <f>G37</f>
        <v>0</v>
      </c>
      <c r="U37" s="3968"/>
      <c r="V37" s="3968">
        <f>I37</f>
        <v>0</v>
      </c>
      <c r="W37" s="3968"/>
      <c r="X37" s="689"/>
      <c r="Y37" s="711"/>
      <c r="Z37" s="689"/>
      <c r="AA37" s="689"/>
      <c r="AB37" s="689"/>
      <c r="AC37" s="689"/>
    </row>
    <row r="38" spans="1:29" ht="15.75" thickBot="1">
      <c r="A38" s="436" t="s">
        <v>1845</v>
      </c>
      <c r="B38" s="437" t="str">
        <f>B37</f>
        <v>元/平方米</v>
      </c>
      <c r="C38" s="1156" t="e">
        <f>R39</f>
        <v>#DIV/0!</v>
      </c>
      <c r="D38" s="2309" t="s">
        <v>2137</v>
      </c>
      <c r="E38" s="1157" t="e">
        <f>R38</f>
        <v>#DIV/0!</v>
      </c>
      <c r="F38" s="2310"/>
      <c r="G38" s="1156" t="e">
        <f>T38</f>
        <v>#DIV/0!</v>
      </c>
      <c r="H38" s="2310"/>
      <c r="I38" s="1157" t="e">
        <f>V38</f>
        <v>#DIV/0!</v>
      </c>
      <c r="J38" s="2310"/>
      <c r="K38" s="2312">
        <f>F38+H38+J38</f>
        <v>0</v>
      </c>
      <c r="L38" s="2714"/>
      <c r="M38" s="2715"/>
      <c r="N38" s="2715"/>
      <c r="O38" s="2715"/>
      <c r="P38" s="3911" t="str">
        <f>A38</f>
        <v>比较价值（元/平方米）</v>
      </c>
      <c r="Q38" s="3911"/>
      <c r="R38" s="3968" t="e">
        <f>IF(F1="售价",ROUND(PRODUCT(R37,AA7:AA36),0),ROUND(PRODUCT(R37,AA7:AA36),1))</f>
        <v>#DIV/0!</v>
      </c>
      <c r="S38" s="3968"/>
      <c r="T38" s="3968" t="e">
        <f>IF(F1="售价",ROUND(PRODUCT(T37,AB7:AB36),0),ROUND(PRODUCT(T37,AB7:AB36),1))</f>
        <v>#DIV/0!</v>
      </c>
      <c r="U38" s="3968"/>
      <c r="V38" s="3968" t="e">
        <f>IF(F1="售价",ROUND(PRODUCT(V37,AC7:AC36),0),ROUND(PRODUCT(V37,AC7:AC36),1))</f>
        <v>#DIV/0!</v>
      </c>
      <c r="W38" s="3968"/>
      <c r="X38" s="689"/>
      <c r="Y38" s="689"/>
      <c r="Z38" s="689"/>
      <c r="AA38" s="689"/>
      <c r="AB38" s="689"/>
      <c r="AC38" s="689"/>
    </row>
    <row r="39" spans="1:29" ht="15.75" thickBot="1">
      <c r="A39" s="440" t="s">
        <v>1846</v>
      </c>
      <c r="B39" s="441"/>
      <c r="C39" s="1159" t="e">
        <f>R39</f>
        <v>#DIV/0!</v>
      </c>
      <c r="D39" s="1159"/>
      <c r="E39" s="1159"/>
      <c r="F39" s="1159"/>
      <c r="G39" s="1159"/>
      <c r="H39" s="1159"/>
      <c r="I39" s="1159"/>
      <c r="J39" s="1159"/>
      <c r="K39" s="568"/>
      <c r="L39" s="2714"/>
      <c r="M39" s="2715"/>
      <c r="N39" s="2715"/>
      <c r="O39" s="2715"/>
      <c r="P39" s="3931" t="str">
        <f>A39</f>
        <v>估价对象XX用房的比较价值（楼面单价，元/平方米）</v>
      </c>
      <c r="Q39" s="3932"/>
      <c r="R39" s="3990" t="e">
        <f>IF(F1="售价",ROUND(IF(D38="简单平均",AVERAGE(R38:W38),R38*F38+T38*H38+V38*J38),0),ROUND(IF(D38="简单平均",AVERAGE(R38:V38),R38*F38+T38*H38+V38*J38),1))</f>
        <v>#DIV/0!</v>
      </c>
      <c r="S39" s="3990"/>
      <c r="T39" s="3990"/>
      <c r="U39" s="3990"/>
      <c r="V39" s="3990"/>
      <c r="W39" s="3990"/>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0" customFormat="1" ht="13.5" customHeight="1">
      <c r="A44" s="2718"/>
      <c r="B44" s="2718"/>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6" customFormat="1" ht="15">
      <c r="A48" s="453" t="s">
        <v>1851</v>
      </c>
      <c r="B48" s="454"/>
      <c r="C48" s="1179" t="str">
        <f>YEAR(C7)&amp;"-"&amp;MONTH(C7)</f>
        <v>2023-3</v>
      </c>
      <c r="D48" s="1180">
        <f>EDATE(C48,-1)</f>
        <v>44958</v>
      </c>
      <c r="E48" s="1180">
        <f t="shared" ref="E48:O48" si="16">EDATE(D48,-1)</f>
        <v>44927</v>
      </c>
      <c r="F48" s="1180">
        <f t="shared" si="16"/>
        <v>44896</v>
      </c>
      <c r="G48" s="1180">
        <f t="shared" si="16"/>
        <v>44866</v>
      </c>
      <c r="H48" s="1180">
        <f t="shared" si="16"/>
        <v>44835</v>
      </c>
      <c r="I48" s="1180">
        <f t="shared" si="16"/>
        <v>44805</v>
      </c>
      <c r="J48" s="1180">
        <f t="shared" si="16"/>
        <v>44774</v>
      </c>
      <c r="K48" s="1180">
        <f t="shared" si="16"/>
        <v>44743</v>
      </c>
      <c r="L48" s="1180">
        <f t="shared" si="16"/>
        <v>44713</v>
      </c>
      <c r="M48" s="1180">
        <f t="shared" si="16"/>
        <v>44682</v>
      </c>
      <c r="N48" s="1180">
        <f t="shared" si="16"/>
        <v>44652</v>
      </c>
      <c r="O48" s="1180">
        <f t="shared" si="16"/>
        <v>44621</v>
      </c>
      <c r="P48" s="2749"/>
      <c r="Q48" s="2731"/>
      <c r="R48" s="2731"/>
      <c r="S48" s="2731"/>
      <c r="T48" s="2731"/>
      <c r="U48" s="2731"/>
      <c r="V48" s="2731"/>
      <c r="W48" s="2731"/>
      <c r="X48" s="2731"/>
      <c r="Y48" s="2731"/>
      <c r="Z48" s="2731"/>
      <c r="AA48" s="2731"/>
      <c r="AB48" s="2731"/>
      <c r="AC48" s="2731"/>
    </row>
    <row r="49" spans="1:29" s="107" customFormat="1" ht="15">
      <c r="A49" s="457"/>
      <c r="B49" s="458"/>
      <c r="C49" s="1173">
        <v>100</v>
      </c>
      <c r="D49" s="460"/>
      <c r="E49" s="460"/>
      <c r="F49" s="460"/>
      <c r="G49" s="460"/>
      <c r="H49" s="460"/>
      <c r="I49" s="460"/>
      <c r="J49" s="460"/>
      <c r="K49" s="460"/>
      <c r="L49" s="460"/>
      <c r="M49" s="461"/>
      <c r="N49" s="460"/>
      <c r="O49" s="461"/>
      <c r="P49" s="2750"/>
      <c r="Q49" s="2652"/>
      <c r="R49" s="2652"/>
      <c r="S49" s="2652"/>
      <c r="T49" s="2652"/>
      <c r="U49" s="2652"/>
      <c r="V49" s="2652"/>
      <c r="W49" s="2652"/>
      <c r="X49" s="2652"/>
      <c r="Y49" s="2652"/>
      <c r="Z49" s="2652"/>
      <c r="AA49" s="2652"/>
      <c r="AB49" s="2652"/>
      <c r="AC49" s="2652"/>
    </row>
    <row r="50" spans="1:29" s="107" customFormat="1" ht="15.75" thickBot="1">
      <c r="A50" s="463" t="s">
        <v>1716</v>
      </c>
      <c r="B50" s="464"/>
      <c r="C50" s="465"/>
      <c r="D50" s="466"/>
      <c r="E50" s="466"/>
      <c r="F50" s="466"/>
      <c r="G50" s="466"/>
      <c r="H50" s="466"/>
      <c r="I50" s="466"/>
      <c r="J50" s="466"/>
      <c r="K50" s="466"/>
      <c r="L50" s="466"/>
      <c r="M50" s="467"/>
      <c r="N50" s="466"/>
      <c r="O50" s="467"/>
      <c r="P50" s="2750"/>
      <c r="Q50" s="2729"/>
      <c r="R50" s="2652"/>
      <c r="S50" s="2652"/>
      <c r="T50" s="2652"/>
      <c r="U50" s="2652"/>
      <c r="V50" s="2652"/>
      <c r="W50" s="2652"/>
      <c r="X50" s="2652"/>
      <c r="Y50" s="2652"/>
      <c r="Z50" s="2652"/>
      <c r="AA50" s="2652"/>
      <c r="AB50" s="2652"/>
      <c r="AC50" s="2652"/>
    </row>
    <row r="51" spans="1:29" s="107" customFormat="1" ht="15">
      <c r="A51" s="469" t="s">
        <v>1681</v>
      </c>
      <c r="B51" s="458"/>
      <c r="C51" s="470" t="s">
        <v>1776</v>
      </c>
      <c r="D51" s="471"/>
      <c r="E51" s="471"/>
      <c r="F51" s="471"/>
      <c r="G51" s="471"/>
      <c r="H51" s="471"/>
      <c r="I51" s="471"/>
      <c r="J51" s="471"/>
      <c r="K51" s="471"/>
      <c r="L51" s="472"/>
      <c r="M51" s="473"/>
      <c r="N51" s="2742"/>
      <c r="O51" s="2742"/>
      <c r="P51" s="2751"/>
      <c r="Q51" s="2729"/>
      <c r="R51" s="2652"/>
      <c r="S51" s="2652"/>
      <c r="T51" s="2652"/>
      <c r="U51" s="2652"/>
      <c r="V51" s="2652"/>
      <c r="W51" s="2652"/>
      <c r="X51" s="2652"/>
      <c r="Y51" s="2652"/>
      <c r="Z51" s="2652"/>
      <c r="AA51" s="2652"/>
      <c r="AB51" s="2652"/>
      <c r="AC51" s="2652"/>
    </row>
    <row r="52" spans="1:29" s="107" customFormat="1" ht="15.75" thickBot="1">
      <c r="A52" s="469"/>
      <c r="B52" s="458"/>
      <c r="C52" s="586">
        <v>100</v>
      </c>
      <c r="D52" s="460"/>
      <c r="E52" s="460"/>
      <c r="F52" s="460"/>
      <c r="G52" s="460"/>
      <c r="H52" s="460"/>
      <c r="I52" s="460"/>
      <c r="J52" s="460"/>
      <c r="K52" s="460"/>
      <c r="L52" s="460"/>
      <c r="M52" s="462"/>
      <c r="N52" s="2742"/>
      <c r="O52" s="2742"/>
      <c r="P52" s="2750"/>
      <c r="Q52" s="2729"/>
      <c r="R52" s="2652"/>
      <c r="S52" s="2652"/>
      <c r="T52" s="2652"/>
      <c r="U52" s="2652"/>
      <c r="V52" s="2652"/>
      <c r="W52" s="2652"/>
      <c r="X52" s="2652"/>
      <c r="Y52" s="2652"/>
      <c r="Z52" s="2652"/>
      <c r="AA52" s="2652"/>
      <c r="AB52" s="2652"/>
      <c r="AC52" s="2652"/>
    </row>
    <row r="53" spans="1:29">
      <c r="A53" s="475" t="s">
        <v>1719</v>
      </c>
      <c r="B53" s="476" t="s">
        <v>1685</v>
      </c>
      <c r="C53" s="477">
        <f>C9</f>
        <v>0</v>
      </c>
      <c r="D53" s="478"/>
      <c r="E53" s="478"/>
      <c r="F53" s="478"/>
      <c r="G53" s="478"/>
      <c r="H53" s="478"/>
      <c r="I53" s="478"/>
      <c r="J53" s="478"/>
      <c r="K53" s="479"/>
      <c r="L53" s="480"/>
      <c r="M53" s="481"/>
      <c r="N53" s="2743"/>
      <c r="O53" s="2743"/>
      <c r="P53" s="2752"/>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4"/>
      <c r="O54" s="2744"/>
      <c r="P54" s="2752"/>
      <c r="Q54" s="2729"/>
      <c r="R54" s="2715"/>
      <c r="S54" s="2715"/>
      <c r="T54" s="2715"/>
      <c r="U54" s="2715"/>
      <c r="V54" s="2715"/>
      <c r="W54" s="2715"/>
      <c r="X54" s="2715"/>
      <c r="Y54" s="2715"/>
      <c r="Z54" s="2715"/>
      <c r="AA54" s="2715"/>
      <c r="AB54" s="2715"/>
      <c r="AC54" s="2715"/>
    </row>
    <row r="55" spans="1:29" ht="27.75" thickTop="1">
      <c r="A55" s="482"/>
      <c r="B55" s="486" t="s">
        <v>1688</v>
      </c>
      <c r="C55" s="531"/>
      <c r="D55" s="531"/>
      <c r="E55" s="531"/>
      <c r="F55" s="531"/>
      <c r="G55" s="531"/>
      <c r="H55" s="531"/>
      <c r="I55" s="531"/>
      <c r="J55" s="531"/>
      <c r="K55" s="532"/>
      <c r="L55" s="533"/>
      <c r="M55" s="534"/>
      <c r="N55" s="2743"/>
      <c r="O55" s="2743"/>
      <c r="P55" s="2752"/>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4"/>
      <c r="O56" s="2744"/>
      <c r="P56" s="2752"/>
      <c r="Q56" s="2729"/>
      <c r="R56" s="2715"/>
      <c r="S56" s="2715"/>
      <c r="T56" s="2715"/>
      <c r="U56" s="2715"/>
      <c r="V56" s="2715"/>
      <c r="W56" s="2715"/>
      <c r="X56" s="2715"/>
      <c r="Y56" s="2715"/>
      <c r="Z56" s="2715"/>
      <c r="AA56" s="2715"/>
      <c r="AB56" s="2715"/>
      <c r="AC56" s="2715"/>
    </row>
    <row r="57" spans="1:29" ht="15.75" thickTop="1">
      <c r="A57" s="482"/>
      <c r="B57" s="607">
        <f>B11</f>
        <v>111</v>
      </c>
      <c r="C57" s="497"/>
      <c r="D57" s="497"/>
      <c r="E57" s="497"/>
      <c r="F57" s="497"/>
      <c r="G57" s="497"/>
      <c r="H57" s="497"/>
      <c r="I57" s="497"/>
      <c r="J57" s="497"/>
      <c r="K57" s="498"/>
      <c r="L57" s="499"/>
      <c r="M57" s="500"/>
      <c r="N57" s="2743"/>
      <c r="O57" s="2743"/>
      <c r="P57" s="2752"/>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4"/>
      <c r="O58" s="2744"/>
      <c r="P58" s="2752"/>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5"/>
      <c r="O59" s="2745"/>
      <c r="P59" s="2753"/>
      <c r="Q59" s="2736"/>
      <c r="R59" s="2737"/>
      <c r="S59" s="2737"/>
      <c r="T59" s="2737"/>
      <c r="U59" s="2737"/>
      <c r="V59" s="2737"/>
      <c r="W59" s="2737"/>
      <c r="X59" s="2737"/>
      <c r="Y59" s="2737"/>
      <c r="Z59" s="2737"/>
      <c r="AA59" s="2737"/>
      <c r="AB59" s="2737"/>
      <c r="AC59" s="2737"/>
    </row>
    <row r="60" spans="1:29" s="421" customFormat="1" ht="15.75" thickBot="1">
      <c r="A60" s="501"/>
      <c r="B60" s="491"/>
      <c r="C60" s="508"/>
      <c r="D60" s="484"/>
      <c r="E60" s="484"/>
      <c r="F60" s="484"/>
      <c r="G60" s="484"/>
      <c r="H60" s="484"/>
      <c r="I60" s="484"/>
      <c r="J60" s="484"/>
      <c r="K60" s="484"/>
      <c r="L60" s="484"/>
      <c r="M60" s="485"/>
      <c r="N60" s="2744"/>
      <c r="O60" s="2744"/>
      <c r="P60" s="2753"/>
      <c r="Q60" s="2736"/>
      <c r="R60" s="2737"/>
      <c r="S60" s="2737"/>
      <c r="T60" s="2737"/>
      <c r="U60" s="2737"/>
      <c r="V60" s="2737"/>
      <c r="W60" s="2737"/>
      <c r="X60" s="2737"/>
      <c r="Y60" s="2737"/>
      <c r="Z60" s="2737"/>
      <c r="AA60" s="2737"/>
      <c r="AB60" s="2737"/>
      <c r="AC60" s="2737"/>
    </row>
    <row r="61" spans="1:29" s="421" customFormat="1" ht="15.75" thickTop="1">
      <c r="A61" s="501"/>
      <c r="B61" s="486">
        <f>B13</f>
        <v>111</v>
      </c>
      <c r="C61" s="502"/>
      <c r="D61" s="502"/>
      <c r="E61" s="502"/>
      <c r="F61" s="502"/>
      <c r="G61" s="502"/>
      <c r="H61" s="503"/>
      <c r="I61" s="503"/>
      <c r="J61" s="503"/>
      <c r="K61" s="503"/>
      <c r="L61" s="504"/>
      <c r="M61" s="505"/>
      <c r="N61" s="2745"/>
      <c r="O61" s="2745"/>
      <c r="P61" s="2754"/>
      <c r="Q61" s="2739"/>
      <c r="R61" s="2737"/>
      <c r="S61" s="2737"/>
      <c r="T61" s="2737"/>
      <c r="U61" s="2737"/>
      <c r="V61" s="2737"/>
      <c r="W61" s="2737"/>
      <c r="X61" s="2737"/>
      <c r="Y61" s="2737"/>
      <c r="Z61" s="2737"/>
      <c r="AA61" s="2737"/>
      <c r="AB61" s="2737"/>
      <c r="AC61" s="2737"/>
    </row>
    <row r="62" spans="1:29" s="421" customFormat="1" ht="15.75" thickBot="1">
      <c r="A62" s="501"/>
      <c r="B62" s="491"/>
      <c r="C62" s="508"/>
      <c r="D62" s="508"/>
      <c r="E62" s="508"/>
      <c r="F62" s="508"/>
      <c r="G62" s="508"/>
      <c r="H62" s="510"/>
      <c r="I62" s="510"/>
      <c r="J62" s="510"/>
      <c r="K62" s="510"/>
      <c r="L62" s="510"/>
      <c r="M62" s="511"/>
      <c r="N62" s="2745"/>
      <c r="O62" s="2745"/>
      <c r="P62" s="2753"/>
      <c r="Q62" s="2736"/>
      <c r="R62" s="2737"/>
      <c r="S62" s="2737"/>
      <c r="T62" s="2737"/>
      <c r="U62" s="2737"/>
      <c r="V62" s="2737"/>
      <c r="W62" s="2737"/>
      <c r="X62" s="2737"/>
      <c r="Y62" s="2737"/>
      <c r="Z62" s="2737"/>
      <c r="AA62" s="2737"/>
      <c r="AB62" s="2737"/>
      <c r="AC62" s="2737"/>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3"/>
      <c r="O63" s="2743"/>
      <c r="P63" s="2756"/>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4"/>
      <c r="O64" s="2744"/>
      <c r="P64" s="2752"/>
      <c r="Q64" s="2729"/>
      <c r="R64" s="2715"/>
      <c r="S64" s="2715"/>
      <c r="T64" s="2715"/>
      <c r="U64" s="2715"/>
      <c r="V64" s="2715"/>
      <c r="W64" s="2715"/>
      <c r="X64" s="2715"/>
      <c r="Y64" s="2715"/>
      <c r="Z64" s="2715"/>
      <c r="AA64" s="2715"/>
      <c r="AB64" s="2715"/>
      <c r="AC64" s="2715"/>
    </row>
    <row r="65" spans="1:29" ht="15.75" thickTop="1">
      <c r="A65" s="482"/>
      <c r="B65" s="486" t="s">
        <v>1727</v>
      </c>
      <c r="C65" s="526" t="s">
        <v>1721</v>
      </c>
      <c r="D65" s="526" t="s">
        <v>1722</v>
      </c>
      <c r="E65" s="526" t="s">
        <v>1723</v>
      </c>
      <c r="F65" s="526" t="s">
        <v>1724</v>
      </c>
      <c r="G65" s="526" t="s">
        <v>1725</v>
      </c>
      <c r="H65" s="487"/>
      <c r="I65" s="487"/>
      <c r="J65" s="487"/>
      <c r="K65" s="488"/>
      <c r="L65" s="489"/>
      <c r="M65" s="490"/>
      <c r="N65" s="2743"/>
      <c r="O65" s="2743"/>
      <c r="P65" s="2752"/>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4"/>
      <c r="O66" s="2744"/>
      <c r="P66" s="2752"/>
      <c r="Q66" s="2729"/>
      <c r="R66" s="2715"/>
      <c r="S66" s="2715"/>
      <c r="T66" s="2715"/>
      <c r="U66" s="2715"/>
      <c r="V66" s="2715"/>
      <c r="W66" s="2715"/>
      <c r="X66" s="2715"/>
      <c r="Y66" s="2715"/>
      <c r="Z66" s="2715"/>
      <c r="AA66" s="2715"/>
      <c r="AB66" s="2715"/>
      <c r="AC66" s="2715"/>
    </row>
    <row r="67" spans="1:29" ht="15.75" thickTop="1">
      <c r="A67" s="482"/>
      <c r="B67" s="494" t="s">
        <v>1813</v>
      </c>
      <c r="C67" s="607" t="s">
        <v>1799</v>
      </c>
      <c r="D67" s="607" t="s">
        <v>1800</v>
      </c>
      <c r="E67" s="607" t="s">
        <v>1801</v>
      </c>
      <c r="F67" s="607" t="s">
        <v>1802</v>
      </c>
      <c r="G67" s="607" t="s">
        <v>1803</v>
      </c>
      <c r="H67" s="487"/>
      <c r="I67" s="487"/>
      <c r="J67" s="487"/>
      <c r="K67" s="487"/>
      <c r="L67" s="487"/>
      <c r="M67" s="1125"/>
      <c r="N67" s="2744"/>
      <c r="O67" s="2744"/>
      <c r="P67" s="2752"/>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4"/>
      <c r="O68" s="2744"/>
      <c r="P68" s="2752"/>
      <c r="Q68" s="2729"/>
      <c r="R68" s="2715"/>
      <c r="S68" s="2715"/>
      <c r="T68" s="2715"/>
      <c r="U68" s="2715"/>
      <c r="V68" s="2715"/>
      <c r="W68" s="2715"/>
      <c r="X68" s="2715"/>
      <c r="Y68" s="2715"/>
      <c r="Z68" s="2715"/>
      <c r="AA68" s="2715"/>
      <c r="AB68" s="2715"/>
      <c r="AC68" s="2715"/>
    </row>
    <row r="69" spans="1:29" ht="15.75" thickTop="1">
      <c r="A69" s="482"/>
      <c r="B69" s="486" t="s">
        <v>1733</v>
      </c>
      <c r="C69" s="526" t="s">
        <v>1721</v>
      </c>
      <c r="D69" s="526" t="s">
        <v>1722</v>
      </c>
      <c r="E69" s="526" t="s">
        <v>1723</v>
      </c>
      <c r="F69" s="526" t="s">
        <v>1724</v>
      </c>
      <c r="G69" s="526" t="s">
        <v>1725</v>
      </c>
      <c r="H69" s="487"/>
      <c r="I69" s="487"/>
      <c r="J69" s="487"/>
      <c r="K69" s="488"/>
      <c r="L69" s="489"/>
      <c r="M69" s="490"/>
      <c r="N69" s="2743"/>
      <c r="O69" s="2743"/>
      <c r="P69" s="2752"/>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4"/>
      <c r="O70" s="2744"/>
      <c r="P70" s="2752"/>
      <c r="Q70" s="2729"/>
      <c r="R70" s="2715"/>
      <c r="S70" s="2715"/>
      <c r="T70" s="2715"/>
      <c r="U70" s="2715"/>
      <c r="V70" s="2715"/>
      <c r="W70" s="2715"/>
      <c r="X70" s="2715"/>
      <c r="Y70" s="2715"/>
      <c r="Z70" s="2715"/>
      <c r="AA70" s="2715"/>
      <c r="AB70" s="2715"/>
      <c r="AC70" s="2715"/>
    </row>
    <row r="71" spans="1:29" ht="15.75" thickTop="1">
      <c r="A71" s="482"/>
      <c r="B71" s="486" t="s">
        <v>1852</v>
      </c>
      <c r="C71" s="502"/>
      <c r="D71" s="502"/>
      <c r="E71" s="502"/>
      <c r="F71" s="502"/>
      <c r="G71" s="502"/>
      <c r="H71" s="531"/>
      <c r="I71" s="531"/>
      <c r="J71" s="531"/>
      <c r="K71" s="532"/>
      <c r="L71" s="533"/>
      <c r="M71" s="534"/>
      <c r="N71" s="2743"/>
      <c r="O71" s="2743"/>
      <c r="P71" s="2752"/>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4"/>
      <c r="O72" s="2744"/>
      <c r="P72" s="2752"/>
      <c r="Q72" s="2729"/>
      <c r="R72" s="2715"/>
      <c r="S72" s="2715"/>
      <c r="T72" s="2715"/>
      <c r="U72" s="2715"/>
      <c r="V72" s="2715"/>
      <c r="W72" s="2715"/>
      <c r="X72" s="2715"/>
      <c r="Y72" s="2715"/>
      <c r="Z72" s="2715"/>
      <c r="AA72" s="2715"/>
      <c r="AB72" s="2715"/>
      <c r="AC72" s="2715"/>
    </row>
    <row r="73" spans="1:29" s="107" customFormat="1" ht="15.75" thickTop="1">
      <c r="A73" s="527"/>
      <c r="B73" s="486">
        <f>B23</f>
        <v>111</v>
      </c>
      <c r="C73" s="497"/>
      <c r="D73" s="497"/>
      <c r="E73" s="497"/>
      <c r="F73" s="497"/>
      <c r="G73" s="502"/>
      <c r="H73" s="502"/>
      <c r="I73" s="502"/>
      <c r="J73" s="502"/>
      <c r="K73" s="502"/>
      <c r="L73" s="528"/>
      <c r="M73" s="529"/>
      <c r="N73" s="2742"/>
      <c r="O73" s="2742"/>
      <c r="P73" s="2752"/>
      <c r="Q73" s="2729"/>
      <c r="R73" s="2652"/>
      <c r="S73" s="2652"/>
      <c r="T73" s="2652"/>
      <c r="U73" s="2652"/>
      <c r="V73" s="2652"/>
      <c r="W73" s="2652"/>
      <c r="X73" s="2652"/>
      <c r="Y73" s="2652"/>
      <c r="Z73" s="2652"/>
      <c r="AA73" s="2652"/>
      <c r="AB73" s="2652"/>
      <c r="AC73" s="2652"/>
    </row>
    <row r="74" spans="1:29" s="107" customFormat="1" ht="15.75" thickBot="1">
      <c r="A74" s="527"/>
      <c r="B74" s="491"/>
      <c r="C74" s="508"/>
      <c r="D74" s="484"/>
      <c r="E74" s="484"/>
      <c r="F74" s="484"/>
      <c r="G74" s="484"/>
      <c r="H74" s="484"/>
      <c r="I74" s="484"/>
      <c r="J74" s="484"/>
      <c r="K74" s="484"/>
      <c r="L74" s="484"/>
      <c r="M74" s="485"/>
      <c r="N74" s="2744"/>
      <c r="O74" s="2744"/>
      <c r="P74" s="2752"/>
      <c r="Q74" s="2729"/>
      <c r="R74" s="2652"/>
      <c r="S74" s="2652"/>
      <c r="T74" s="2652"/>
      <c r="U74" s="2652"/>
      <c r="V74" s="2652"/>
      <c r="W74" s="2652"/>
      <c r="X74" s="2652"/>
      <c r="Y74" s="2652"/>
      <c r="Z74" s="2652"/>
      <c r="AA74" s="2652"/>
      <c r="AB74" s="2652"/>
      <c r="AC74" s="2652"/>
    </row>
    <row r="75" spans="1:29" s="107" customFormat="1" ht="15.75" thickTop="1">
      <c r="A75" s="527"/>
      <c r="B75" s="486">
        <f>B24</f>
        <v>111</v>
      </c>
      <c r="C75" s="497"/>
      <c r="D75" s="497"/>
      <c r="E75" s="497"/>
      <c r="F75" s="497"/>
      <c r="G75" s="502"/>
      <c r="H75" s="502"/>
      <c r="I75" s="502"/>
      <c r="J75" s="502"/>
      <c r="K75" s="502"/>
      <c r="L75" s="502"/>
      <c r="M75" s="529"/>
      <c r="N75" s="2742"/>
      <c r="O75" s="2742"/>
      <c r="P75" s="2752"/>
      <c r="Q75" s="2729"/>
      <c r="R75" s="2652"/>
      <c r="S75" s="2652"/>
      <c r="T75" s="2652"/>
      <c r="U75" s="2652"/>
      <c r="V75" s="2652"/>
      <c r="W75" s="2652"/>
      <c r="X75" s="2652"/>
      <c r="Y75" s="2652"/>
      <c r="Z75" s="2652"/>
      <c r="AA75" s="2652"/>
      <c r="AB75" s="2652"/>
      <c r="AC75" s="2652"/>
    </row>
    <row r="76" spans="1:29" s="107" customFormat="1" ht="15.75" thickBot="1">
      <c r="A76" s="527"/>
      <c r="B76" s="491"/>
      <c r="C76" s="508"/>
      <c r="D76" s="484"/>
      <c r="E76" s="484"/>
      <c r="F76" s="484"/>
      <c r="G76" s="484"/>
      <c r="H76" s="484"/>
      <c r="I76" s="484"/>
      <c r="J76" s="484"/>
      <c r="K76" s="484"/>
      <c r="L76" s="484"/>
      <c r="M76" s="485"/>
      <c r="N76" s="2744"/>
      <c r="O76" s="2744"/>
      <c r="P76" s="2752"/>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5"/>
      <c r="O77" s="2745"/>
      <c r="P77" s="2753"/>
      <c r="Q77" s="2736"/>
      <c r="R77" s="2737"/>
      <c r="S77" s="2737"/>
      <c r="T77" s="2737"/>
      <c r="U77" s="2737"/>
      <c r="V77" s="2737"/>
      <c r="W77" s="2737"/>
      <c r="X77" s="2737"/>
      <c r="Y77" s="2737"/>
      <c r="Z77" s="2737"/>
      <c r="AA77" s="2737"/>
      <c r="AB77" s="2737"/>
      <c r="AC77" s="2737"/>
    </row>
    <row r="78" spans="1:29" s="421" customFormat="1" ht="15.75" thickBot="1">
      <c r="A78" s="501"/>
      <c r="B78" s="491"/>
      <c r="C78" s="508"/>
      <c r="D78" s="508"/>
      <c r="E78" s="508"/>
      <c r="F78" s="508"/>
      <c r="G78" s="484"/>
      <c r="H78" s="484"/>
      <c r="I78" s="484"/>
      <c r="J78" s="484"/>
      <c r="K78" s="484"/>
      <c r="L78" s="484"/>
      <c r="M78" s="485"/>
      <c r="N78" s="2745"/>
      <c r="O78" s="2745"/>
      <c r="P78" s="2753"/>
      <c r="Q78" s="2736"/>
      <c r="R78" s="2737"/>
      <c r="S78" s="2737"/>
      <c r="T78" s="2737"/>
      <c r="U78" s="2737"/>
      <c r="V78" s="2737"/>
      <c r="W78" s="2737"/>
      <c r="X78" s="2737"/>
      <c r="Y78" s="2737"/>
      <c r="Z78" s="2737"/>
      <c r="AA78" s="2737"/>
      <c r="AB78" s="2737"/>
      <c r="AC78" s="2737"/>
    </row>
    <row r="79" spans="1:29" ht="27.75" thickTop="1">
      <c r="A79" s="475" t="s">
        <v>1694</v>
      </c>
      <c r="B79" s="476" t="s">
        <v>1853</v>
      </c>
      <c r="C79" s="477" t="str">
        <f>C26</f>
        <v>车库</v>
      </c>
      <c r="D79" s="478"/>
      <c r="E79" s="478"/>
      <c r="F79" s="478"/>
      <c r="G79" s="478"/>
      <c r="H79" s="478"/>
      <c r="I79" s="478"/>
      <c r="J79" s="478"/>
      <c r="K79" s="479"/>
      <c r="L79" s="480"/>
      <c r="M79" s="481"/>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2"/>
      <c r="B81" s="486" t="s">
        <v>1854</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4"/>
      <c r="O82" s="2744"/>
      <c r="P82" s="2753"/>
      <c r="Q82" s="2736"/>
      <c r="R82" s="2737"/>
      <c r="S82" s="2737"/>
      <c r="T82" s="2737"/>
      <c r="U82" s="2737"/>
      <c r="V82" s="2737"/>
      <c r="W82" s="2737"/>
      <c r="X82" s="2737"/>
      <c r="Y82" s="2737"/>
      <c r="Z82" s="2737"/>
      <c r="AA82" s="2737"/>
      <c r="AB82" s="2737"/>
      <c r="AC82" s="2737"/>
    </row>
    <row r="83" spans="1:29" ht="15" thickTop="1">
      <c r="A83" s="547"/>
      <c r="B83" s="486" t="s">
        <v>1740</v>
      </c>
      <c r="C83" s="502"/>
      <c r="D83" s="502"/>
      <c r="E83" s="531"/>
      <c r="F83" s="531"/>
      <c r="G83" s="531"/>
      <c r="H83" s="531"/>
      <c r="I83" s="531"/>
      <c r="J83" s="531"/>
      <c r="K83" s="532"/>
      <c r="L83" s="533"/>
      <c r="M83" s="534"/>
      <c r="N83" s="2743"/>
      <c r="O83" s="2743"/>
      <c r="P83" s="2752"/>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3"/>
      <c r="O85" s="2743"/>
      <c r="P85" s="2752"/>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7"/>
      <c r="B88" s="494" t="s">
        <v>1856</v>
      </c>
      <c r="C88" s="478"/>
      <c r="D88" s="478"/>
      <c r="E88" s="478"/>
      <c r="F88" s="478"/>
      <c r="G88" s="478"/>
      <c r="H88" s="478"/>
      <c r="I88" s="478"/>
      <c r="J88" s="478"/>
      <c r="K88" s="479"/>
      <c r="L88" s="480"/>
      <c r="M88" s="481"/>
      <c r="N88" s="2743"/>
      <c r="O88" s="2743"/>
      <c r="P88" s="2752"/>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41"/>
      <c r="B91" s="494"/>
      <c r="C91" s="543"/>
      <c r="D91" s="543"/>
      <c r="E91" s="543"/>
      <c r="F91" s="543"/>
      <c r="G91" s="543"/>
      <c r="H91" s="543"/>
      <c r="I91" s="543"/>
      <c r="J91" s="544"/>
      <c r="K91" s="544"/>
      <c r="L91" s="545"/>
      <c r="M91" s="546"/>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08"/>
      <c r="D92" s="484"/>
      <c r="E92" s="484"/>
      <c r="F92" s="484"/>
      <c r="G92" s="484"/>
      <c r="H92" s="484"/>
      <c r="I92" s="484"/>
      <c r="J92" s="484"/>
      <c r="K92" s="484"/>
      <c r="L92" s="484"/>
      <c r="M92" s="485"/>
      <c r="N92" s="2745"/>
      <c r="O92" s="2745"/>
      <c r="P92" s="2753"/>
      <c r="Q92" s="2736"/>
      <c r="R92" s="2737"/>
      <c r="S92" s="2737"/>
      <c r="T92" s="2737"/>
      <c r="U92" s="2737"/>
      <c r="V92" s="2737"/>
      <c r="W92" s="2737"/>
      <c r="X92" s="2737"/>
      <c r="Y92" s="2737"/>
      <c r="Z92" s="2737"/>
      <c r="AA92" s="2737"/>
      <c r="AB92" s="2737"/>
      <c r="AC92" s="2737"/>
    </row>
    <row r="93" spans="1:29" ht="15" thickTop="1">
      <c r="A93" s="547"/>
      <c r="B93" s="486" t="s">
        <v>1858</v>
      </c>
      <c r="C93" s="502"/>
      <c r="D93" s="502"/>
      <c r="E93" s="531"/>
      <c r="F93" s="531"/>
      <c r="G93" s="531"/>
      <c r="H93" s="531"/>
      <c r="I93" s="531"/>
      <c r="J93" s="531"/>
      <c r="K93" s="532"/>
      <c r="L93" s="533"/>
      <c r="M93" s="534"/>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7"/>
      <c r="B95" s="486" t="s">
        <v>1859</v>
      </c>
      <c r="C95" s="478"/>
      <c r="D95" s="478"/>
      <c r="E95" s="478"/>
      <c r="F95" s="478"/>
      <c r="G95" s="478"/>
      <c r="H95" s="478"/>
      <c r="I95" s="478"/>
      <c r="J95" s="478"/>
      <c r="K95" s="479"/>
      <c r="L95" s="480"/>
      <c r="M95" s="481"/>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4"/>
      <c r="O96" s="2744"/>
      <c r="P96" s="2752"/>
      <c r="Q96" s="2729"/>
      <c r="R96" s="2715"/>
      <c r="S96" s="2715"/>
      <c r="T96" s="2715"/>
      <c r="U96" s="2715"/>
      <c r="V96" s="2715"/>
      <c r="W96" s="2715"/>
      <c r="X96" s="2715"/>
      <c r="Y96" s="2715"/>
      <c r="Z96" s="2715"/>
      <c r="AA96" s="2715"/>
      <c r="AB96" s="2715"/>
      <c r="AC96" s="2715"/>
    </row>
    <row r="97" spans="1:29" ht="15" thickTop="1">
      <c r="A97" s="547"/>
      <c r="B97" s="583">
        <f>B34</f>
        <v>111</v>
      </c>
      <c r="C97" s="497"/>
      <c r="D97" s="497"/>
      <c r="E97" s="497"/>
      <c r="F97" s="497"/>
      <c r="G97" s="502"/>
      <c r="H97" s="503"/>
      <c r="I97" s="503"/>
      <c r="J97" s="503"/>
      <c r="K97" s="503"/>
      <c r="L97" s="504"/>
      <c r="M97" s="505"/>
      <c r="N97" s="2744"/>
      <c r="O97" s="2744"/>
      <c r="P97" s="2757"/>
      <c r="Q97" s="2758"/>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4"/>
      <c r="O98" s="2744"/>
      <c r="P98" s="2752"/>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5"/>
      <c r="O99" s="2745"/>
      <c r="P99" s="2753"/>
      <c r="Q99" s="2736"/>
      <c r="R99" s="2737"/>
      <c r="S99" s="2737"/>
      <c r="T99" s="2737"/>
      <c r="U99" s="2737"/>
      <c r="V99" s="2737"/>
      <c r="W99" s="2737"/>
      <c r="X99" s="2737"/>
      <c r="Y99" s="2737"/>
      <c r="Z99" s="2737"/>
      <c r="AA99" s="2737"/>
      <c r="AB99" s="2737"/>
      <c r="AC99" s="2737"/>
    </row>
    <row r="100" spans="1:29" s="421" customFormat="1" ht="15.75" thickBot="1">
      <c r="A100" s="501"/>
      <c r="B100" s="483"/>
      <c r="C100" s="508"/>
      <c r="D100" s="484"/>
      <c r="E100" s="484"/>
      <c r="F100" s="484"/>
      <c r="G100" s="508"/>
      <c r="H100" s="510"/>
      <c r="I100" s="510"/>
      <c r="J100" s="510"/>
      <c r="K100" s="510"/>
      <c r="L100" s="510"/>
      <c r="M100" s="511"/>
      <c r="N100" s="2745"/>
      <c r="O100" s="2745"/>
      <c r="P100" s="2753"/>
      <c r="Q100" s="2736"/>
      <c r="R100" s="2737"/>
      <c r="S100" s="2737"/>
      <c r="T100" s="2737"/>
      <c r="U100" s="2737"/>
      <c r="V100" s="2737"/>
      <c r="W100" s="2737"/>
      <c r="X100" s="2737"/>
      <c r="Y100" s="2737"/>
      <c r="Z100" s="2737"/>
      <c r="AA100" s="2737"/>
      <c r="AB100" s="2737"/>
      <c r="AC100" s="2737"/>
    </row>
    <row r="101" spans="1:29" ht="15" thickTop="1">
      <c r="A101" s="547"/>
      <c r="B101" s="486">
        <f>B36</f>
        <v>111</v>
      </c>
      <c r="C101" s="502"/>
      <c r="D101" s="502"/>
      <c r="E101" s="502"/>
      <c r="F101" s="502"/>
      <c r="G101" s="502"/>
      <c r="H101" s="503"/>
      <c r="I101" s="503"/>
      <c r="J101" s="503"/>
      <c r="K101" s="503"/>
      <c r="L101" s="504"/>
      <c r="M101" s="505"/>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3337</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912" t="s">
        <v>1770</v>
      </c>
      <c r="D4" s="3913"/>
      <c r="E4" s="3914" t="s">
        <v>1771</v>
      </c>
      <c r="F4" s="3915"/>
      <c r="G4" s="3912" t="s">
        <v>1772</v>
      </c>
      <c r="H4" s="3913"/>
      <c r="I4" s="3912" t="s">
        <v>1773</v>
      </c>
      <c r="J4" s="3913"/>
      <c r="K4" s="558" t="s">
        <v>1774</v>
      </c>
      <c r="L4" s="2705"/>
      <c r="M4" s="2706"/>
      <c r="N4" s="2706"/>
      <c r="O4" s="2706"/>
      <c r="P4" s="3916" t="s">
        <v>1775</v>
      </c>
      <c r="Q4" s="3917"/>
      <c r="R4" s="3899" t="s">
        <v>1771</v>
      </c>
      <c r="S4" s="3900"/>
      <c r="T4" s="3899" t="s">
        <v>1772</v>
      </c>
      <c r="U4" s="3900"/>
      <c r="V4" s="3924" t="s">
        <v>1773</v>
      </c>
      <c r="W4" s="3924"/>
      <c r="X4" s="1350"/>
      <c r="Y4" s="3899" t="s">
        <v>1775</v>
      </c>
      <c r="Z4" s="3900"/>
      <c r="AA4" s="3894" t="s">
        <v>1771</v>
      </c>
      <c r="AB4" s="3895" t="s">
        <v>1772</v>
      </c>
      <c r="AC4" s="3894" t="s">
        <v>1773</v>
      </c>
    </row>
    <row r="5" spans="1:29" ht="15">
      <c r="A5" s="357"/>
      <c r="B5" s="358"/>
      <c r="C5" s="3905" t="s">
        <v>1673</v>
      </c>
      <c r="D5" s="3906"/>
      <c r="E5" s="3903" t="s">
        <v>1674</v>
      </c>
      <c r="F5" s="3904"/>
      <c r="G5" s="3905" t="s">
        <v>1675</v>
      </c>
      <c r="H5" s="3906"/>
      <c r="I5" s="3905" t="s">
        <v>1676</v>
      </c>
      <c r="J5" s="3906"/>
      <c r="K5" s="558"/>
      <c r="L5" s="2705"/>
      <c r="M5" s="2706"/>
      <c r="N5" s="2706"/>
      <c r="O5" s="2706"/>
      <c r="P5" s="3918"/>
      <c r="Q5" s="3919"/>
      <c r="R5" s="3901"/>
      <c r="S5" s="3902"/>
      <c r="T5" s="3901"/>
      <c r="U5" s="3902"/>
      <c r="V5" s="3924"/>
      <c r="W5" s="3924"/>
      <c r="X5" s="1350"/>
      <c r="Y5" s="3901"/>
      <c r="Z5" s="3902"/>
      <c r="AA5" s="3895"/>
      <c r="AB5" s="3895"/>
      <c r="AC5" s="3895"/>
    </row>
    <row r="6" spans="1:29" ht="15.75" thickBot="1">
      <c r="A6" s="359"/>
      <c r="B6" s="360"/>
      <c r="C6" s="3907" t="s">
        <v>1677</v>
      </c>
      <c r="D6" s="3908"/>
      <c r="E6" s="3909" t="s">
        <v>1677</v>
      </c>
      <c r="F6" s="3910"/>
      <c r="G6" s="3907" t="s">
        <v>1677</v>
      </c>
      <c r="H6" s="3908"/>
      <c r="I6" s="3907" t="s">
        <v>1677</v>
      </c>
      <c r="J6" s="3908"/>
      <c r="K6" s="558" t="s">
        <v>1678</v>
      </c>
      <c r="L6" s="2705"/>
      <c r="M6" s="2706"/>
      <c r="N6" s="2706"/>
      <c r="O6" s="2706"/>
      <c r="P6" s="3920"/>
      <c r="Q6" s="3921"/>
      <c r="R6" s="3901"/>
      <c r="S6" s="3902"/>
      <c r="T6" s="3922"/>
      <c r="U6" s="3923"/>
      <c r="V6" s="3924"/>
      <c r="W6" s="3924"/>
      <c r="X6" s="1350"/>
      <c r="Y6" s="3922"/>
      <c r="Z6" s="3923"/>
      <c r="AA6" s="3896"/>
      <c r="AB6" s="3896"/>
      <c r="AC6" s="3896"/>
    </row>
    <row r="7" spans="1:29" s="107" customFormat="1" ht="15.75" thickBot="1">
      <c r="A7" s="361" t="s">
        <v>1679</v>
      </c>
      <c r="B7" s="362"/>
      <c r="C7" s="363">
        <f>'数据-取费表'!B2</f>
        <v>44999</v>
      </c>
      <c r="D7" s="364">
        <v>100</v>
      </c>
      <c r="E7" s="365"/>
      <c r="F7" s="366">
        <f>SUMIF(46:46,YEAR(E7)&amp;"-"&amp;MONTH(E7),47:47)</f>
        <v>0</v>
      </c>
      <c r="G7" s="1966"/>
      <c r="H7" s="364">
        <f>SUMIF(46:46,YEAR(G7)&amp;"-"&amp;MONTH(G7),47:47)</f>
        <v>0</v>
      </c>
      <c r="I7" s="365"/>
      <c r="J7" s="364">
        <f>SUMIF(46:46,YEAR(I7)&amp;"-"&amp;MONTH(I7),47:47)</f>
        <v>0</v>
      </c>
      <c r="K7" s="559"/>
      <c r="L7" s="2707"/>
      <c r="M7" s="2708"/>
      <c r="N7" s="2708"/>
      <c r="O7" s="2708"/>
      <c r="P7" s="3897" t="s">
        <v>1680</v>
      </c>
      <c r="Q7" s="3925"/>
      <c r="R7" s="700" t="s">
        <v>14</v>
      </c>
      <c r="S7" s="701">
        <f t="shared" ref="S7:S14" si="0">F7</f>
        <v>0</v>
      </c>
      <c r="T7" s="700" t="s">
        <v>14</v>
      </c>
      <c r="U7" s="701">
        <f t="shared" ref="U7:U14" si="1">H7</f>
        <v>0</v>
      </c>
      <c r="V7" s="700" t="s">
        <v>14</v>
      </c>
      <c r="W7" s="701">
        <f t="shared" ref="W7:W14" si="2">J7</f>
        <v>0</v>
      </c>
      <c r="X7" s="702"/>
      <c r="Y7" s="3897" t="s">
        <v>1680</v>
      </c>
      <c r="Z7" s="3898"/>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897" t="s">
        <v>1683</v>
      </c>
      <c r="Q8" s="3898"/>
      <c r="R8" s="700" t="s">
        <v>14</v>
      </c>
      <c r="S8" s="701">
        <f t="shared" si="0"/>
        <v>100</v>
      </c>
      <c r="T8" s="700" t="s">
        <v>14</v>
      </c>
      <c r="U8" s="701">
        <f t="shared" si="1"/>
        <v>100</v>
      </c>
      <c r="V8" s="700" t="s">
        <v>14</v>
      </c>
      <c r="W8" s="701">
        <f t="shared" si="2"/>
        <v>100</v>
      </c>
      <c r="X8" s="702"/>
      <c r="Y8" s="3897" t="s">
        <v>1683</v>
      </c>
      <c r="Z8" s="3898"/>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2"/>
      <c r="P9" s="3911" t="s">
        <v>1686</v>
      </c>
      <c r="Q9" s="1338" t="str">
        <f t="shared" ref="Q9:Q14" si="6">B9</f>
        <v>用途</v>
      </c>
      <c r="R9" s="700" t="s">
        <v>14</v>
      </c>
      <c r="S9" s="701">
        <f t="shared" si="0"/>
        <v>100</v>
      </c>
      <c r="T9" s="700" t="s">
        <v>14</v>
      </c>
      <c r="U9" s="701">
        <f t="shared" si="1"/>
        <v>100</v>
      </c>
      <c r="V9" s="700" t="s">
        <v>14</v>
      </c>
      <c r="W9" s="701">
        <f t="shared" si="2"/>
        <v>100</v>
      </c>
      <c r="X9" s="702"/>
      <c r="Y9" s="3851" t="s">
        <v>1687</v>
      </c>
      <c r="Z9" s="52" t="str">
        <f t="shared" ref="Z9:Z14" si="7">Q9</f>
        <v>用途</v>
      </c>
      <c r="AA9" s="703">
        <f t="shared" si="3"/>
        <v>1</v>
      </c>
      <c r="AB9" s="703">
        <f t="shared" si="4"/>
        <v>1</v>
      </c>
      <c r="AC9" s="703">
        <f t="shared" si="5"/>
        <v>1</v>
      </c>
    </row>
    <row r="10" spans="1:29" s="377" customFormat="1" ht="27">
      <c r="A10" s="373"/>
      <c r="B10" s="374" t="s">
        <v>1688</v>
      </c>
      <c r="C10" s="3420"/>
      <c r="D10" s="126">
        <v>100</v>
      </c>
      <c r="E10" s="3420"/>
      <c r="F10" s="375">
        <f>SUMIF(53:53,E10,54:54)-SUMIF(53:53,C10,54:54)+100</f>
        <v>100</v>
      </c>
      <c r="G10" s="3420"/>
      <c r="H10" s="126">
        <f>SUMIF(53:53,G10,54:54)-SUMIF(53:53,C10,54:54)+100</f>
        <v>100</v>
      </c>
      <c r="I10" s="3420"/>
      <c r="J10" s="126">
        <f>SUMIF(53:53,I10,54:54)-SUMIF(53:53,C10,54:54)+100</f>
        <v>100</v>
      </c>
      <c r="K10" s="559"/>
      <c r="L10" s="2709"/>
      <c r="M10" s="2710"/>
      <c r="N10" s="2710"/>
      <c r="O10" s="2763"/>
      <c r="P10" s="3911"/>
      <c r="Q10" s="1338" t="str">
        <f t="shared" si="6"/>
        <v>土地使用年限（年）</v>
      </c>
      <c r="R10" s="700" t="s">
        <v>14</v>
      </c>
      <c r="S10" s="701">
        <f t="shared" si="0"/>
        <v>100</v>
      </c>
      <c r="T10" s="700" t="s">
        <v>14</v>
      </c>
      <c r="U10" s="701">
        <f t="shared" si="1"/>
        <v>100</v>
      </c>
      <c r="V10" s="700" t="s">
        <v>14</v>
      </c>
      <c r="W10" s="701">
        <f t="shared" si="2"/>
        <v>100</v>
      </c>
      <c r="X10" s="702"/>
      <c r="Y10" s="3851"/>
      <c r="Z10" s="52" t="str">
        <f t="shared" si="7"/>
        <v>土地使用年限（年）</v>
      </c>
      <c r="AA10" s="703">
        <f t="shared" si="3"/>
        <v>1</v>
      </c>
      <c r="AB10" s="703">
        <f t="shared" si="4"/>
        <v>1</v>
      </c>
      <c r="AC10" s="703">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4"/>
      <c r="P11" s="3911"/>
      <c r="Q11" s="1338">
        <f t="shared" si="6"/>
        <v>111</v>
      </c>
      <c r="R11" s="700" t="s">
        <v>14</v>
      </c>
      <c r="S11" s="701">
        <f t="shared" si="0"/>
        <v>100</v>
      </c>
      <c r="T11" s="700" t="s">
        <v>14</v>
      </c>
      <c r="U11" s="701">
        <f t="shared" si="1"/>
        <v>100</v>
      </c>
      <c r="V11" s="700" t="s">
        <v>14</v>
      </c>
      <c r="W11" s="701">
        <f t="shared" si="2"/>
        <v>100</v>
      </c>
      <c r="X11" s="702"/>
      <c r="Y11" s="3851"/>
      <c r="Z11" s="52">
        <f t="shared" si="7"/>
        <v>111</v>
      </c>
      <c r="AA11" s="703">
        <f t="shared" si="3"/>
        <v>1</v>
      </c>
      <c r="AB11" s="703">
        <f t="shared" si="4"/>
        <v>1</v>
      </c>
      <c r="AC11" s="703">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2"/>
      <c r="P12" s="3911"/>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703">
        <f>D12/J12</f>
        <v>1</v>
      </c>
    </row>
    <row r="13" spans="1:29" ht="15.75" thickBot="1">
      <c r="A13" s="378"/>
      <c r="B13" s="1887">
        <v>111</v>
      </c>
      <c r="C13" s="384"/>
      <c r="D13" s="385">
        <v>100</v>
      </c>
      <c r="E13" s="419"/>
      <c r="F13" s="375">
        <f>SUMIF(59:59,E13,60:60)-SUMIF(59:59,C13,60:60)+100</f>
        <v>100</v>
      </c>
      <c r="G13" s="1967"/>
      <c r="H13" s="388">
        <f>SUMIF(59:59,G13,60:60)-SUMIF(59:59,C13,60:60)+100</f>
        <v>100</v>
      </c>
      <c r="I13" s="419"/>
      <c r="J13" s="385">
        <f>SUMIF(59:59,I13,60:60)-SUMIF(59:59,C13,60:60)+100</f>
        <v>100</v>
      </c>
      <c r="K13" s="561"/>
      <c r="L13" s="2712"/>
      <c r="M13" s="2706"/>
      <c r="N13" s="2706"/>
      <c r="O13" s="2764"/>
      <c r="P13" s="3911"/>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703">
        <f t="shared" si="5"/>
        <v>1</v>
      </c>
    </row>
    <row r="14" spans="1:29" ht="85.5">
      <c r="A14" s="390" t="s">
        <v>1690</v>
      </c>
      <c r="B14" s="61" t="s">
        <v>1833</v>
      </c>
      <c r="C14" s="1963"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4"/>
      <c r="P14" s="3926" t="s">
        <v>1691</v>
      </c>
      <c r="Q14" s="1347" t="str">
        <f t="shared" si="6"/>
        <v>交通便捷度</v>
      </c>
      <c r="R14" s="704" t="s">
        <v>14</v>
      </c>
      <c r="S14" s="705">
        <f t="shared" si="0"/>
        <v>100</v>
      </c>
      <c r="T14" s="704" t="s">
        <v>14</v>
      </c>
      <c r="U14" s="705">
        <f t="shared" si="1"/>
        <v>100</v>
      </c>
      <c r="V14" s="704" t="s">
        <v>14</v>
      </c>
      <c r="W14" s="705">
        <f t="shared" si="2"/>
        <v>100</v>
      </c>
      <c r="X14" s="1350"/>
      <c r="Y14" s="3926"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2"/>
      <c r="M15" s="2706"/>
      <c r="N15" s="2706"/>
      <c r="O15" s="2764"/>
      <c r="P15" s="3927"/>
      <c r="Q15" s="1347"/>
      <c r="R15" s="704"/>
      <c r="S15" s="705"/>
      <c r="T15" s="704"/>
      <c r="U15" s="705"/>
      <c r="V15" s="704"/>
      <c r="W15" s="705"/>
      <c r="X15" s="1350"/>
      <c r="Y15" s="3927"/>
      <c r="Z15" s="1351"/>
      <c r="AA15" s="1348">
        <v>1</v>
      </c>
      <c r="AB15" s="1348">
        <v>1</v>
      </c>
      <c r="AC15" s="1348">
        <v>1</v>
      </c>
    </row>
    <row r="16" spans="1:29" ht="42.75">
      <c r="A16" s="378"/>
      <c r="B16" s="401" t="s">
        <v>1812</v>
      </c>
      <c r="C16" s="1894" t="str">
        <f>IF(B1="工业",估价对象房地状况!G5,估价对象房地状况!C7)</f>
        <v>估价对象所在区域公共配套设施齐备情况一般</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4"/>
      <c r="P16" s="3927"/>
      <c r="Q16" s="1347" t="str">
        <f>B16</f>
        <v>公共配套设施</v>
      </c>
      <c r="R16" s="704" t="s">
        <v>14</v>
      </c>
      <c r="S16" s="705">
        <f>F16</f>
        <v>100</v>
      </c>
      <c r="T16" s="704" t="s">
        <v>14</v>
      </c>
      <c r="U16" s="705">
        <f>H16</f>
        <v>100</v>
      </c>
      <c r="V16" s="704" t="s">
        <v>14</v>
      </c>
      <c r="W16" s="705">
        <f>J16</f>
        <v>100</v>
      </c>
      <c r="X16" s="1350"/>
      <c r="Y16" s="3927"/>
      <c r="Z16" s="1351" t="str">
        <f>Q16</f>
        <v>公共配套设施</v>
      </c>
      <c r="AA16" s="1348">
        <f t="shared" si="3"/>
        <v>1</v>
      </c>
      <c r="AB16" s="1348">
        <f t="shared" si="4"/>
        <v>1</v>
      </c>
      <c r="AC16" s="1348">
        <f t="shared" si="5"/>
        <v>1</v>
      </c>
    </row>
    <row r="17" spans="1:29" ht="15">
      <c r="A17" s="378"/>
      <c r="B17" s="406"/>
      <c r="C17" s="1895"/>
      <c r="D17" s="398"/>
      <c r="E17" s="397"/>
      <c r="F17" s="399"/>
      <c r="G17" s="397"/>
      <c r="H17" s="398"/>
      <c r="I17" s="397"/>
      <c r="J17" s="398"/>
      <c r="K17" s="563"/>
      <c r="L17" s="2712"/>
      <c r="M17" s="2706"/>
      <c r="N17" s="2706"/>
      <c r="O17" s="2764"/>
      <c r="P17" s="3927"/>
      <c r="Q17" s="1347"/>
      <c r="R17" s="704"/>
      <c r="S17" s="705"/>
      <c r="T17" s="704"/>
      <c r="U17" s="705"/>
      <c r="V17" s="704"/>
      <c r="W17" s="705"/>
      <c r="X17" s="1350"/>
      <c r="Y17" s="3927"/>
      <c r="Z17" s="1351"/>
      <c r="AA17" s="1348">
        <v>1</v>
      </c>
      <c r="AB17" s="1348">
        <v>1</v>
      </c>
      <c r="AC17" s="1348">
        <v>1</v>
      </c>
    </row>
    <row r="18" spans="1:29" ht="28.5">
      <c r="A18" s="378"/>
      <c r="B18" s="1127" t="s">
        <v>1813</v>
      </c>
      <c r="C18" s="1894"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4"/>
      <c r="P18" s="3927"/>
      <c r="Q18" s="1347" t="str">
        <f>B18</f>
        <v>基础设施水平</v>
      </c>
      <c r="R18" s="704" t="s">
        <v>14</v>
      </c>
      <c r="S18" s="705">
        <f>F18</f>
        <v>100</v>
      </c>
      <c r="T18" s="704" t="s">
        <v>14</v>
      </c>
      <c r="U18" s="705">
        <f>H18</f>
        <v>100</v>
      </c>
      <c r="V18" s="704" t="s">
        <v>14</v>
      </c>
      <c r="W18" s="705">
        <f>J18</f>
        <v>100</v>
      </c>
      <c r="X18" s="1350"/>
      <c r="Y18" s="3927"/>
      <c r="Z18" s="1351" t="str">
        <f>Q18</f>
        <v>基础设施水平</v>
      </c>
      <c r="AA18" s="1348">
        <f t="shared" ref="AA18" si="8">D18/F18</f>
        <v>1</v>
      </c>
      <c r="AB18" s="1348">
        <f t="shared" ref="AB18" si="9">D18/H18</f>
        <v>1</v>
      </c>
      <c r="AC18" s="1348">
        <f t="shared" ref="AC18" si="10">D18/J18</f>
        <v>1</v>
      </c>
    </row>
    <row r="19" spans="1:29" ht="15">
      <c r="A19" s="378"/>
      <c r="B19" s="1127"/>
      <c r="C19" s="1895"/>
      <c r="D19" s="400"/>
      <c r="E19" s="1895"/>
      <c r="F19" s="403"/>
      <c r="G19" s="1895"/>
      <c r="H19" s="398"/>
      <c r="I19" s="397"/>
      <c r="J19" s="398"/>
      <c r="K19" s="1126"/>
      <c r="L19" s="2712"/>
      <c r="M19" s="2706"/>
      <c r="N19" s="2706"/>
      <c r="O19" s="2764"/>
      <c r="P19" s="3927"/>
      <c r="Q19" s="1347"/>
      <c r="R19" s="704"/>
      <c r="S19" s="705"/>
      <c r="T19" s="704"/>
      <c r="U19" s="705"/>
      <c r="V19" s="704"/>
      <c r="W19" s="705"/>
      <c r="X19" s="1350"/>
      <c r="Y19" s="3927"/>
      <c r="Z19" s="1351"/>
      <c r="AA19" s="1348">
        <v>1</v>
      </c>
      <c r="AB19" s="1348">
        <v>1</v>
      </c>
      <c r="AC19" s="1348">
        <v>1</v>
      </c>
    </row>
    <row r="20" spans="1:29" ht="57">
      <c r="A20" s="378"/>
      <c r="B20" s="401" t="s">
        <v>1834</v>
      </c>
      <c r="C20" s="1894"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4"/>
      <c r="P20" s="3927"/>
      <c r="Q20" s="1347" t="str">
        <f>B20</f>
        <v>自然及人文环境</v>
      </c>
      <c r="R20" s="704" t="s">
        <v>14</v>
      </c>
      <c r="S20" s="705">
        <f>F20</f>
        <v>100</v>
      </c>
      <c r="T20" s="704" t="s">
        <v>14</v>
      </c>
      <c r="U20" s="705">
        <f>H20</f>
        <v>100</v>
      </c>
      <c r="V20" s="704" t="s">
        <v>14</v>
      </c>
      <c r="W20" s="705">
        <f>J20</f>
        <v>100</v>
      </c>
      <c r="X20" s="1350"/>
      <c r="Y20" s="3927"/>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2"/>
      <c r="M21" s="2706"/>
      <c r="N21" s="2706"/>
      <c r="O21" s="2764"/>
      <c r="P21" s="3927"/>
      <c r="Q21" s="1347"/>
      <c r="R21" s="704"/>
      <c r="S21" s="705"/>
      <c r="T21" s="704"/>
      <c r="U21" s="705"/>
      <c r="V21" s="704"/>
      <c r="W21" s="705"/>
      <c r="X21" s="1350"/>
      <c r="Y21" s="3927"/>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4"/>
      <c r="P22" s="3927"/>
      <c r="Q22" s="1347" t="str">
        <f>B22</f>
        <v>楼层</v>
      </c>
      <c r="R22" s="704" t="s">
        <v>14</v>
      </c>
      <c r="S22" s="705">
        <f>F22</f>
        <v>100</v>
      </c>
      <c r="T22" s="704" t="s">
        <v>14</v>
      </c>
      <c r="U22" s="705">
        <f>H22</f>
        <v>100</v>
      </c>
      <c r="V22" s="704" t="s">
        <v>14</v>
      </c>
      <c r="W22" s="705">
        <f>J22</f>
        <v>100</v>
      </c>
      <c r="X22" s="1350"/>
      <c r="Y22" s="3927"/>
      <c r="Z22" s="1351" t="str">
        <f>Q22</f>
        <v>楼层</v>
      </c>
      <c r="AA22" s="1348">
        <f t="shared" si="3"/>
        <v>1</v>
      </c>
      <c r="AB22" s="1348">
        <f t="shared" si="4"/>
        <v>1</v>
      </c>
      <c r="AC22" s="1348">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4"/>
      <c r="P23" s="3927"/>
      <c r="Q23" s="1347">
        <f>B23</f>
        <v>111</v>
      </c>
      <c r="R23" s="704" t="s">
        <v>14</v>
      </c>
      <c r="S23" s="705">
        <f>F23</f>
        <v>100</v>
      </c>
      <c r="T23" s="704" t="s">
        <v>14</v>
      </c>
      <c r="U23" s="705">
        <f>H23</f>
        <v>100</v>
      </c>
      <c r="V23" s="704" t="s">
        <v>14</v>
      </c>
      <c r="W23" s="705">
        <f>J23</f>
        <v>100</v>
      </c>
      <c r="X23" s="1350"/>
      <c r="Y23" s="3927"/>
      <c r="Z23" s="1351">
        <f>Q23</f>
        <v>111</v>
      </c>
      <c r="AA23" s="1348">
        <f t="shared" si="3"/>
        <v>1</v>
      </c>
      <c r="AB23" s="1348">
        <f t="shared" si="4"/>
        <v>1</v>
      </c>
      <c r="AC23" s="1348">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4"/>
      <c r="P24" s="3927"/>
      <c r="Q24" s="1347">
        <f t="shared" ref="Q24:Q34" si="11">B24</f>
        <v>111</v>
      </c>
      <c r="R24" s="704" t="s">
        <v>14</v>
      </c>
      <c r="S24" s="705">
        <f>F24</f>
        <v>100</v>
      </c>
      <c r="T24" s="704" t="s">
        <v>14</v>
      </c>
      <c r="U24" s="705">
        <f>H24</f>
        <v>100</v>
      </c>
      <c r="V24" s="704" t="s">
        <v>14</v>
      </c>
      <c r="W24" s="705">
        <f>J24</f>
        <v>100</v>
      </c>
      <c r="X24" s="1350"/>
      <c r="Y24" s="3927"/>
      <c r="Z24" s="1351">
        <f>Q24</f>
        <v>111</v>
      </c>
      <c r="AA24" s="1348">
        <f t="shared" si="3"/>
        <v>1</v>
      </c>
      <c r="AB24" s="1348">
        <f t="shared" si="4"/>
        <v>1</v>
      </c>
      <c r="AC24" s="1348">
        <f t="shared" si="5"/>
        <v>1</v>
      </c>
    </row>
    <row r="25" spans="1:29" s="107" customFormat="1" ht="15.75" thickBot="1">
      <c r="A25" s="381"/>
      <c r="B25" s="1887">
        <v>111</v>
      </c>
      <c r="C25" s="1968"/>
      <c r="D25" s="612">
        <v>100</v>
      </c>
      <c r="E25" s="1968"/>
      <c r="F25" s="613">
        <f>SUMIF(75:75,E25,76:76)-SUMIF(75:75,C25,76:76)+100</f>
        <v>100</v>
      </c>
      <c r="G25" s="1968"/>
      <c r="H25" s="612">
        <f>SUMIF(75:75,G25,76:76)-SUMIF(75:75,C25,76:76)+100</f>
        <v>100</v>
      </c>
      <c r="I25" s="1968"/>
      <c r="J25" s="612">
        <f>SUMIF(75:75,I25,76:76)-SUMIF(75:75,C25,76:76)+100</f>
        <v>100</v>
      </c>
      <c r="K25" s="561"/>
      <c r="L25" s="2707"/>
      <c r="M25" s="2708"/>
      <c r="N25" s="2708"/>
      <c r="O25" s="2762"/>
      <c r="P25" s="3927"/>
      <c r="Q25" s="1338">
        <f t="shared" si="11"/>
        <v>111</v>
      </c>
      <c r="R25" s="700" t="s">
        <v>14</v>
      </c>
      <c r="S25" s="701">
        <f>F25</f>
        <v>100</v>
      </c>
      <c r="T25" s="700" t="s">
        <v>14</v>
      </c>
      <c r="U25" s="701">
        <f>H25</f>
        <v>100</v>
      </c>
      <c r="V25" s="700" t="s">
        <v>14</v>
      </c>
      <c r="W25" s="701">
        <f>J25</f>
        <v>100</v>
      </c>
      <c r="X25" s="702"/>
      <c r="Y25" s="3927"/>
      <c r="Z25" s="52">
        <f>Q25</f>
        <v>111</v>
      </c>
      <c r="AA25" s="1348">
        <f>D25/F25</f>
        <v>1</v>
      </c>
      <c r="AB25" s="1348">
        <f>D25/H25</f>
        <v>1</v>
      </c>
      <c r="AC25" s="1348">
        <f>D25/J25</f>
        <v>1</v>
      </c>
    </row>
    <row r="26" spans="1:29" ht="28.5">
      <c r="A26" s="416" t="s">
        <v>1694</v>
      </c>
      <c r="B26" s="63" t="s">
        <v>1838</v>
      </c>
      <c r="C26" s="1959"/>
      <c r="D26" s="417">
        <v>100</v>
      </c>
      <c r="E26" s="1959"/>
      <c r="F26" s="614">
        <f>SUMIF(77:77,E26,78:78)-SUMIF(77:77,C26,78:78)+100</f>
        <v>100</v>
      </c>
      <c r="G26" s="1959"/>
      <c r="H26" s="417">
        <f>SUMIF(77:77,G26,78:78)-SUMIF(77:77,C26,78:78)+100</f>
        <v>100</v>
      </c>
      <c r="I26" s="1959"/>
      <c r="J26" s="417">
        <f>SUMIF(77:77,I26,78:78)-SUMIF(77:77,C26,78:78)+100</f>
        <v>100</v>
      </c>
      <c r="K26" s="560"/>
      <c r="L26" s="2712"/>
      <c r="M26" s="2706"/>
      <c r="N26" s="2706"/>
      <c r="O26" s="2764"/>
      <c r="P26" s="3928" t="s">
        <v>1696</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929"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5"/>
      <c r="P27" s="3929"/>
      <c r="Q27" s="706" t="str">
        <f t="shared" si="11"/>
        <v>成新率</v>
      </c>
      <c r="R27" s="707" t="s">
        <v>14</v>
      </c>
      <c r="S27" s="708" t="e">
        <f t="shared" si="12"/>
        <v>#N/A</v>
      </c>
      <c r="T27" s="707" t="s">
        <v>14</v>
      </c>
      <c r="U27" s="708" t="e">
        <f t="shared" si="13"/>
        <v>#N/A</v>
      </c>
      <c r="V27" s="707" t="s">
        <v>14</v>
      </c>
      <c r="W27" s="708" t="e">
        <f t="shared" si="14"/>
        <v>#N/A</v>
      </c>
      <c r="X27" s="709"/>
      <c r="Y27" s="3929"/>
      <c r="Z27" s="710"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4"/>
      <c r="P28" s="3929"/>
      <c r="Q28" s="1347" t="str">
        <f t="shared" si="11"/>
        <v>物业等级</v>
      </c>
      <c r="R28" s="704" t="s">
        <v>14</v>
      </c>
      <c r="S28" s="705">
        <f t="shared" si="12"/>
        <v>100</v>
      </c>
      <c r="T28" s="704" t="s">
        <v>14</v>
      </c>
      <c r="U28" s="705">
        <f t="shared" si="13"/>
        <v>100</v>
      </c>
      <c r="V28" s="704" t="s">
        <v>14</v>
      </c>
      <c r="W28" s="705">
        <f t="shared" si="14"/>
        <v>100</v>
      </c>
      <c r="X28" s="1350"/>
      <c r="Y28" s="3929"/>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2"/>
      <c r="M29" s="2706"/>
      <c r="N29" s="2706"/>
      <c r="O29" s="2764"/>
      <c r="P29" s="3929"/>
      <c r="Q29" s="1347" t="str">
        <f t="shared" si="11"/>
        <v>有无电梯</v>
      </c>
      <c r="R29" s="704" t="s">
        <v>14</v>
      </c>
      <c r="S29" s="705">
        <f t="shared" si="12"/>
        <v>100</v>
      </c>
      <c r="T29" s="704" t="s">
        <v>14</v>
      </c>
      <c r="U29" s="705">
        <f t="shared" si="13"/>
        <v>100</v>
      </c>
      <c r="V29" s="704" t="s">
        <v>14</v>
      </c>
      <c r="W29" s="705">
        <f t="shared" si="14"/>
        <v>100</v>
      </c>
      <c r="X29" s="1350"/>
      <c r="Y29" s="3929"/>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4"/>
      <c r="P30" s="3929"/>
      <c r="Q30" s="1347" t="str">
        <f t="shared" si="11"/>
        <v>建筑面积</v>
      </c>
      <c r="R30" s="704" t="s">
        <v>14</v>
      </c>
      <c r="S30" s="705" t="e">
        <f t="shared" si="12"/>
        <v>#N/A</v>
      </c>
      <c r="T30" s="704" t="s">
        <v>14</v>
      </c>
      <c r="U30" s="705" t="e">
        <f t="shared" si="13"/>
        <v>#N/A</v>
      </c>
      <c r="V30" s="704" t="s">
        <v>14</v>
      </c>
      <c r="W30" s="705" t="e">
        <f t="shared" si="14"/>
        <v>#N/A</v>
      </c>
      <c r="X30" s="1350"/>
      <c r="Y30" s="3929"/>
      <c r="Z30" s="1351" t="str">
        <f t="shared" si="15"/>
        <v>建筑面积</v>
      </c>
      <c r="AA30" s="1348" t="e">
        <f t="shared" si="3"/>
        <v>#N/A</v>
      </c>
      <c r="AB30" s="1348" t="e">
        <f t="shared" si="4"/>
        <v>#N/A</v>
      </c>
      <c r="AC30" s="1348"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07"/>
      <c r="M31" s="2708"/>
      <c r="N31" s="2708"/>
      <c r="O31" s="2762"/>
      <c r="P31" s="3929"/>
      <c r="Q31" s="1338" t="str">
        <f t="shared" si="11"/>
        <v>是否封闭</v>
      </c>
      <c r="R31" s="700" t="s">
        <v>14</v>
      </c>
      <c r="S31" s="701">
        <f t="shared" si="12"/>
        <v>100</v>
      </c>
      <c r="T31" s="700" t="s">
        <v>14</v>
      </c>
      <c r="U31" s="701">
        <f t="shared" si="13"/>
        <v>100</v>
      </c>
      <c r="V31" s="700" t="s">
        <v>14</v>
      </c>
      <c r="W31" s="701">
        <f t="shared" si="14"/>
        <v>100</v>
      </c>
      <c r="X31" s="702"/>
      <c r="Y31" s="3929"/>
      <c r="Z31" s="52" t="str">
        <f t="shared" si="15"/>
        <v>是否封闭</v>
      </c>
      <c r="AA31" s="703">
        <f t="shared" si="3"/>
        <v>1</v>
      </c>
      <c r="AB31" s="703">
        <f t="shared" si="4"/>
        <v>1</v>
      </c>
      <c r="AC31" s="703">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4"/>
      <c r="P32" s="3929" t="s">
        <v>1696</v>
      </c>
      <c r="Q32" s="1347">
        <f t="shared" si="11"/>
        <v>111</v>
      </c>
      <c r="R32" s="704" t="s">
        <v>14</v>
      </c>
      <c r="S32" s="705">
        <f t="shared" si="12"/>
        <v>100</v>
      </c>
      <c r="T32" s="704" t="s">
        <v>14</v>
      </c>
      <c r="U32" s="705">
        <f t="shared" si="13"/>
        <v>100</v>
      </c>
      <c r="V32" s="704" t="s">
        <v>14</v>
      </c>
      <c r="W32" s="705">
        <f t="shared" si="14"/>
        <v>100</v>
      </c>
      <c r="X32" s="1350"/>
      <c r="Y32" s="3929" t="s">
        <v>1696</v>
      </c>
      <c r="Z32" s="1351">
        <f t="shared" si="15"/>
        <v>111</v>
      </c>
      <c r="AA32" s="1348">
        <f t="shared" si="3"/>
        <v>1</v>
      </c>
      <c r="AB32" s="1348">
        <f t="shared" si="4"/>
        <v>1</v>
      </c>
      <c r="AC32" s="1348">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4"/>
      <c r="P33" s="3929"/>
      <c r="Q33" s="1347">
        <f t="shared" si="11"/>
        <v>111</v>
      </c>
      <c r="R33" s="704" t="s">
        <v>14</v>
      </c>
      <c r="S33" s="705">
        <f t="shared" si="12"/>
        <v>100</v>
      </c>
      <c r="T33" s="704" t="s">
        <v>14</v>
      </c>
      <c r="U33" s="705">
        <f t="shared" si="13"/>
        <v>100</v>
      </c>
      <c r="V33" s="704" t="s">
        <v>14</v>
      </c>
      <c r="W33" s="705">
        <f t="shared" si="14"/>
        <v>100</v>
      </c>
      <c r="X33" s="1350"/>
      <c r="Y33" s="3929"/>
      <c r="Z33" s="1351">
        <f t="shared" si="15"/>
        <v>111</v>
      </c>
      <c r="AA33" s="1348">
        <f t="shared" si="3"/>
        <v>1</v>
      </c>
      <c r="AB33" s="1348">
        <f t="shared" si="4"/>
        <v>1</v>
      </c>
      <c r="AC33" s="1348">
        <f t="shared" si="5"/>
        <v>1</v>
      </c>
    </row>
    <row r="34" spans="1:30" ht="15.75" thickBot="1">
      <c r="A34" s="428"/>
      <c r="B34" s="1889">
        <v>111</v>
      </c>
      <c r="C34" s="387"/>
      <c r="D34" s="388">
        <v>100</v>
      </c>
      <c r="E34" s="1967"/>
      <c r="F34" s="389">
        <f>SUMIF(95:95,E34,96:96)-SUMIF(95:95,C34,96:96)+100</f>
        <v>100</v>
      </c>
      <c r="G34" s="1967"/>
      <c r="H34" s="388">
        <f>SUMIF(95:95,G34,96:96)-SUMIF(95:95,C34,96:96)+100</f>
        <v>100</v>
      </c>
      <c r="I34" s="1967"/>
      <c r="J34" s="388">
        <f>SUMIF(95:95,I34,96:96)-SUMIF(95:95,C34,96:96)+100</f>
        <v>100</v>
      </c>
      <c r="K34" s="561"/>
      <c r="L34" s="2712"/>
      <c r="M34" s="2706"/>
      <c r="N34" s="2706"/>
      <c r="O34" s="2764"/>
      <c r="P34" s="3929"/>
      <c r="Q34" s="1347">
        <f t="shared" si="11"/>
        <v>111</v>
      </c>
      <c r="R34" s="704" t="s">
        <v>14</v>
      </c>
      <c r="S34" s="705">
        <f t="shared" si="12"/>
        <v>100</v>
      </c>
      <c r="T34" s="704" t="s">
        <v>14</v>
      </c>
      <c r="U34" s="705">
        <f t="shared" si="13"/>
        <v>100</v>
      </c>
      <c r="V34" s="704" t="s">
        <v>14</v>
      </c>
      <c r="W34" s="705">
        <f t="shared" si="14"/>
        <v>100</v>
      </c>
      <c r="X34" s="1350"/>
      <c r="Y34" s="3929"/>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3"/>
      <c r="L35" s="2714"/>
      <c r="M35" s="2715"/>
      <c r="N35" s="2706"/>
      <c r="O35" s="2715"/>
      <c r="P35" s="3911" t="str">
        <f>A35</f>
        <v>成交单价（元/平方米）</v>
      </c>
      <c r="Q35" s="3911"/>
      <c r="R35" s="3968">
        <f>E35</f>
        <v>0</v>
      </c>
      <c r="S35" s="3968"/>
      <c r="T35" s="3968">
        <f>G35</f>
        <v>0</v>
      </c>
      <c r="U35" s="3968"/>
      <c r="V35" s="3968">
        <f>I35</f>
        <v>0</v>
      </c>
      <c r="W35" s="3968"/>
      <c r="X35" s="689"/>
      <c r="Y35" s="711"/>
      <c r="Z35" s="689"/>
      <c r="AA35" s="689"/>
      <c r="AB35" s="689"/>
      <c r="AC35" s="689"/>
    </row>
    <row r="36" spans="1:30" ht="15.75" thickBot="1">
      <c r="A36" s="436" t="s">
        <v>1793</v>
      </c>
      <c r="B36" s="437"/>
      <c r="C36" s="1156" t="e">
        <f>R37</f>
        <v>#DIV/0!</v>
      </c>
      <c r="D36" s="2309" t="s">
        <v>2137</v>
      </c>
      <c r="E36" s="1157" t="e">
        <f>R36</f>
        <v>#DIV/0!</v>
      </c>
      <c r="F36" s="2310"/>
      <c r="G36" s="1156" t="e">
        <f>T36</f>
        <v>#DIV/0!</v>
      </c>
      <c r="H36" s="2310"/>
      <c r="I36" s="1157" t="e">
        <f>V36</f>
        <v>#DIV/0!</v>
      </c>
      <c r="J36" s="2310"/>
      <c r="K36" s="2312">
        <f>F36+H36+J36</f>
        <v>0</v>
      </c>
      <c r="L36" s="2714"/>
      <c r="M36" s="2715"/>
      <c r="N36" s="2706"/>
      <c r="O36" s="2715"/>
      <c r="P36" s="3911" t="str">
        <f>A36</f>
        <v>比较价值（元/平方米）</v>
      </c>
      <c r="Q36" s="3911"/>
      <c r="R36" s="3968" t="e">
        <f>IF(F1="售价",ROUND(PRODUCT(R35,AA7:AA34),0),ROUND(PRODUCT(R35,AA7:AA34),1))</f>
        <v>#DIV/0!</v>
      </c>
      <c r="S36" s="3968"/>
      <c r="T36" s="3968" t="e">
        <f>IF(F1="售价",ROUND(PRODUCT(T35,AB7:AB34),0),ROUND(PRODUCT(T35,AB7:AB34),1))</f>
        <v>#DIV/0!</v>
      </c>
      <c r="U36" s="3968"/>
      <c r="V36" s="3968" t="e">
        <f>IF(F1="售价",ROUND(PRODUCT(V35,AC7:AC34),0),ROUND(PRODUCT(V35,AC7:AC34),1))</f>
        <v>#DIV/0!</v>
      </c>
      <c r="W36" s="3968"/>
      <c r="X36" s="689"/>
      <c r="Y36" s="689"/>
      <c r="Z36" s="689"/>
      <c r="AA36" s="689"/>
      <c r="AB36" s="689"/>
      <c r="AC36" s="689"/>
    </row>
    <row r="37" spans="1:30" ht="15.75" thickBot="1">
      <c r="A37" s="440" t="s">
        <v>1794</v>
      </c>
      <c r="B37" s="441"/>
      <c r="C37" s="1159" t="e">
        <f>R37</f>
        <v>#DIV/0!</v>
      </c>
      <c r="D37" s="1159"/>
      <c r="E37" s="1159"/>
      <c r="F37" s="1159"/>
      <c r="G37" s="1159"/>
      <c r="H37" s="1159"/>
      <c r="I37" s="1159"/>
      <c r="J37" s="1159"/>
      <c r="K37" s="714"/>
      <c r="L37" s="2714"/>
      <c r="M37" s="2715"/>
      <c r="N37" s="2715"/>
      <c r="O37" s="2715"/>
      <c r="P37" s="3931" t="str">
        <f>A37</f>
        <v>估价对象XX用房的比较价值（楼面单价，元/平方米）</v>
      </c>
      <c r="Q37" s="3932"/>
      <c r="R37" s="3990" t="e">
        <f>IF(F1="售价",ROUND(IF(D36="简单平均",AVERAGE(R36:W36),R36*F36+T36*H36+V36*J36),0),ROUND(IF(D36="简单平均",AVERAGE(R36:V36),R36*F36+T36*H36+V36*J36),1))</f>
        <v>#DIV/0!</v>
      </c>
      <c r="S37" s="3990"/>
      <c r="T37" s="3990"/>
      <c r="U37" s="3990"/>
      <c r="V37" s="3990"/>
      <c r="W37" s="3990"/>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1798</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6" customFormat="1" ht="15">
      <c r="A46" s="453" t="s">
        <v>1679</v>
      </c>
      <c r="B46" s="454"/>
      <c r="C46" s="1179" t="str">
        <f>YEAR(C7)&amp;"-"&amp;MONTH(C7)</f>
        <v>2023-3</v>
      </c>
      <c r="D46" s="1180">
        <f>EDATE(C46,-1)</f>
        <v>44958</v>
      </c>
      <c r="E46" s="1180">
        <f t="shared" ref="E46:O46" si="16">EDATE(D46,-1)</f>
        <v>44927</v>
      </c>
      <c r="F46" s="1180">
        <f t="shared" si="16"/>
        <v>44896</v>
      </c>
      <c r="G46" s="1180">
        <f t="shared" si="16"/>
        <v>44866</v>
      </c>
      <c r="H46" s="1180">
        <f t="shared" si="16"/>
        <v>44835</v>
      </c>
      <c r="I46" s="1180">
        <f t="shared" si="16"/>
        <v>44805</v>
      </c>
      <c r="J46" s="1180">
        <f t="shared" si="16"/>
        <v>44774</v>
      </c>
      <c r="K46" s="1180">
        <f t="shared" si="16"/>
        <v>44743</v>
      </c>
      <c r="L46" s="1180">
        <f t="shared" si="16"/>
        <v>44713</v>
      </c>
      <c r="M46" s="1180">
        <f t="shared" si="16"/>
        <v>44682</v>
      </c>
      <c r="N46" s="1180">
        <f t="shared" si="16"/>
        <v>44652</v>
      </c>
      <c r="O46" s="1180">
        <f t="shared" si="16"/>
        <v>44621</v>
      </c>
      <c r="P46" s="2766"/>
      <c r="Q46" s="2731"/>
      <c r="R46" s="2731"/>
      <c r="S46" s="2731"/>
      <c r="T46" s="2731"/>
      <c r="U46" s="2731"/>
      <c r="V46" s="2731"/>
      <c r="W46" s="2731"/>
      <c r="X46" s="2731"/>
      <c r="Y46" s="2731"/>
      <c r="Z46" s="2731"/>
      <c r="AA46" s="2731"/>
      <c r="AB46" s="2731"/>
      <c r="AC46" s="2731"/>
      <c r="AD46" s="2731"/>
    </row>
    <row r="47" spans="1:30" s="107" customFormat="1" ht="15">
      <c r="A47" s="457"/>
      <c r="B47" s="458"/>
      <c r="C47" s="1178">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7" customFormat="1" ht="15.75" thickBot="1">
      <c r="A48" s="463" t="s">
        <v>1716</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7" customFormat="1" ht="15">
      <c r="A49" s="469" t="s">
        <v>1681</v>
      </c>
      <c r="B49" s="458"/>
      <c r="C49" s="470" t="s">
        <v>1776</v>
      </c>
      <c r="D49" s="471"/>
      <c r="E49" s="471"/>
      <c r="F49" s="471"/>
      <c r="G49" s="471"/>
      <c r="H49" s="471"/>
      <c r="I49" s="471"/>
      <c r="J49" s="471"/>
      <c r="K49" s="471"/>
      <c r="L49" s="472"/>
      <c r="M49" s="473"/>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9"/>
      <c r="B50" s="458"/>
      <c r="C50" s="586">
        <v>100</v>
      </c>
      <c r="D50" s="460"/>
      <c r="E50" s="460"/>
      <c r="F50" s="460"/>
      <c r="G50" s="460"/>
      <c r="H50" s="460"/>
      <c r="I50" s="460"/>
      <c r="J50" s="460"/>
      <c r="K50" s="460"/>
      <c r="L50" s="460"/>
      <c r="M50" s="462"/>
      <c r="N50" s="2742"/>
      <c r="O50" s="2742"/>
      <c r="P50" s="2729"/>
      <c r="Q50" s="2729"/>
      <c r="R50" s="2652"/>
      <c r="S50" s="2652"/>
      <c r="T50" s="2652"/>
      <c r="U50" s="2652"/>
      <c r="V50" s="2652"/>
      <c r="W50" s="2652"/>
      <c r="X50" s="2652"/>
      <c r="Y50" s="2652"/>
      <c r="Z50" s="2652"/>
      <c r="AA50" s="2652"/>
      <c r="AB50" s="2652"/>
      <c r="AC50" s="2652"/>
      <c r="AD50" s="2652"/>
    </row>
    <row r="51" spans="1:30">
      <c r="A51" s="475" t="s">
        <v>1719</v>
      </c>
      <c r="B51" s="476" t="s">
        <v>1685</v>
      </c>
      <c r="C51" s="477">
        <f>C9</f>
        <v>0</v>
      </c>
      <c r="D51" s="478"/>
      <c r="E51" s="478"/>
      <c r="F51" s="478"/>
      <c r="G51" s="478"/>
      <c r="H51" s="478"/>
      <c r="I51" s="478"/>
      <c r="J51" s="478"/>
      <c r="K51" s="479"/>
      <c r="L51" s="480"/>
      <c r="M51" s="481"/>
      <c r="N51" s="2743"/>
      <c r="O51" s="2743"/>
      <c r="P51" s="2768"/>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4"/>
      <c r="O52" s="2744"/>
      <c r="P52" s="2768"/>
      <c r="Q52" s="2729"/>
      <c r="R52" s="2715"/>
      <c r="S52" s="2715"/>
      <c r="T52" s="2715"/>
      <c r="U52" s="2715"/>
      <c r="V52" s="2715"/>
      <c r="W52" s="2715"/>
      <c r="X52" s="2715"/>
      <c r="Y52" s="2715"/>
      <c r="Z52" s="2715"/>
      <c r="AA52" s="2715"/>
      <c r="AB52" s="2715"/>
      <c r="AC52" s="2715"/>
      <c r="AD52" s="2715"/>
    </row>
    <row r="53" spans="1:30" ht="27.75" thickTop="1">
      <c r="A53" s="482"/>
      <c r="B53" s="486" t="s">
        <v>1688</v>
      </c>
      <c r="C53" s="531"/>
      <c r="D53" s="531"/>
      <c r="E53" s="531"/>
      <c r="F53" s="531"/>
      <c r="G53" s="531"/>
      <c r="H53" s="531"/>
      <c r="I53" s="531"/>
      <c r="J53" s="531"/>
      <c r="K53" s="532"/>
      <c r="L53" s="533"/>
      <c r="M53" s="534"/>
      <c r="N53" s="2743"/>
      <c r="O53" s="2743"/>
      <c r="P53" s="2768"/>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4"/>
      <c r="O54" s="2744"/>
      <c r="P54" s="2768"/>
      <c r="Q54" s="2729"/>
      <c r="R54" s="2715"/>
      <c r="S54" s="2715"/>
      <c r="T54" s="2715"/>
      <c r="U54" s="2715"/>
      <c r="V54" s="2715"/>
      <c r="W54" s="2715"/>
      <c r="X54" s="2715"/>
      <c r="Y54" s="2715"/>
      <c r="Z54" s="2715"/>
      <c r="AA54" s="2715"/>
      <c r="AB54" s="2715"/>
      <c r="AC54" s="2715"/>
      <c r="AD54" s="2715"/>
    </row>
    <row r="55" spans="1:30" ht="15.75" thickTop="1">
      <c r="A55" s="482"/>
      <c r="B55" s="607">
        <f>B11</f>
        <v>111</v>
      </c>
      <c r="C55" s="497"/>
      <c r="D55" s="497"/>
      <c r="E55" s="497"/>
      <c r="F55" s="497"/>
      <c r="G55" s="497"/>
      <c r="H55" s="497"/>
      <c r="I55" s="497"/>
      <c r="J55" s="497"/>
      <c r="K55" s="498"/>
      <c r="L55" s="499"/>
      <c r="M55" s="500"/>
      <c r="N55" s="2743"/>
      <c r="O55" s="2743"/>
      <c r="P55" s="2768"/>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501"/>
      <c r="B58" s="491"/>
      <c r="C58" s="508"/>
      <c r="D58" s="484"/>
      <c r="E58" s="484"/>
      <c r="F58" s="484"/>
      <c r="G58" s="484"/>
      <c r="H58" s="484"/>
      <c r="I58" s="484"/>
      <c r="J58" s="484"/>
      <c r="K58" s="484"/>
      <c r="L58" s="484"/>
      <c r="M58" s="485"/>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501"/>
      <c r="B59" s="486">
        <f>B13</f>
        <v>111</v>
      </c>
      <c r="C59" s="497"/>
      <c r="D59" s="497"/>
      <c r="E59" s="497"/>
      <c r="F59" s="497"/>
      <c r="G59" s="502"/>
      <c r="H59" s="503"/>
      <c r="I59" s="503"/>
      <c r="J59" s="503"/>
      <c r="K59" s="503"/>
      <c r="L59" s="504"/>
      <c r="M59" s="505"/>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501"/>
      <c r="B60" s="491"/>
      <c r="C60" s="508"/>
      <c r="D60" s="508"/>
      <c r="E60" s="508"/>
      <c r="F60" s="508"/>
      <c r="G60" s="508"/>
      <c r="H60" s="510"/>
      <c r="I60" s="510"/>
      <c r="J60" s="510"/>
      <c r="K60" s="510"/>
      <c r="L60" s="510"/>
      <c r="M60" s="511"/>
      <c r="N60" s="2745"/>
      <c r="O60" s="2745"/>
      <c r="P60" s="2769"/>
      <c r="Q60" s="2736"/>
      <c r="R60" s="2737"/>
      <c r="S60" s="2737"/>
      <c r="T60" s="2737"/>
      <c r="U60" s="2737"/>
      <c r="V60" s="2737"/>
      <c r="W60" s="2737"/>
      <c r="X60" s="2737"/>
      <c r="Y60" s="2737"/>
      <c r="Z60" s="2737"/>
      <c r="AA60" s="2737"/>
      <c r="AB60" s="2737"/>
      <c r="AC60" s="2737"/>
      <c r="AD60" s="2737"/>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3"/>
      <c r="O61" s="2743"/>
      <c r="P61" s="2770"/>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4"/>
      <c r="O62" s="2744"/>
      <c r="P62" s="2768"/>
      <c r="Q62" s="2729"/>
      <c r="R62" s="2715"/>
      <c r="S62" s="2715"/>
      <c r="T62" s="2715"/>
      <c r="U62" s="2715"/>
      <c r="V62" s="2715"/>
      <c r="W62" s="2715"/>
      <c r="X62" s="2715"/>
      <c r="Y62" s="2715"/>
      <c r="Z62" s="2715"/>
      <c r="AA62" s="2715"/>
      <c r="AB62" s="2715"/>
      <c r="AC62" s="2715"/>
      <c r="AD62" s="2715"/>
    </row>
    <row r="63" spans="1:30" ht="27.75" thickTop="1">
      <c r="A63" s="482"/>
      <c r="B63" s="486" t="s">
        <v>1863</v>
      </c>
      <c r="C63" s="526" t="s">
        <v>1721</v>
      </c>
      <c r="D63" s="526" t="s">
        <v>1722</v>
      </c>
      <c r="E63" s="526" t="s">
        <v>1723</v>
      </c>
      <c r="F63" s="526" t="s">
        <v>1724</v>
      </c>
      <c r="G63" s="526" t="s">
        <v>1725</v>
      </c>
      <c r="H63" s="487"/>
      <c r="I63" s="487"/>
      <c r="J63" s="487"/>
      <c r="K63" s="488"/>
      <c r="L63" s="489"/>
      <c r="M63" s="490"/>
      <c r="N63" s="2743"/>
      <c r="O63" s="2743"/>
      <c r="P63" s="2768"/>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4"/>
      <c r="O64" s="2744"/>
      <c r="P64" s="2768"/>
      <c r="Q64" s="2729"/>
      <c r="R64" s="2715"/>
      <c r="S64" s="2715"/>
      <c r="T64" s="2715"/>
      <c r="U64" s="2715"/>
      <c r="V64" s="2715"/>
      <c r="W64" s="2715"/>
      <c r="X64" s="2715"/>
      <c r="Y64" s="2715"/>
      <c r="Z64" s="2715"/>
      <c r="AA64" s="2715"/>
      <c r="AB64" s="2715"/>
      <c r="AC64" s="2715"/>
      <c r="AD64" s="2715"/>
    </row>
    <row r="65" spans="1:30" ht="15.75" thickTop="1">
      <c r="A65" s="482"/>
      <c r="B65" s="494" t="s">
        <v>1813</v>
      </c>
      <c r="C65" s="607" t="s">
        <v>1799</v>
      </c>
      <c r="D65" s="607" t="s">
        <v>1800</v>
      </c>
      <c r="E65" s="607" t="s">
        <v>1801</v>
      </c>
      <c r="F65" s="607" t="s">
        <v>1802</v>
      </c>
      <c r="G65" s="607" t="s">
        <v>1803</v>
      </c>
      <c r="H65" s="487"/>
      <c r="I65" s="487"/>
      <c r="J65" s="487"/>
      <c r="K65" s="487"/>
      <c r="L65" s="487"/>
      <c r="M65" s="1125"/>
      <c r="N65" s="2744"/>
      <c r="O65" s="2744"/>
      <c r="P65" s="2768"/>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2"/>
      <c r="B67" s="486" t="s">
        <v>1733</v>
      </c>
      <c r="C67" s="526" t="s">
        <v>1721</v>
      </c>
      <c r="D67" s="526" t="s">
        <v>1722</v>
      </c>
      <c r="E67" s="526" t="s">
        <v>1723</v>
      </c>
      <c r="F67" s="526" t="s">
        <v>1724</v>
      </c>
      <c r="G67" s="526" t="s">
        <v>1725</v>
      </c>
      <c r="H67" s="487"/>
      <c r="I67" s="487"/>
      <c r="J67" s="487"/>
      <c r="K67" s="488"/>
      <c r="L67" s="489"/>
      <c r="M67" s="490"/>
      <c r="N67" s="2743"/>
      <c r="O67" s="2743"/>
      <c r="P67" s="2768"/>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4"/>
      <c r="O68" s="2744"/>
      <c r="P68" s="2768"/>
      <c r="Q68" s="2729"/>
      <c r="R68" s="2715"/>
      <c r="S68" s="2715"/>
      <c r="T68" s="2715"/>
      <c r="U68" s="2715"/>
      <c r="V68" s="2715"/>
      <c r="W68" s="2715"/>
      <c r="X68" s="2715"/>
      <c r="Y68" s="2715"/>
      <c r="Z68" s="2715"/>
      <c r="AA68" s="2715"/>
      <c r="AB68" s="2715"/>
      <c r="AC68" s="2715"/>
      <c r="AD68" s="2715"/>
    </row>
    <row r="69" spans="1:30" ht="15.75" thickTop="1">
      <c r="A69" s="482"/>
      <c r="B69" s="486" t="s">
        <v>1852</v>
      </c>
      <c r="C69" s="502"/>
      <c r="D69" s="502"/>
      <c r="E69" s="502"/>
      <c r="F69" s="502"/>
      <c r="G69" s="502"/>
      <c r="H69" s="531"/>
      <c r="I69" s="531"/>
      <c r="J69" s="531"/>
      <c r="K69" s="532"/>
      <c r="L69" s="533"/>
      <c r="M69" s="534"/>
      <c r="N69" s="2743"/>
      <c r="O69" s="2743"/>
      <c r="P69" s="2768"/>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7"/>
      <c r="B71" s="486">
        <f>B23</f>
        <v>111</v>
      </c>
      <c r="C71" s="497"/>
      <c r="D71" s="497"/>
      <c r="E71" s="497"/>
      <c r="F71" s="497"/>
      <c r="G71" s="502"/>
      <c r="H71" s="502"/>
      <c r="I71" s="502"/>
      <c r="J71" s="502"/>
      <c r="K71" s="502"/>
      <c r="L71" s="528"/>
      <c r="M71" s="529"/>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7"/>
      <c r="B72" s="491"/>
      <c r="C72" s="508"/>
      <c r="D72" s="484"/>
      <c r="E72" s="484"/>
      <c r="F72" s="484"/>
      <c r="G72" s="484"/>
      <c r="H72" s="484"/>
      <c r="I72" s="484"/>
      <c r="J72" s="484"/>
      <c r="K72" s="484"/>
      <c r="L72" s="484"/>
      <c r="M72" s="485"/>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7"/>
      <c r="B73" s="486">
        <f>B24</f>
        <v>111</v>
      </c>
      <c r="C73" s="497"/>
      <c r="D73" s="497"/>
      <c r="E73" s="497"/>
      <c r="F73" s="497"/>
      <c r="G73" s="502"/>
      <c r="H73" s="502"/>
      <c r="I73" s="502"/>
      <c r="J73" s="502"/>
      <c r="K73" s="502"/>
      <c r="L73" s="502"/>
      <c r="M73" s="529"/>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7"/>
      <c r="B74" s="491"/>
      <c r="C74" s="508"/>
      <c r="D74" s="484"/>
      <c r="E74" s="484"/>
      <c r="F74" s="484"/>
      <c r="G74" s="484"/>
      <c r="H74" s="484"/>
      <c r="I74" s="484"/>
      <c r="J74" s="484"/>
      <c r="K74" s="484"/>
      <c r="L74" s="484"/>
      <c r="M74" s="485"/>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501"/>
      <c r="B76" s="491"/>
      <c r="C76" s="508"/>
      <c r="D76" s="508"/>
      <c r="E76" s="508"/>
      <c r="F76" s="508"/>
      <c r="G76" s="484"/>
      <c r="H76" s="484"/>
      <c r="I76" s="484"/>
      <c r="J76" s="484"/>
      <c r="K76" s="484"/>
      <c r="L76" s="484"/>
      <c r="M76" s="485"/>
      <c r="N76" s="2745"/>
      <c r="O76" s="2745"/>
      <c r="P76" s="2769"/>
      <c r="Q76" s="2736"/>
      <c r="R76" s="2737"/>
      <c r="S76" s="2737"/>
      <c r="T76" s="2737"/>
      <c r="U76" s="2737"/>
      <c r="V76" s="2737"/>
      <c r="W76" s="2737"/>
      <c r="X76" s="2737"/>
      <c r="Y76" s="2737"/>
      <c r="Z76" s="2737"/>
      <c r="AA76" s="2737"/>
      <c r="AB76" s="2737"/>
      <c r="AC76" s="2737"/>
      <c r="AD76" s="2737"/>
    </row>
    <row r="77" spans="1:30" ht="15" thickTop="1">
      <c r="A77" s="475" t="s">
        <v>1694</v>
      </c>
      <c r="B77" s="476" t="s">
        <v>1740</v>
      </c>
      <c r="C77" s="502"/>
      <c r="D77" s="502"/>
      <c r="E77" s="478"/>
      <c r="F77" s="478"/>
      <c r="G77" s="478"/>
      <c r="H77" s="478"/>
      <c r="I77" s="478"/>
      <c r="J77" s="478"/>
      <c r="K77" s="479"/>
      <c r="L77" s="480"/>
      <c r="M77" s="481"/>
      <c r="N77" s="2743"/>
      <c r="O77" s="2743"/>
      <c r="P77" s="2768"/>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2"/>
      <c r="O79" s="2742"/>
      <c r="P79" s="2768"/>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7"/>
      <c r="B82" s="494" t="s">
        <v>1856</v>
      </c>
      <c r="C82" s="502"/>
      <c r="D82" s="502"/>
      <c r="E82" s="531"/>
      <c r="F82" s="531"/>
      <c r="G82" s="531"/>
      <c r="H82" s="531"/>
      <c r="I82" s="531"/>
      <c r="J82" s="531"/>
      <c r="K82" s="532"/>
      <c r="L82" s="533"/>
      <c r="M82" s="534"/>
      <c r="N82" s="2743"/>
      <c r="O82" s="2743"/>
      <c r="P82" s="2768"/>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7"/>
      <c r="B84" s="486" t="s">
        <v>1864</v>
      </c>
      <c r="C84" s="502"/>
      <c r="D84" s="502"/>
      <c r="E84" s="502"/>
      <c r="F84" s="502"/>
      <c r="G84" s="502"/>
      <c r="H84" s="502"/>
      <c r="I84" s="531"/>
      <c r="J84" s="531"/>
      <c r="K84" s="532"/>
      <c r="L84" s="533"/>
      <c r="M84" s="534"/>
      <c r="N84" s="2743"/>
      <c r="O84" s="2743"/>
      <c r="P84" s="2768"/>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3"/>
      <c r="O87" s="2743"/>
      <c r="P87" s="2768"/>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41"/>
      <c r="B89" s="486" t="s">
        <v>1866</v>
      </c>
      <c r="C89" s="502"/>
      <c r="D89" s="502"/>
      <c r="E89" s="502"/>
      <c r="F89" s="502"/>
      <c r="G89" s="502"/>
      <c r="H89" s="502"/>
      <c r="I89" s="502"/>
      <c r="J89" s="502"/>
      <c r="K89" s="502"/>
      <c r="L89" s="502"/>
      <c r="M89" s="529"/>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501"/>
      <c r="B90" s="491"/>
      <c r="C90" s="508"/>
      <c r="D90" s="484"/>
      <c r="E90" s="484"/>
      <c r="F90" s="484"/>
      <c r="G90" s="484"/>
      <c r="H90" s="484"/>
      <c r="I90" s="484"/>
      <c r="J90" s="484"/>
      <c r="K90" s="484"/>
      <c r="L90" s="484"/>
      <c r="M90" s="485"/>
      <c r="N90" s="2745"/>
      <c r="O90" s="2745"/>
      <c r="P90" s="2769"/>
      <c r="Q90" s="2736"/>
      <c r="R90" s="2737"/>
      <c r="S90" s="2737"/>
      <c r="T90" s="2737"/>
      <c r="U90" s="2737"/>
      <c r="V90" s="2737"/>
      <c r="W90" s="2737"/>
      <c r="X90" s="2737"/>
      <c r="Y90" s="2737"/>
      <c r="Z90" s="2737"/>
      <c r="AA90" s="2737"/>
      <c r="AB90" s="2737"/>
      <c r="AC90" s="2737"/>
      <c r="AD90" s="2737"/>
    </row>
    <row r="91" spans="1:30" ht="15" thickTop="1">
      <c r="A91" s="547"/>
      <c r="B91" s="486">
        <f>B32</f>
        <v>111</v>
      </c>
      <c r="C91" s="497"/>
      <c r="D91" s="497"/>
      <c r="E91" s="497"/>
      <c r="F91" s="497"/>
      <c r="G91" s="502"/>
      <c r="H91" s="503"/>
      <c r="I91" s="503"/>
      <c r="J91" s="503"/>
      <c r="K91" s="503"/>
      <c r="L91" s="504"/>
      <c r="M91" s="505"/>
      <c r="N91" s="2743"/>
      <c r="O91" s="2743"/>
      <c r="P91" s="2768"/>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4"/>
      <c r="O92" s="2744"/>
      <c r="P92" s="2768"/>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3"/>
      <c r="O93" s="2743"/>
      <c r="P93" s="2768"/>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4"/>
      <c r="O94" s="2744"/>
      <c r="P94" s="2768"/>
      <c r="Q94" s="2729"/>
      <c r="R94" s="2715"/>
      <c r="S94" s="2715"/>
      <c r="T94" s="2715"/>
      <c r="U94" s="2715"/>
      <c r="V94" s="2715"/>
      <c r="W94" s="2715"/>
      <c r="X94" s="2715"/>
      <c r="Y94" s="2715"/>
      <c r="Z94" s="2715"/>
      <c r="AA94" s="2715"/>
      <c r="AB94" s="2715"/>
      <c r="AC94" s="2715"/>
      <c r="AD94" s="2715"/>
    </row>
    <row r="95" spans="1:30" ht="15" thickTop="1">
      <c r="A95" s="547"/>
      <c r="B95" s="583">
        <f>B34</f>
        <v>111</v>
      </c>
      <c r="C95" s="497"/>
      <c r="D95" s="497"/>
      <c r="E95" s="497"/>
      <c r="F95" s="497"/>
      <c r="G95" s="502"/>
      <c r="H95" s="503"/>
      <c r="I95" s="503"/>
      <c r="J95" s="503"/>
      <c r="K95" s="503"/>
      <c r="L95" s="504"/>
      <c r="M95" s="505"/>
      <c r="N95" s="2744"/>
      <c r="O95" s="2744"/>
      <c r="P95" s="2771"/>
      <c r="Q95" s="2758"/>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4"/>
      <c r="D2" s="904"/>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912" t="s">
        <v>1770</v>
      </c>
      <c r="D4" s="3913"/>
      <c r="E4" s="3914" t="s">
        <v>1771</v>
      </c>
      <c r="F4" s="3915"/>
      <c r="G4" s="3912" t="s">
        <v>1772</v>
      </c>
      <c r="H4" s="3913"/>
      <c r="I4" s="3912" t="s">
        <v>1773</v>
      </c>
      <c r="J4" s="3913"/>
      <c r="K4" s="558" t="s">
        <v>1774</v>
      </c>
      <c r="L4" s="2705"/>
      <c r="M4" s="2706"/>
      <c r="N4" s="2706"/>
      <c r="O4" s="2706"/>
      <c r="P4" s="3916" t="s">
        <v>1775</v>
      </c>
      <c r="Q4" s="3917"/>
      <c r="R4" s="3899" t="s">
        <v>1771</v>
      </c>
      <c r="S4" s="3900"/>
      <c r="T4" s="3899" t="s">
        <v>1772</v>
      </c>
      <c r="U4" s="3900"/>
      <c r="V4" s="3924" t="s">
        <v>1773</v>
      </c>
      <c r="W4" s="3924"/>
      <c r="X4" s="1350"/>
      <c r="Y4" s="3899" t="s">
        <v>1775</v>
      </c>
      <c r="Z4" s="3900"/>
      <c r="AA4" s="3894" t="s">
        <v>1771</v>
      </c>
      <c r="AB4" s="3895" t="s">
        <v>1772</v>
      </c>
      <c r="AC4" s="3894" t="s">
        <v>1773</v>
      </c>
    </row>
    <row r="5" spans="1:29" ht="15">
      <c r="A5" s="357"/>
      <c r="B5" s="358"/>
      <c r="C5" s="3905" t="s">
        <v>1673</v>
      </c>
      <c r="D5" s="3906"/>
      <c r="E5" s="3903" t="s">
        <v>1674</v>
      </c>
      <c r="F5" s="3904"/>
      <c r="G5" s="3905" t="s">
        <v>1675</v>
      </c>
      <c r="H5" s="3906"/>
      <c r="I5" s="3905" t="s">
        <v>1676</v>
      </c>
      <c r="J5" s="3906"/>
      <c r="K5" s="558"/>
      <c r="L5" s="2705"/>
      <c r="M5" s="2706"/>
      <c r="N5" s="2706"/>
      <c r="O5" s="2706"/>
      <c r="P5" s="3918"/>
      <c r="Q5" s="3919"/>
      <c r="R5" s="3901"/>
      <c r="S5" s="3902"/>
      <c r="T5" s="3901"/>
      <c r="U5" s="3902"/>
      <c r="V5" s="3924"/>
      <c r="W5" s="3924"/>
      <c r="X5" s="1350"/>
      <c r="Y5" s="3901"/>
      <c r="Z5" s="3902"/>
      <c r="AA5" s="3895"/>
      <c r="AB5" s="3895"/>
      <c r="AC5" s="3895"/>
    </row>
    <row r="6" spans="1:29" ht="15.75" thickBot="1">
      <c r="A6" s="359"/>
      <c r="B6" s="360"/>
      <c r="C6" s="3991" t="s">
        <v>1919</v>
      </c>
      <c r="D6" s="3992"/>
      <c r="E6" s="3993" t="s">
        <v>1919</v>
      </c>
      <c r="F6" s="3994"/>
      <c r="G6" s="3991" t="s">
        <v>1919</v>
      </c>
      <c r="H6" s="3992"/>
      <c r="I6" s="3991" t="s">
        <v>1919</v>
      </c>
      <c r="J6" s="3992"/>
      <c r="K6" s="558" t="s">
        <v>1678</v>
      </c>
      <c r="L6" s="2705"/>
      <c r="M6" s="2706"/>
      <c r="N6" s="2706"/>
      <c r="O6" s="2706"/>
      <c r="P6" s="3920"/>
      <c r="Q6" s="3921"/>
      <c r="R6" s="3901"/>
      <c r="S6" s="3902"/>
      <c r="T6" s="3922"/>
      <c r="U6" s="3923"/>
      <c r="V6" s="3924"/>
      <c r="W6" s="3924"/>
      <c r="X6" s="1350"/>
      <c r="Y6" s="3922"/>
      <c r="Z6" s="3923"/>
      <c r="AA6" s="3896"/>
      <c r="AB6" s="3896"/>
      <c r="AC6" s="3896"/>
    </row>
    <row r="7" spans="1:29" s="107" customFormat="1" ht="15.75" thickBot="1">
      <c r="A7" s="361" t="s">
        <v>1679</v>
      </c>
      <c r="B7" s="362"/>
      <c r="C7" s="363">
        <f>'数据-取费表'!B2</f>
        <v>44999</v>
      </c>
      <c r="D7" s="364">
        <v>100</v>
      </c>
      <c r="E7" s="365"/>
      <c r="F7" s="366">
        <f>SUMIF(65:65,YEAR(E7)&amp;"-"&amp;INT((MONTH(E7)+2)/3),66:66)</f>
        <v>0</v>
      </c>
      <c r="G7" s="1966"/>
      <c r="H7" s="364">
        <f>SUMIF(65:65,YEAR(G7)&amp;"-"&amp;INT((MONTH(G7)+2)/3),66:66)</f>
        <v>0</v>
      </c>
      <c r="I7" s="1966"/>
      <c r="J7" s="364">
        <f>SUMIF(65:65,YEAR(I7)&amp;"-"&amp;INT((MONTH(I7)+2)/3),66:66)</f>
        <v>0</v>
      </c>
      <c r="K7" s="559"/>
      <c r="L7" s="2707"/>
      <c r="M7" s="2708"/>
      <c r="N7" s="2708"/>
      <c r="O7" s="2708"/>
      <c r="P7" s="3897" t="s">
        <v>1680</v>
      </c>
      <c r="Q7" s="3925"/>
      <c r="R7" s="700" t="s">
        <v>14</v>
      </c>
      <c r="S7" s="701">
        <f t="shared" ref="S7:S15" si="0">F7</f>
        <v>0</v>
      </c>
      <c r="T7" s="700" t="s">
        <v>14</v>
      </c>
      <c r="U7" s="701">
        <f t="shared" ref="U7:U15" si="1">H7</f>
        <v>0</v>
      </c>
      <c r="V7" s="700" t="s">
        <v>14</v>
      </c>
      <c r="W7" s="701">
        <f t="shared" ref="W7:W15" si="2">J7</f>
        <v>0</v>
      </c>
      <c r="X7" s="702"/>
      <c r="Y7" s="3897" t="s">
        <v>1680</v>
      </c>
      <c r="Z7" s="3898"/>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897" t="s">
        <v>1683</v>
      </c>
      <c r="Q8" s="3898"/>
      <c r="R8" s="700" t="s">
        <v>14</v>
      </c>
      <c r="S8" s="701">
        <f t="shared" si="0"/>
        <v>0</v>
      </c>
      <c r="T8" s="700" t="s">
        <v>14</v>
      </c>
      <c r="U8" s="701">
        <f t="shared" si="1"/>
        <v>0</v>
      </c>
      <c r="V8" s="700" t="s">
        <v>14</v>
      </c>
      <c r="W8" s="701">
        <f t="shared" si="2"/>
        <v>0</v>
      </c>
      <c r="X8" s="702"/>
      <c r="Y8" s="3897" t="s">
        <v>1683</v>
      </c>
      <c r="Z8" s="3898"/>
      <c r="AA8" s="703" t="e">
        <f t="shared" ref="AA8:AA40" si="3">D8/F8</f>
        <v>#DIV/0!</v>
      </c>
      <c r="AB8" s="703" t="e">
        <f t="shared" ref="AB8:AB40" si="4">D8/H8</f>
        <v>#DIV/0!</v>
      </c>
      <c r="AC8" s="703" t="e">
        <f t="shared" ref="AC8:AC40" si="5">D8/J8</f>
        <v>#DIV/0!</v>
      </c>
    </row>
    <row r="9" spans="1:29" s="107" customFormat="1">
      <c r="A9" s="368" t="s">
        <v>1684</v>
      </c>
      <c r="B9" s="63" t="s">
        <v>1685</v>
      </c>
      <c r="C9" s="1969"/>
      <c r="D9" s="125">
        <v>100</v>
      </c>
      <c r="E9" s="1969"/>
      <c r="F9" s="125">
        <f>SUMIF(70:70,E9,71:71)-SUMIF(70:70,C9,71:71)+100</f>
        <v>100</v>
      </c>
      <c r="G9" s="1969"/>
      <c r="H9" s="125">
        <f>SUMIF(70:70,G9,71:71)-SUMIF(70:70,C9,71:71)+100</f>
        <v>100</v>
      </c>
      <c r="I9" s="1969"/>
      <c r="J9" s="125">
        <f>SUMIF(70:70,I9,71:71)-SUMIF(70:70,C9,71:71)+100</f>
        <v>100</v>
      </c>
      <c r="K9" s="559"/>
      <c r="L9" s="2707"/>
      <c r="M9" s="2708"/>
      <c r="N9" s="2708"/>
      <c r="O9" s="2762"/>
      <c r="P9" s="3911" t="s">
        <v>1686</v>
      </c>
      <c r="Q9" s="1338" t="str">
        <f t="shared" ref="Q9:Q15" si="6">B9</f>
        <v>用途</v>
      </c>
      <c r="R9" s="700" t="s">
        <v>14</v>
      </c>
      <c r="S9" s="701">
        <f t="shared" si="0"/>
        <v>100</v>
      </c>
      <c r="T9" s="700" t="s">
        <v>14</v>
      </c>
      <c r="U9" s="701">
        <f t="shared" si="1"/>
        <v>100</v>
      </c>
      <c r="V9" s="700" t="s">
        <v>14</v>
      </c>
      <c r="W9" s="701">
        <f t="shared" si="2"/>
        <v>100</v>
      </c>
      <c r="X9" s="702"/>
      <c r="Y9" s="3851"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101</v>
      </c>
      <c r="G10" s="382"/>
      <c r="H10" s="126">
        <f>ROUND(100/'数据-取费表'!G16,0)</f>
        <v>101</v>
      </c>
      <c r="I10" s="382"/>
      <c r="J10" s="126">
        <f>ROUND(100/'数据-取费表'!G16,0)</f>
        <v>101</v>
      </c>
      <c r="K10" s="619"/>
      <c r="L10" s="2709"/>
      <c r="M10" s="2710"/>
      <c r="N10" s="2710"/>
      <c r="O10" s="2763"/>
      <c r="P10" s="3911"/>
      <c r="Q10" s="1338" t="str">
        <f t="shared" si="6"/>
        <v>土地使用年限（年）</v>
      </c>
      <c r="R10" s="700" t="s">
        <v>14</v>
      </c>
      <c r="S10" s="701">
        <f t="shared" si="0"/>
        <v>101</v>
      </c>
      <c r="T10" s="700" t="s">
        <v>14</v>
      </c>
      <c r="U10" s="701">
        <f t="shared" si="1"/>
        <v>101</v>
      </c>
      <c r="V10" s="700" t="s">
        <v>14</v>
      </c>
      <c r="W10" s="701">
        <f t="shared" si="2"/>
        <v>101</v>
      </c>
      <c r="X10" s="702"/>
      <c r="Y10" s="3851"/>
      <c r="Z10" s="52" t="str">
        <f t="shared" si="7"/>
        <v>土地使用年限（年）</v>
      </c>
      <c r="AA10" s="703">
        <f t="shared" si="3"/>
        <v>0.99009900990099009</v>
      </c>
      <c r="AB10" s="703">
        <f t="shared" si="4"/>
        <v>0.99009900990099009</v>
      </c>
      <c r="AC10" s="703">
        <f t="shared" si="5"/>
        <v>0.99009900990099009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1"/>
      <c r="M11" s="2706"/>
      <c r="N11" s="2706"/>
      <c r="O11" s="2764"/>
      <c r="P11" s="3911"/>
      <c r="Q11" s="1338" t="str">
        <f t="shared" si="6"/>
        <v>容积率</v>
      </c>
      <c r="R11" s="700" t="s">
        <v>14</v>
      </c>
      <c r="S11" s="701" t="e">
        <f t="shared" si="0"/>
        <v>#N/A</v>
      </c>
      <c r="T11" s="700" t="s">
        <v>14</v>
      </c>
      <c r="U11" s="701" t="e">
        <f t="shared" si="1"/>
        <v>#N/A</v>
      </c>
      <c r="V11" s="700" t="s">
        <v>14</v>
      </c>
      <c r="W11" s="701" t="e">
        <f t="shared" si="2"/>
        <v>#N/A</v>
      </c>
      <c r="X11" s="702"/>
      <c r="Y11" s="3851"/>
      <c r="Z11" s="52" t="str">
        <f t="shared" si="7"/>
        <v>容积率</v>
      </c>
      <c r="AA11" s="703" t="e">
        <f t="shared" si="3"/>
        <v>#N/A</v>
      </c>
      <c r="AB11" s="703" t="e">
        <f t="shared" si="4"/>
        <v>#N/A</v>
      </c>
      <c r="AC11" s="703" t="e">
        <f t="shared" si="5"/>
        <v>#N/A</v>
      </c>
    </row>
    <row r="12" spans="1:29" s="107" customFormat="1" ht="15">
      <c r="A12" s="381"/>
      <c r="B12" s="1887">
        <v>111</v>
      </c>
      <c r="C12" s="382"/>
      <c r="D12" s="383">
        <v>100</v>
      </c>
      <c r="E12" s="497"/>
      <c r="F12" s="126">
        <f>SUMIF(77:77,E12,78:78)-SUMIF(77:77,C12,78:78)+100</f>
        <v>100</v>
      </c>
      <c r="G12" s="621"/>
      <c r="H12" s="126">
        <f>SUMIF(77:77,G12,78:78)-SUMIF(77:77,C12,78:78)+100</f>
        <v>100</v>
      </c>
      <c r="I12" s="497"/>
      <c r="J12" s="126">
        <f>SUMIF(77:77,I12,78:78)-SUMIF(77:77,C12,78:78)+100</f>
        <v>100</v>
      </c>
      <c r="K12" s="619"/>
      <c r="L12" s="2707"/>
      <c r="M12" s="2708"/>
      <c r="N12" s="2708"/>
      <c r="O12" s="2762"/>
      <c r="P12" s="3911"/>
      <c r="Q12" s="1338">
        <f t="shared" si="6"/>
        <v>111</v>
      </c>
      <c r="R12" s="700" t="s">
        <v>14</v>
      </c>
      <c r="S12" s="701">
        <f t="shared" si="0"/>
        <v>100</v>
      </c>
      <c r="T12" s="700" t="s">
        <v>14</v>
      </c>
      <c r="U12" s="701">
        <f t="shared" si="1"/>
        <v>100</v>
      </c>
      <c r="V12" s="700" t="s">
        <v>14</v>
      </c>
      <c r="W12" s="701">
        <f t="shared" si="2"/>
        <v>100</v>
      </c>
      <c r="X12" s="702"/>
      <c r="Y12" s="3851"/>
      <c r="Z12" s="52">
        <f t="shared" si="7"/>
        <v>111</v>
      </c>
      <c r="AA12" s="703">
        <f>D12/F12</f>
        <v>1</v>
      </c>
      <c r="AB12" s="703">
        <f>D12/H12</f>
        <v>1</v>
      </c>
      <c r="AC12" s="703">
        <f>D12/J12</f>
        <v>1</v>
      </c>
    </row>
    <row r="13" spans="1:29" ht="15">
      <c r="A13" s="378"/>
      <c r="B13" s="1887">
        <v>111</v>
      </c>
      <c r="C13" s="384"/>
      <c r="D13" s="385">
        <v>100</v>
      </c>
      <c r="E13" s="497"/>
      <c r="F13" s="126">
        <f>SUMIF(79:79,E13,80:80)-SUMIF(79:79,C13,80:80)+100</f>
        <v>100</v>
      </c>
      <c r="G13" s="621"/>
      <c r="H13" s="385">
        <f>SUMIF(79:79,G13,80:80)-SUMIF(79:79,C13,80:80)+100</f>
        <v>100</v>
      </c>
      <c r="I13" s="497"/>
      <c r="J13" s="385">
        <f>SUMIF(79:79,I13,80:80)-SUMIF(79:79,C13,80:80)+100</f>
        <v>100</v>
      </c>
      <c r="K13" s="619"/>
      <c r="L13" s="2712"/>
      <c r="M13" s="2706"/>
      <c r="N13" s="2706"/>
      <c r="O13" s="2764"/>
      <c r="P13" s="3911"/>
      <c r="Q13" s="1338">
        <f t="shared" si="6"/>
        <v>111</v>
      </c>
      <c r="R13" s="700" t="s">
        <v>14</v>
      </c>
      <c r="S13" s="701">
        <f t="shared" si="0"/>
        <v>100</v>
      </c>
      <c r="T13" s="700" t="s">
        <v>14</v>
      </c>
      <c r="U13" s="701">
        <f t="shared" si="1"/>
        <v>100</v>
      </c>
      <c r="V13" s="700" t="s">
        <v>14</v>
      </c>
      <c r="W13" s="701">
        <f t="shared" si="2"/>
        <v>100</v>
      </c>
      <c r="X13" s="702"/>
      <c r="Y13" s="3851"/>
      <c r="Z13" s="52">
        <f t="shared" si="7"/>
        <v>111</v>
      </c>
      <c r="AA13" s="703">
        <f t="shared" si="3"/>
        <v>1</v>
      </c>
      <c r="AB13" s="703">
        <f t="shared" si="4"/>
        <v>1</v>
      </c>
      <c r="AC13" s="703">
        <f t="shared" si="5"/>
        <v>1</v>
      </c>
    </row>
    <row r="14" spans="1:29" ht="15.75" thickBot="1">
      <c r="A14" s="386"/>
      <c r="B14" s="1889">
        <v>111</v>
      </c>
      <c r="C14" s="387"/>
      <c r="D14" s="388">
        <v>100</v>
      </c>
      <c r="E14" s="497"/>
      <c r="F14" s="388">
        <f>SUMIF(81:81,E14,82:82)-SUMIF(81:81,C14,82:82)+100</f>
        <v>100</v>
      </c>
      <c r="G14" s="621"/>
      <c r="H14" s="388">
        <f>SUMIF(81:81,G14,82:82)-SUMIF(81:81,C14,82:82)+100</f>
        <v>100</v>
      </c>
      <c r="I14" s="497"/>
      <c r="J14" s="388">
        <f>SUMIF(81:81,I14,82:82)-SUMIF(81:81,C14,82:82)+100</f>
        <v>100</v>
      </c>
      <c r="K14" s="619"/>
      <c r="L14" s="2712"/>
      <c r="M14" s="2706"/>
      <c r="N14" s="2706"/>
      <c r="O14" s="2764"/>
      <c r="P14" s="3911"/>
      <c r="Q14" s="1338">
        <f t="shared" si="6"/>
        <v>111</v>
      </c>
      <c r="R14" s="700" t="s">
        <v>14</v>
      </c>
      <c r="S14" s="701">
        <f t="shared" si="0"/>
        <v>100</v>
      </c>
      <c r="T14" s="700" t="s">
        <v>14</v>
      </c>
      <c r="U14" s="701">
        <f t="shared" si="1"/>
        <v>100</v>
      </c>
      <c r="V14" s="700" t="s">
        <v>14</v>
      </c>
      <c r="W14" s="701">
        <f t="shared" si="2"/>
        <v>100</v>
      </c>
      <c r="X14" s="702"/>
      <c r="Y14" s="3851"/>
      <c r="Z14" s="52">
        <f t="shared" si="7"/>
        <v>111</v>
      </c>
      <c r="AA14" s="703">
        <f t="shared" si="3"/>
        <v>1</v>
      </c>
      <c r="AB14" s="703">
        <f t="shared" si="4"/>
        <v>1</v>
      </c>
      <c r="AC14" s="703">
        <f t="shared" si="5"/>
        <v>1</v>
      </c>
    </row>
    <row r="15" spans="1:29" ht="57">
      <c r="A15" s="390" t="s">
        <v>1690</v>
      </c>
      <c r="B15" s="576" t="s">
        <v>1920</v>
      </c>
      <c r="C15" s="1963"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2"/>
      <c r="M15" s="2706"/>
      <c r="N15" s="2706"/>
      <c r="O15" s="2764"/>
      <c r="P15" s="3926" t="s">
        <v>1691</v>
      </c>
      <c r="Q15" s="1347" t="str">
        <f t="shared" si="6"/>
        <v>产业集聚程度</v>
      </c>
      <c r="R15" s="704" t="s">
        <v>14</v>
      </c>
      <c r="S15" s="705">
        <f t="shared" si="0"/>
        <v>100</v>
      </c>
      <c r="T15" s="704" t="s">
        <v>14</v>
      </c>
      <c r="U15" s="705">
        <f t="shared" si="1"/>
        <v>100</v>
      </c>
      <c r="V15" s="704" t="s">
        <v>14</v>
      </c>
      <c r="W15" s="705">
        <f t="shared" si="2"/>
        <v>100</v>
      </c>
      <c r="X15" s="1350"/>
      <c r="Y15" s="3926" t="s">
        <v>1691</v>
      </c>
      <c r="Z15" s="1351" t="str">
        <f t="shared" si="7"/>
        <v>产业集聚程度</v>
      </c>
      <c r="AA15" s="1348">
        <f t="shared" si="3"/>
        <v>1</v>
      </c>
      <c r="AB15" s="1348">
        <f t="shared" si="4"/>
        <v>1</v>
      </c>
      <c r="AC15" s="1348">
        <f t="shared" si="5"/>
        <v>1</v>
      </c>
    </row>
    <row r="16" spans="1:29" ht="15">
      <c r="A16" s="378"/>
      <c r="B16" s="577"/>
      <c r="C16" s="397"/>
      <c r="D16" s="398"/>
      <c r="E16" s="1898"/>
      <c r="F16" s="398"/>
      <c r="G16" s="1898"/>
      <c r="H16" s="400"/>
      <c r="I16" s="1898"/>
      <c r="J16" s="398"/>
      <c r="K16" s="619"/>
      <c r="L16" s="2712"/>
      <c r="M16" s="2706"/>
      <c r="N16" s="2706"/>
      <c r="O16" s="2764"/>
      <c r="P16" s="3927"/>
      <c r="Q16" s="1347"/>
      <c r="R16" s="704"/>
      <c r="S16" s="705"/>
      <c r="T16" s="704"/>
      <c r="U16" s="705"/>
      <c r="V16" s="704"/>
      <c r="W16" s="705"/>
      <c r="X16" s="1350"/>
      <c r="Y16" s="3927"/>
      <c r="Z16" s="1351"/>
      <c r="AA16" s="1348">
        <v>1</v>
      </c>
      <c r="AB16" s="1348">
        <v>1</v>
      </c>
      <c r="AC16" s="1348">
        <v>1</v>
      </c>
    </row>
    <row r="17" spans="1:29" ht="85.5">
      <c r="A17" s="378"/>
      <c r="B17" s="578" t="s">
        <v>1833</v>
      </c>
      <c r="C17" s="1894"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2"/>
      <c r="M17" s="2706"/>
      <c r="N17" s="2706"/>
      <c r="O17" s="2764"/>
      <c r="P17" s="3927"/>
      <c r="Q17" s="1347" t="str">
        <f>B17</f>
        <v>交通便捷度</v>
      </c>
      <c r="R17" s="704" t="s">
        <v>14</v>
      </c>
      <c r="S17" s="705">
        <f>F17</f>
        <v>100</v>
      </c>
      <c r="T17" s="704" t="s">
        <v>14</v>
      </c>
      <c r="U17" s="705">
        <f>H17</f>
        <v>100</v>
      </c>
      <c r="V17" s="704" t="s">
        <v>14</v>
      </c>
      <c r="W17" s="705">
        <f>J17</f>
        <v>100</v>
      </c>
      <c r="X17" s="1350"/>
      <c r="Y17" s="3927"/>
      <c r="Z17" s="1351" t="str">
        <f>Q17</f>
        <v>交通便捷度</v>
      </c>
      <c r="AA17" s="1348">
        <f t="shared" si="3"/>
        <v>1</v>
      </c>
      <c r="AB17" s="1348">
        <f t="shared" si="4"/>
        <v>1</v>
      </c>
      <c r="AC17" s="1348">
        <f t="shared" si="5"/>
        <v>1</v>
      </c>
    </row>
    <row r="18" spans="1:29" ht="15">
      <c r="A18" s="378"/>
      <c r="B18" s="579"/>
      <c r="C18" s="397"/>
      <c r="D18" s="398"/>
      <c r="E18" s="1892"/>
      <c r="F18" s="398"/>
      <c r="G18" s="1892"/>
      <c r="H18" s="398"/>
      <c r="I18" s="1891"/>
      <c r="J18" s="398"/>
      <c r="K18" s="619"/>
      <c r="L18" s="2712"/>
      <c r="M18" s="2706"/>
      <c r="N18" s="2706"/>
      <c r="O18" s="2764"/>
      <c r="P18" s="3927"/>
      <c r="Q18" s="1347"/>
      <c r="R18" s="704"/>
      <c r="S18" s="705"/>
      <c r="T18" s="704"/>
      <c r="U18" s="705"/>
      <c r="V18" s="704"/>
      <c r="W18" s="705"/>
      <c r="X18" s="1350"/>
      <c r="Y18" s="3927"/>
      <c r="Z18" s="1351"/>
      <c r="AA18" s="1348">
        <v>1</v>
      </c>
      <c r="AB18" s="1348">
        <v>1</v>
      </c>
      <c r="AC18" s="1348">
        <v>1</v>
      </c>
    </row>
    <row r="19" spans="1:29" ht="15">
      <c r="A19" s="378"/>
      <c r="B19" s="578"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2"/>
      <c r="M19" s="2706"/>
      <c r="N19" s="2706"/>
      <c r="O19" s="2764"/>
      <c r="P19" s="3927"/>
      <c r="Q19" s="1347" t="str">
        <f t="shared" ref="Q19:Q33" si="8">B19</f>
        <v>区域土地利用方向</v>
      </c>
      <c r="R19" s="704" t="s">
        <v>14</v>
      </c>
      <c r="S19" s="705">
        <f>F19</f>
        <v>100</v>
      </c>
      <c r="T19" s="704" t="s">
        <v>14</v>
      </c>
      <c r="U19" s="705">
        <f>H19</f>
        <v>100</v>
      </c>
      <c r="V19" s="704" t="s">
        <v>14</v>
      </c>
      <c r="W19" s="705">
        <f>J19</f>
        <v>100</v>
      </c>
      <c r="X19" s="1350"/>
      <c r="Y19" s="3927"/>
      <c r="Z19" s="1351" t="str">
        <f>Q19</f>
        <v>区域土地利用方向</v>
      </c>
      <c r="AA19" s="1348">
        <f t="shared" si="3"/>
        <v>1</v>
      </c>
      <c r="AB19" s="1348">
        <f t="shared" si="4"/>
        <v>1</v>
      </c>
      <c r="AC19" s="1348">
        <f t="shared" si="5"/>
        <v>1</v>
      </c>
    </row>
    <row r="20" spans="1:29" ht="15">
      <c r="A20" s="357"/>
      <c r="B20" s="579"/>
      <c r="C20" s="397"/>
      <c r="D20" s="398"/>
      <c r="E20" s="1892"/>
      <c r="F20" s="398"/>
      <c r="G20" s="1892"/>
      <c r="H20" s="398"/>
      <c r="I20" s="1892"/>
      <c r="J20" s="398"/>
      <c r="K20" s="736"/>
      <c r="L20" s="2712"/>
      <c r="M20" s="2706"/>
      <c r="N20" s="2706"/>
      <c r="O20" s="2764"/>
      <c r="P20" s="3927"/>
      <c r="Q20" s="1347"/>
      <c r="R20" s="704"/>
      <c r="S20" s="705"/>
      <c r="T20" s="704"/>
      <c r="U20" s="705"/>
      <c r="V20" s="704"/>
      <c r="W20" s="705"/>
      <c r="X20" s="1350"/>
      <c r="Y20" s="3927"/>
      <c r="Z20" s="1351"/>
      <c r="AA20" s="1348"/>
      <c r="AB20" s="1348"/>
      <c r="AC20" s="1348"/>
    </row>
    <row r="21" spans="1:29" ht="71.25">
      <c r="A21" s="357"/>
      <c r="B21" s="578" t="s">
        <v>1921</v>
      </c>
      <c r="C21" s="1894"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2"/>
      <c r="M21" s="2706"/>
      <c r="N21" s="2706"/>
      <c r="O21" s="2764"/>
      <c r="P21" s="3927"/>
      <c r="Q21" s="1347" t="str">
        <f t="shared" si="8"/>
        <v>环境状况</v>
      </c>
      <c r="R21" s="704" t="s">
        <v>14</v>
      </c>
      <c r="S21" s="705">
        <f>F21</f>
        <v>100</v>
      </c>
      <c r="T21" s="704" t="s">
        <v>14</v>
      </c>
      <c r="U21" s="705">
        <f>H21</f>
        <v>100</v>
      </c>
      <c r="V21" s="704" t="s">
        <v>14</v>
      </c>
      <c r="W21" s="705">
        <f>J21</f>
        <v>100</v>
      </c>
      <c r="X21" s="1350"/>
      <c r="Y21" s="3927"/>
      <c r="Z21" s="1351" t="str">
        <f>Q21</f>
        <v>环境状况</v>
      </c>
      <c r="AA21" s="1348">
        <f t="shared" si="3"/>
        <v>1</v>
      </c>
      <c r="AB21" s="1348">
        <f t="shared" si="4"/>
        <v>1</v>
      </c>
      <c r="AC21" s="1348">
        <f t="shared" si="5"/>
        <v>1</v>
      </c>
    </row>
    <row r="22" spans="1:29" ht="15">
      <c r="A22" s="357"/>
      <c r="B22" s="579"/>
      <c r="C22" s="397"/>
      <c r="D22" s="398"/>
      <c r="E22" s="1898"/>
      <c r="F22" s="398"/>
      <c r="G22" s="1898"/>
      <c r="H22" s="398"/>
      <c r="I22" s="397"/>
      <c r="J22" s="398"/>
      <c r="K22" s="619"/>
      <c r="L22" s="2712"/>
      <c r="M22" s="2706"/>
      <c r="N22" s="2706"/>
      <c r="O22" s="2764"/>
      <c r="P22" s="3927"/>
      <c r="Q22" s="1347"/>
      <c r="R22" s="704"/>
      <c r="S22" s="705"/>
      <c r="T22" s="704"/>
      <c r="U22" s="705"/>
      <c r="V22" s="704"/>
      <c r="W22" s="705"/>
      <c r="X22" s="1350"/>
      <c r="Y22" s="3927"/>
      <c r="Z22" s="1351"/>
      <c r="AA22" s="1348">
        <v>1</v>
      </c>
      <c r="AB22" s="1348">
        <v>1</v>
      </c>
      <c r="AC22" s="1348">
        <v>1</v>
      </c>
    </row>
    <row r="23" spans="1:29" s="107" customFormat="1" ht="42.75">
      <c r="A23" s="596"/>
      <c r="B23" s="580" t="s">
        <v>1778</v>
      </c>
      <c r="C23" s="1894"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07"/>
      <c r="M23" s="2708"/>
      <c r="N23" s="2708"/>
      <c r="O23" s="2762"/>
      <c r="P23" s="3927"/>
      <c r="Q23" s="1338" t="str">
        <f t="shared" si="8"/>
        <v>公共配套设施</v>
      </c>
      <c r="R23" s="700" t="s">
        <v>14</v>
      </c>
      <c r="S23" s="701">
        <f>F23</f>
        <v>100</v>
      </c>
      <c r="T23" s="700" t="s">
        <v>14</v>
      </c>
      <c r="U23" s="701">
        <f>H23</f>
        <v>100</v>
      </c>
      <c r="V23" s="700" t="s">
        <v>14</v>
      </c>
      <c r="W23" s="701">
        <f>J23</f>
        <v>100</v>
      </c>
      <c r="X23" s="702"/>
      <c r="Y23" s="3927"/>
      <c r="Z23" s="52" t="str">
        <f>Q23</f>
        <v>公共配套设施</v>
      </c>
      <c r="AA23" s="1348">
        <f>D23/F23</f>
        <v>1</v>
      </c>
      <c r="AB23" s="1348">
        <f>D23/H23</f>
        <v>1</v>
      </c>
      <c r="AC23" s="1348">
        <f>D23/J23</f>
        <v>1</v>
      </c>
    </row>
    <row r="24" spans="1:29" s="107" customFormat="1" ht="15">
      <c r="A24" s="596"/>
      <c r="B24" s="579"/>
      <c r="C24" s="1970"/>
      <c r="D24" s="398"/>
      <c r="E24" s="1898"/>
      <c r="F24" s="398"/>
      <c r="G24" s="1898"/>
      <c r="H24" s="398"/>
      <c r="I24" s="397"/>
      <c r="J24" s="398"/>
      <c r="K24" s="619"/>
      <c r="L24" s="2707"/>
      <c r="M24" s="2708"/>
      <c r="N24" s="2708"/>
      <c r="O24" s="2762"/>
      <c r="P24" s="3927"/>
      <c r="Q24" s="1338"/>
      <c r="R24" s="700"/>
      <c r="S24" s="701"/>
      <c r="T24" s="700"/>
      <c r="U24" s="701"/>
      <c r="V24" s="700"/>
      <c r="W24" s="701"/>
      <c r="X24" s="702"/>
      <c r="Y24" s="3927"/>
      <c r="Z24" s="52"/>
      <c r="AA24" s="703">
        <v>1</v>
      </c>
      <c r="AB24" s="703">
        <v>1</v>
      </c>
      <c r="AC24" s="703">
        <v>1</v>
      </c>
    </row>
    <row r="25" spans="1:29" s="107" customFormat="1" ht="28.5">
      <c r="A25" s="596"/>
      <c r="B25" s="580" t="s">
        <v>1779</v>
      </c>
      <c r="C25" s="1894"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07"/>
      <c r="M25" s="2708"/>
      <c r="N25" s="2708"/>
      <c r="O25" s="2762"/>
      <c r="P25" s="3927"/>
      <c r="Q25" s="1338" t="str">
        <f t="shared" ref="Q25" si="9">B25</f>
        <v>基础设施水平</v>
      </c>
      <c r="R25" s="700" t="s">
        <v>14</v>
      </c>
      <c r="S25" s="701">
        <f>F25</f>
        <v>100</v>
      </c>
      <c r="T25" s="700" t="s">
        <v>14</v>
      </c>
      <c r="U25" s="701">
        <f>H25</f>
        <v>100</v>
      </c>
      <c r="V25" s="700" t="s">
        <v>14</v>
      </c>
      <c r="W25" s="701">
        <f>J25</f>
        <v>100</v>
      </c>
      <c r="X25" s="702"/>
      <c r="Y25" s="3927"/>
      <c r="Z25" s="52" t="str">
        <f>Q25</f>
        <v>基础设施水平</v>
      </c>
      <c r="AA25" s="1348">
        <f>D25/F25</f>
        <v>1</v>
      </c>
      <c r="AB25" s="1348">
        <f>D25/H25</f>
        <v>1</v>
      </c>
      <c r="AC25" s="1348">
        <f>D25/J25</f>
        <v>1</v>
      </c>
    </row>
    <row r="26" spans="1:29" s="107" customFormat="1" ht="15">
      <c r="A26" s="596"/>
      <c r="B26" s="579"/>
      <c r="C26" s="1970"/>
      <c r="D26" s="398"/>
      <c r="E26" s="1971"/>
      <c r="F26" s="398"/>
      <c r="G26" s="1971"/>
      <c r="H26" s="398"/>
      <c r="I26" s="1971"/>
      <c r="J26" s="398"/>
      <c r="K26" s="619"/>
      <c r="L26" s="2707"/>
      <c r="M26" s="2708"/>
      <c r="N26" s="2708"/>
      <c r="O26" s="2762"/>
      <c r="P26" s="3927"/>
      <c r="Q26" s="1338"/>
      <c r="R26" s="700"/>
      <c r="S26" s="701"/>
      <c r="T26" s="700"/>
      <c r="U26" s="701"/>
      <c r="V26" s="700"/>
      <c r="W26" s="701"/>
      <c r="X26" s="702"/>
      <c r="Y26" s="392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2"/>
      <c r="M27" s="2706"/>
      <c r="N27" s="2706"/>
      <c r="O27" s="2764"/>
      <c r="P27" s="3927"/>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927"/>
      <c r="Z27" s="1351" t="str">
        <f t="shared" ref="Z27:Z40" si="13">Q27</f>
        <v>临街状况</v>
      </c>
      <c r="AA27" s="1348">
        <f t="shared" si="3"/>
        <v>1</v>
      </c>
      <c r="AB27" s="1348">
        <f t="shared" si="4"/>
        <v>1</v>
      </c>
      <c r="AC27" s="1348">
        <f t="shared" si="5"/>
        <v>1</v>
      </c>
    </row>
    <row r="28" spans="1:29" ht="27">
      <c r="A28" s="378"/>
      <c r="B28" s="580" t="s">
        <v>1815</v>
      </c>
      <c r="C28" s="1983">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2"/>
      <c r="M28" s="2706"/>
      <c r="N28" s="2706"/>
      <c r="O28" s="2764"/>
      <c r="P28" s="3927"/>
      <c r="Q28" s="1347" t="str">
        <f t="shared" si="8"/>
        <v>毗邻道路的类型与等级</v>
      </c>
      <c r="R28" s="704" t="s">
        <v>14</v>
      </c>
      <c r="S28" s="705">
        <f t="shared" si="10"/>
        <v>100</v>
      </c>
      <c r="T28" s="704" t="s">
        <v>14</v>
      </c>
      <c r="U28" s="705">
        <f t="shared" si="11"/>
        <v>100</v>
      </c>
      <c r="V28" s="704" t="s">
        <v>14</v>
      </c>
      <c r="W28" s="705">
        <f t="shared" si="12"/>
        <v>100</v>
      </c>
      <c r="X28" s="1350"/>
      <c r="Y28" s="3927"/>
      <c r="Z28" s="1351" t="str">
        <f t="shared" si="13"/>
        <v>毗邻道路的类型与等级</v>
      </c>
      <c r="AA28" s="1348">
        <f t="shared" si="3"/>
        <v>1</v>
      </c>
      <c r="AB28" s="1348">
        <f t="shared" si="4"/>
        <v>1</v>
      </c>
      <c r="AC28" s="1348">
        <f t="shared" si="5"/>
        <v>1</v>
      </c>
    </row>
    <row r="29" spans="1:29" ht="15">
      <c r="A29" s="378"/>
      <c r="B29" s="579"/>
      <c r="C29" s="397"/>
      <c r="D29" s="398"/>
      <c r="E29" s="1898"/>
      <c r="F29" s="398"/>
      <c r="G29" s="1898"/>
      <c r="H29" s="398"/>
      <c r="I29" s="1898"/>
      <c r="J29" s="398"/>
      <c r="K29" s="561"/>
      <c r="L29" s="2712"/>
      <c r="M29" s="2706"/>
      <c r="N29" s="2706"/>
      <c r="O29" s="2764"/>
      <c r="P29" s="3927"/>
      <c r="Q29" s="1347"/>
      <c r="R29" s="704"/>
      <c r="S29" s="705"/>
      <c r="T29" s="704"/>
      <c r="U29" s="705"/>
      <c r="V29" s="704"/>
      <c r="W29" s="705"/>
      <c r="X29" s="1350"/>
      <c r="Y29" s="3927"/>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2"/>
      <c r="M30" s="2706"/>
      <c r="N30" s="2706"/>
      <c r="O30" s="2764"/>
      <c r="P30" s="3927"/>
      <c r="Q30" s="1347" t="str">
        <f t="shared" si="8"/>
        <v>土地级别</v>
      </c>
      <c r="R30" s="704" t="s">
        <v>14</v>
      </c>
      <c r="S30" s="705">
        <f t="shared" si="10"/>
        <v>100</v>
      </c>
      <c r="T30" s="704" t="s">
        <v>14</v>
      </c>
      <c r="U30" s="705">
        <f t="shared" si="11"/>
        <v>100</v>
      </c>
      <c r="V30" s="704" t="s">
        <v>14</v>
      </c>
      <c r="W30" s="705">
        <f t="shared" si="12"/>
        <v>100</v>
      </c>
      <c r="X30" s="1350"/>
      <c r="Y30" s="3927"/>
      <c r="Z30" s="1351" t="str">
        <f t="shared" si="13"/>
        <v>土地级别</v>
      </c>
      <c r="AA30" s="1348">
        <f t="shared" si="3"/>
        <v>1</v>
      </c>
      <c r="AB30" s="1348">
        <f t="shared" si="4"/>
        <v>1</v>
      </c>
      <c r="AC30" s="1348">
        <f t="shared" si="5"/>
        <v>1</v>
      </c>
    </row>
    <row r="31" spans="1:29" ht="15">
      <c r="A31" s="357"/>
      <c r="B31" s="1958">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4"/>
      <c r="P31" s="3927"/>
      <c r="Q31" s="1347">
        <f t="shared" si="8"/>
        <v>111</v>
      </c>
      <c r="R31" s="704" t="s">
        <v>14</v>
      </c>
      <c r="S31" s="705">
        <f t="shared" si="10"/>
        <v>100</v>
      </c>
      <c r="T31" s="704" t="s">
        <v>14</v>
      </c>
      <c r="U31" s="705">
        <f t="shared" si="11"/>
        <v>100</v>
      </c>
      <c r="V31" s="704" t="s">
        <v>14</v>
      </c>
      <c r="W31" s="705">
        <f t="shared" si="12"/>
        <v>100</v>
      </c>
      <c r="X31" s="1350"/>
      <c r="Y31" s="3927"/>
      <c r="Z31" s="1351">
        <f t="shared" si="13"/>
        <v>111</v>
      </c>
      <c r="AA31" s="1348">
        <f t="shared" si="3"/>
        <v>1</v>
      </c>
      <c r="AB31" s="1348">
        <f t="shared" si="4"/>
        <v>1</v>
      </c>
      <c r="AC31" s="1348">
        <f t="shared" si="5"/>
        <v>1</v>
      </c>
    </row>
    <row r="32" spans="1:29" ht="15">
      <c r="A32" s="622"/>
      <c r="B32" s="1984">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2"/>
      <c r="M32" s="2706"/>
      <c r="N32" s="2706"/>
      <c r="O32" s="2764"/>
      <c r="P32" s="3928" t="s">
        <v>1696</v>
      </c>
      <c r="Q32" s="1347">
        <f t="shared" si="8"/>
        <v>111</v>
      </c>
      <c r="R32" s="704" t="s">
        <v>14</v>
      </c>
      <c r="S32" s="705">
        <f t="shared" si="10"/>
        <v>100</v>
      </c>
      <c r="T32" s="704" t="s">
        <v>14</v>
      </c>
      <c r="U32" s="705">
        <f t="shared" si="11"/>
        <v>100</v>
      </c>
      <c r="V32" s="704" t="s">
        <v>14</v>
      </c>
      <c r="W32" s="705">
        <f t="shared" si="12"/>
        <v>100</v>
      </c>
      <c r="X32" s="1350"/>
      <c r="Y32" s="3929" t="s">
        <v>1696</v>
      </c>
      <c r="Z32" s="1351">
        <f t="shared" si="13"/>
        <v>111</v>
      </c>
      <c r="AA32" s="1348">
        <f t="shared" si="3"/>
        <v>1</v>
      </c>
      <c r="AB32" s="1348">
        <f t="shared" si="4"/>
        <v>1</v>
      </c>
      <c r="AC32" s="1348">
        <f t="shared" si="5"/>
        <v>1</v>
      </c>
    </row>
    <row r="33" spans="1:31" s="421" customFormat="1" ht="15.75" thickBot="1">
      <c r="A33" s="623"/>
      <c r="B33" s="1985">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1"/>
      <c r="M33" s="2713"/>
      <c r="N33" s="2713"/>
      <c r="O33" s="2765"/>
      <c r="P33" s="3929"/>
      <c r="Q33" s="1347">
        <f t="shared" si="8"/>
        <v>111</v>
      </c>
      <c r="R33" s="707" t="s">
        <v>14</v>
      </c>
      <c r="S33" s="708">
        <f t="shared" si="10"/>
        <v>100</v>
      </c>
      <c r="T33" s="707" t="s">
        <v>14</v>
      </c>
      <c r="U33" s="708">
        <f t="shared" si="11"/>
        <v>100</v>
      </c>
      <c r="V33" s="707" t="s">
        <v>14</v>
      </c>
      <c r="W33" s="708">
        <f t="shared" si="12"/>
        <v>100</v>
      </c>
      <c r="X33" s="709"/>
      <c r="Y33" s="3929"/>
      <c r="Z33" s="710">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2"/>
      <c r="M34" s="2706"/>
      <c r="N34" s="2706"/>
      <c r="O34" s="2764"/>
      <c r="P34" s="3929"/>
      <c r="Q34" s="1347" t="str">
        <f>B34</f>
        <v>宗地面积</v>
      </c>
      <c r="R34" s="704" t="s">
        <v>14</v>
      </c>
      <c r="S34" s="705" t="e">
        <f t="shared" si="10"/>
        <v>#N/A</v>
      </c>
      <c r="T34" s="704" t="s">
        <v>14</v>
      </c>
      <c r="U34" s="705" t="e">
        <f t="shared" si="11"/>
        <v>#N/A</v>
      </c>
      <c r="V34" s="704" t="s">
        <v>14</v>
      </c>
      <c r="W34" s="705" t="e">
        <f t="shared" si="12"/>
        <v>#N/A</v>
      </c>
      <c r="X34" s="1350"/>
      <c r="Y34" s="3929"/>
      <c r="Z34" s="1351" t="str">
        <f t="shared" si="13"/>
        <v>宗地面积</v>
      </c>
      <c r="AA34" s="1348" t="e">
        <f t="shared" si="3"/>
        <v>#N/A</v>
      </c>
      <c r="AB34" s="1348" t="e">
        <f t="shared" si="4"/>
        <v>#N/A</v>
      </c>
      <c r="AC34" s="1348" t="e">
        <f t="shared" si="5"/>
        <v>#N/A</v>
      </c>
    </row>
    <row r="35" spans="1:31" ht="15">
      <c r="A35" s="422"/>
      <c r="B35" s="374" t="s">
        <v>1875</v>
      </c>
      <c r="C35" s="1900"/>
      <c r="D35" s="385">
        <v>100</v>
      </c>
      <c r="E35" s="1900"/>
      <c r="F35" s="385">
        <f>SUMIF(110:110,E35,111:111)-SUMIF(110:110,C35,111:111)+100</f>
        <v>100</v>
      </c>
      <c r="G35" s="1900"/>
      <c r="H35" s="385">
        <f>SUMIF(110:110,G35,111:111)-SUMIF(110:110,C35,111:111)+100</f>
        <v>100</v>
      </c>
      <c r="I35" s="1900"/>
      <c r="J35" s="385">
        <f>SUMIF(110:110,I35,111:111)-SUMIF(110:110,C35,111:111)+100</f>
        <v>100</v>
      </c>
      <c r="K35" s="560"/>
      <c r="L35" s="2712"/>
      <c r="M35" s="2706"/>
      <c r="N35" s="2706"/>
      <c r="O35" s="2764"/>
      <c r="P35" s="3929"/>
      <c r="Q35" s="1347" t="str">
        <f t="shared" ref="Q35:Q40" si="14">B35</f>
        <v>宗地形状</v>
      </c>
      <c r="R35" s="704" t="s">
        <v>14</v>
      </c>
      <c r="S35" s="705">
        <f t="shared" si="10"/>
        <v>100</v>
      </c>
      <c r="T35" s="704" t="s">
        <v>14</v>
      </c>
      <c r="U35" s="705">
        <f t="shared" si="11"/>
        <v>100</v>
      </c>
      <c r="V35" s="704" t="s">
        <v>14</v>
      </c>
      <c r="W35" s="705">
        <f t="shared" si="12"/>
        <v>100</v>
      </c>
      <c r="X35" s="1350"/>
      <c r="Y35" s="3929"/>
      <c r="Z35" s="1351" t="str">
        <f t="shared" si="13"/>
        <v>宗地形状</v>
      </c>
      <c r="AA35" s="1348">
        <f t="shared" si="3"/>
        <v>1</v>
      </c>
      <c r="AB35" s="1348">
        <f t="shared" si="4"/>
        <v>1</v>
      </c>
      <c r="AC35" s="1348">
        <f t="shared" si="5"/>
        <v>1</v>
      </c>
    </row>
    <row r="36" spans="1:31" s="107" customFormat="1" ht="15">
      <c r="A36" s="423"/>
      <c r="B36" s="374" t="s">
        <v>1877</v>
      </c>
      <c r="C36" s="1972"/>
      <c r="D36" s="126">
        <v>100</v>
      </c>
      <c r="E36" s="1972"/>
      <c r="F36" s="385">
        <f>SUMIF(112:112,E36,113:113)-SUMIF(112:112,C36,113:113)+100</f>
        <v>100</v>
      </c>
      <c r="G36" s="1972"/>
      <c r="H36" s="385">
        <f>SUMIF(112:112,G36,113:113)-SUMIF(112:112,C36,113:113)+100</f>
        <v>100</v>
      </c>
      <c r="I36" s="1972"/>
      <c r="J36" s="385">
        <f>SUMIF(112:112,I36,113:113)-SUMIF(112:112,C36,113:113)+100</f>
        <v>100</v>
      </c>
      <c r="K36" s="560"/>
      <c r="L36" s="2707"/>
      <c r="M36" s="2708"/>
      <c r="N36" s="2708"/>
      <c r="O36" s="2762"/>
      <c r="P36" s="3929"/>
      <c r="Q36" s="1347" t="str">
        <f t="shared" si="14"/>
        <v>宗地开发程度</v>
      </c>
      <c r="R36" s="700" t="s">
        <v>14</v>
      </c>
      <c r="S36" s="701">
        <f t="shared" si="10"/>
        <v>100</v>
      </c>
      <c r="T36" s="700" t="s">
        <v>14</v>
      </c>
      <c r="U36" s="701">
        <f t="shared" si="11"/>
        <v>100</v>
      </c>
      <c r="V36" s="700" t="s">
        <v>14</v>
      </c>
      <c r="W36" s="701">
        <f t="shared" si="12"/>
        <v>100</v>
      </c>
      <c r="X36" s="702"/>
      <c r="Y36" s="3929"/>
      <c r="Z36" s="52" t="str">
        <f t="shared" si="13"/>
        <v>宗地开发程度</v>
      </c>
      <c r="AA36" s="703">
        <f t="shared" si="3"/>
        <v>1</v>
      </c>
      <c r="AB36" s="703">
        <f t="shared" si="4"/>
        <v>1</v>
      </c>
      <c r="AC36" s="703">
        <f t="shared" si="5"/>
        <v>1</v>
      </c>
    </row>
    <row r="37" spans="1:31" ht="15">
      <c r="A37" s="422"/>
      <c r="B37" s="374" t="s">
        <v>1878</v>
      </c>
      <c r="C37" s="1900"/>
      <c r="D37" s="385">
        <v>100</v>
      </c>
      <c r="E37" s="1900"/>
      <c r="F37" s="385">
        <f>SUMIF(114:114,E37,115:115)-SUMIF(114:114,C37,115:115)+100</f>
        <v>100</v>
      </c>
      <c r="G37" s="1900"/>
      <c r="H37" s="385">
        <f>SUMIF(114:114,G37,115:115)-SUMIF(114:114,C37,115:115)+100</f>
        <v>100</v>
      </c>
      <c r="I37" s="1900"/>
      <c r="J37" s="385">
        <f>SUMIF(114:114,I37,115:115)-SUMIF(114:114,C37,115:115)+100</f>
        <v>100</v>
      </c>
      <c r="K37" s="560"/>
      <c r="L37" s="2712"/>
      <c r="M37" s="2706"/>
      <c r="N37" s="2706"/>
      <c r="O37" s="2764"/>
      <c r="P37" s="3929" t="s">
        <v>1696</v>
      </c>
      <c r="Q37" s="1347" t="str">
        <f t="shared" si="14"/>
        <v>工程地质条件</v>
      </c>
      <c r="R37" s="704" t="s">
        <v>14</v>
      </c>
      <c r="S37" s="705">
        <f t="shared" si="10"/>
        <v>100</v>
      </c>
      <c r="T37" s="704" t="s">
        <v>14</v>
      </c>
      <c r="U37" s="705">
        <f t="shared" si="11"/>
        <v>100</v>
      </c>
      <c r="V37" s="704" t="s">
        <v>14</v>
      </c>
      <c r="W37" s="705">
        <f t="shared" si="12"/>
        <v>100</v>
      </c>
      <c r="X37" s="1350"/>
      <c r="Y37" s="3929"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2"/>
      <c r="M38" s="2706"/>
      <c r="N38" s="2706"/>
      <c r="O38" s="2764"/>
      <c r="P38" s="3929"/>
      <c r="Q38" s="1347">
        <f t="shared" si="14"/>
        <v>111</v>
      </c>
      <c r="R38" s="704" t="s">
        <v>14</v>
      </c>
      <c r="S38" s="705">
        <f t="shared" si="10"/>
        <v>100</v>
      </c>
      <c r="T38" s="704" t="s">
        <v>14</v>
      </c>
      <c r="U38" s="705">
        <f t="shared" si="11"/>
        <v>100</v>
      </c>
      <c r="V38" s="704" t="s">
        <v>14</v>
      </c>
      <c r="W38" s="705">
        <f t="shared" si="12"/>
        <v>100</v>
      </c>
      <c r="X38" s="1350"/>
      <c r="Y38" s="3929"/>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2"/>
      <c r="M39" s="2706"/>
      <c r="N39" s="2706"/>
      <c r="O39" s="2764"/>
      <c r="P39" s="3929"/>
      <c r="Q39" s="1347">
        <f t="shared" si="14"/>
        <v>111</v>
      </c>
      <c r="R39" s="704" t="s">
        <v>14</v>
      </c>
      <c r="S39" s="705">
        <f t="shared" si="10"/>
        <v>100</v>
      </c>
      <c r="T39" s="704" t="s">
        <v>14</v>
      </c>
      <c r="U39" s="705">
        <f t="shared" si="11"/>
        <v>100</v>
      </c>
      <c r="V39" s="704" t="s">
        <v>14</v>
      </c>
      <c r="W39" s="705">
        <f t="shared" si="12"/>
        <v>100</v>
      </c>
      <c r="X39" s="1350"/>
      <c r="Y39" s="3929"/>
      <c r="Z39" s="1351">
        <f t="shared" si="13"/>
        <v>111</v>
      </c>
      <c r="AA39" s="1348">
        <f t="shared" si="3"/>
        <v>1</v>
      </c>
      <c r="AB39" s="1348">
        <f t="shared" si="4"/>
        <v>1</v>
      </c>
      <c r="AC39" s="1348">
        <f t="shared" si="5"/>
        <v>1</v>
      </c>
    </row>
    <row r="40" spans="1:31" s="421" customFormat="1" ht="15.75" thickBot="1">
      <c r="A40" s="418"/>
      <c r="B40" s="1130">
        <v>111</v>
      </c>
      <c r="C40" s="1973"/>
      <c r="D40" s="127">
        <v>100</v>
      </c>
      <c r="E40" s="621"/>
      <c r="F40" s="388">
        <f>SUMIF(120:120,E40,121:121)-SUMIF(120:120,C40,121:121)+100</f>
        <v>100</v>
      </c>
      <c r="G40" s="621"/>
      <c r="H40" s="388">
        <f>SUMIF(120:120,G40,121:121)-SUMIF(120:120,C40,121:121)+100</f>
        <v>100</v>
      </c>
      <c r="I40" s="497"/>
      <c r="J40" s="388">
        <f>SUMIF(120:120,I40,121:121)-SUMIF(120:120,C40,121:121)+100</f>
        <v>100</v>
      </c>
      <c r="K40" s="628"/>
      <c r="L40" s="2711"/>
      <c r="M40" s="2713"/>
      <c r="N40" s="2713"/>
      <c r="O40" s="2765"/>
      <c r="P40" s="3929"/>
      <c r="Q40" s="1347">
        <f t="shared" si="14"/>
        <v>111</v>
      </c>
      <c r="R40" s="707" t="s">
        <v>14</v>
      </c>
      <c r="S40" s="708">
        <f t="shared" si="10"/>
        <v>100</v>
      </c>
      <c r="T40" s="707" t="s">
        <v>14</v>
      </c>
      <c r="U40" s="708">
        <f t="shared" si="11"/>
        <v>100</v>
      </c>
      <c r="V40" s="707" t="s">
        <v>14</v>
      </c>
      <c r="W40" s="708">
        <f t="shared" si="12"/>
        <v>100</v>
      </c>
      <c r="X40" s="709"/>
      <c r="Y40" s="3929"/>
      <c r="Z40" s="710">
        <f t="shared" si="13"/>
        <v>111</v>
      </c>
      <c r="AA40" s="1348">
        <f t="shared" si="3"/>
        <v>1</v>
      </c>
      <c r="AB40" s="1348">
        <f t="shared" si="4"/>
        <v>1</v>
      </c>
      <c r="AC40" s="1348">
        <f t="shared" si="5"/>
        <v>1</v>
      </c>
    </row>
    <row r="41" spans="1:31" ht="15">
      <c r="A41" s="429" t="s">
        <v>1844</v>
      </c>
      <c r="B41" s="1974" t="s">
        <v>1922</v>
      </c>
      <c r="C41" s="629" t="s">
        <v>0</v>
      </c>
      <c r="D41" s="431"/>
      <c r="E41" s="432"/>
      <c r="F41" s="433"/>
      <c r="G41" s="434"/>
      <c r="H41" s="435"/>
      <c r="I41" s="432"/>
      <c r="J41" s="435"/>
      <c r="K41" s="713"/>
      <c r="L41" s="2714"/>
      <c r="M41" s="2706"/>
      <c r="N41" s="2706"/>
      <c r="O41" s="2715"/>
      <c r="P41" s="3911" t="str">
        <f>A41</f>
        <v>成交单价</v>
      </c>
      <c r="Q41" s="3911"/>
      <c r="R41" s="3924">
        <f>E41</f>
        <v>0</v>
      </c>
      <c r="S41" s="3924"/>
      <c r="T41" s="3924">
        <f>G41</f>
        <v>0</v>
      </c>
      <c r="U41" s="3924"/>
      <c r="V41" s="3924">
        <f>I41</f>
        <v>0</v>
      </c>
      <c r="W41" s="3924"/>
      <c r="X41" s="689"/>
      <c r="Y41" s="711"/>
      <c r="Z41" s="689"/>
      <c r="AA41" s="689"/>
      <c r="AB41" s="689"/>
      <c r="AC41" s="689"/>
    </row>
    <row r="42" spans="1:31" ht="15.75" thickBot="1">
      <c r="A42" s="436" t="s">
        <v>1793</v>
      </c>
      <c r="B42" s="630"/>
      <c r="C42" s="439" t="e">
        <f>R43</f>
        <v>#DIV/0!</v>
      </c>
      <c r="D42" s="2309" t="s">
        <v>2137</v>
      </c>
      <c r="E42" s="439" t="e">
        <f>R42</f>
        <v>#DIV/0!</v>
      </c>
      <c r="F42" s="2310"/>
      <c r="G42" s="438" t="e">
        <f>T42</f>
        <v>#DIV/0!</v>
      </c>
      <c r="H42" s="2310"/>
      <c r="I42" s="439" t="e">
        <f>V42</f>
        <v>#DIV/0!</v>
      </c>
      <c r="J42" s="2310"/>
      <c r="K42" s="2312">
        <f>F42+H42+J42</f>
        <v>0</v>
      </c>
      <c r="L42" s="2714"/>
      <c r="M42" s="2706"/>
      <c r="N42" s="2706"/>
      <c r="O42" s="2715"/>
      <c r="P42" s="3911" t="str">
        <f>A42</f>
        <v>比较价值（元/平方米）</v>
      </c>
      <c r="Q42" s="3911"/>
      <c r="R42" s="3930" t="e">
        <f>ROUND(PRODUCT(R41,AA7:AA40),0)</f>
        <v>#DIV/0!</v>
      </c>
      <c r="S42" s="3930"/>
      <c r="T42" s="3930" t="e">
        <f>ROUND(PRODUCT(T41,AB7:AB40),0)</f>
        <v>#DIV/0!</v>
      </c>
      <c r="U42" s="3930"/>
      <c r="V42" s="3930" t="e">
        <f>ROUND(PRODUCT(V41,AC7:AC40),0)</f>
        <v>#DIV/0!</v>
      </c>
      <c r="W42" s="393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14"/>
      <c r="M43" s="2706"/>
      <c r="N43" s="2706"/>
      <c r="O43" s="2715"/>
      <c r="P43" s="3931" t="str">
        <f>A43</f>
        <v>估价对象XX用房的比较价值（楼面单价，元/平方米）</v>
      </c>
      <c r="Q43" s="3932"/>
      <c r="R43" s="3933" t="e">
        <f>ROUND(IF(D42="简单平均",AVERAGE(R42:W42),R42*F42+T42*H42+V42*J42),0)</f>
        <v>#DIV/0!</v>
      </c>
      <c r="S43" s="3933"/>
      <c r="T43" s="3933"/>
      <c r="U43" s="3933"/>
      <c r="V43" s="3933"/>
      <c r="W43" s="3933"/>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1881</v>
      </c>
      <c r="B50" s="632" t="s">
        <v>1882</v>
      </c>
      <c r="C50" s="1975" t="s">
        <v>1883</v>
      </c>
      <c r="D50" s="1976" t="s">
        <v>1884</v>
      </c>
      <c r="E50" s="633" t="s">
        <v>1885</v>
      </c>
      <c r="F50" s="634" t="s">
        <v>1886</v>
      </c>
      <c r="G50" s="3912" t="s">
        <v>1887</v>
      </c>
      <c r="H50" s="3934"/>
      <c r="I50" s="1351" t="s">
        <v>1923</v>
      </c>
      <c r="J50" s="1351" t="str">
        <f>项目基本情况!F35</f>
        <v>河南省</v>
      </c>
      <c r="K50" s="1978"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1890</v>
      </c>
      <c r="B51" s="636" t="e">
        <f>C43</f>
        <v>#DIV/0!</v>
      </c>
      <c r="C51" s="637">
        <v>1</v>
      </c>
      <c r="D51" s="940">
        <v>1</v>
      </c>
      <c r="E51" s="637">
        <f>'数据-汇总表'!E8+'数据-汇总表'!E9</f>
        <v>135358.07999999999</v>
      </c>
      <c r="F51" s="638" t="e">
        <f t="shared" ref="F51:F60" si="15">ROUND(B51*E51/10000,0)</f>
        <v>#DIV/0!</v>
      </c>
      <c r="G51" s="3935"/>
      <c r="H51" s="3911"/>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1891</v>
      </c>
      <c r="B52" s="217" t="e">
        <f>ROUND($C$43*C52*D52,0)</f>
        <v>#DIV/0!</v>
      </c>
      <c r="C52" s="170">
        <f t="shared" ref="C52:C60" si="16">IF($C$50="北京市系数",I52,J52)</f>
        <v>0.6</v>
      </c>
      <c r="D52" s="941">
        <v>0.25</v>
      </c>
      <c r="E52" s="641"/>
      <c r="F52" s="638" t="e">
        <f t="shared" si="15"/>
        <v>#DIV/0!</v>
      </c>
      <c r="G52" s="2992" t="s">
        <v>1892</v>
      </c>
      <c r="H52" s="883" t="str">
        <f>项目基本情况!B37</f>
        <v>三级</v>
      </c>
      <c r="I52" s="769">
        <f>SUMIF(修正!A57:A68,H52,修正!B57:B68)</f>
        <v>0.6</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1893</v>
      </c>
      <c r="B53" s="217" t="e">
        <f t="shared" ref="B53:B60" si="17">ROUND($C$43*C53*D53,0)</f>
        <v>#DIV/0!</v>
      </c>
      <c r="C53" s="170">
        <f t="shared" si="16"/>
        <v>0.3</v>
      </c>
      <c r="D53" s="941">
        <v>0.25</v>
      </c>
      <c r="E53" s="641"/>
      <c r="F53" s="638" t="e">
        <f t="shared" si="15"/>
        <v>#DIV/0!</v>
      </c>
      <c r="G53" s="2993"/>
      <c r="H53" s="883" t="str">
        <f>项目基本情况!B37</f>
        <v>三级</v>
      </c>
      <c r="I53" s="769">
        <f>SUMIF(修正!A57:A68,H53,修正!C57:C68)</f>
        <v>0.3</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1894</v>
      </c>
      <c r="B54" s="217" t="e">
        <f t="shared" si="17"/>
        <v>#DIV/0!</v>
      </c>
      <c r="C54" s="170">
        <f t="shared" si="16"/>
        <v>0.25</v>
      </c>
      <c r="D54" s="941">
        <v>0.25</v>
      </c>
      <c r="E54" s="641"/>
      <c r="F54" s="638" t="e">
        <f t="shared" si="15"/>
        <v>#DIV/0!</v>
      </c>
      <c r="G54" s="2993"/>
      <c r="H54" s="883" t="str">
        <f>项目基本情况!B37</f>
        <v>三级</v>
      </c>
      <c r="I54" s="769">
        <f>SUMIF(修正!A57:A68,H54,修正!D57:D68)</f>
        <v>0.25</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7"/>
      <c r="C55" s="170"/>
      <c r="D55" s="941"/>
      <c r="E55" s="641"/>
      <c r="F55" s="638"/>
      <c r="G55" s="2994"/>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1895</v>
      </c>
      <c r="B56" s="217" t="e">
        <f t="shared" si="17"/>
        <v>#DIV/0!</v>
      </c>
      <c r="C56" s="170">
        <f t="shared" si="16"/>
        <v>0.25</v>
      </c>
      <c r="D56" s="941">
        <v>0.25</v>
      </c>
      <c r="E56" s="216">
        <f>'数据-汇总表'!E11</f>
        <v>0</v>
      </c>
      <c r="F56" s="638" t="e">
        <f t="shared" si="15"/>
        <v>#DIV/0!</v>
      </c>
      <c r="G56" s="1979" t="s">
        <v>1896</v>
      </c>
      <c r="H56" s="883" t="str">
        <f>项目基本情况!C37</f>
        <v>三级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1897</v>
      </c>
      <c r="B57" s="217" t="e">
        <f t="shared" si="17"/>
        <v>#DIV/0!</v>
      </c>
      <c r="C57" s="170">
        <f t="shared" si="16"/>
        <v>0.25</v>
      </c>
      <c r="D57" s="941">
        <v>0.25</v>
      </c>
      <c r="E57" s="216">
        <f>'数据-汇总表'!E12</f>
        <v>0</v>
      </c>
      <c r="F57" s="638" t="e">
        <f t="shared" si="15"/>
        <v>#DIV/0!</v>
      </c>
      <c r="G57" s="888" t="s">
        <v>1898</v>
      </c>
      <c r="H57" s="883" t="str">
        <f>IF(G57="商业",项目基本情况!B37,IF(G57="办公",项目基本情况!C37,IF(G57="住宅",项目基本情况!D37,项目基本情况!E37)))</f>
        <v>三级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1899</v>
      </c>
      <c r="B58" s="217" t="e">
        <f t="shared" si="17"/>
        <v>#DIV/0!</v>
      </c>
      <c r="C58" s="170">
        <f t="shared" si="16"/>
        <v>0</v>
      </c>
      <c r="D58" s="941">
        <v>0.25</v>
      </c>
      <c r="E58" s="216">
        <f>'数据-汇总表'!E13</f>
        <v>28431.67</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1901</v>
      </c>
      <c r="B59" s="217" t="e">
        <f t="shared" si="17"/>
        <v>#DIV/0!</v>
      </c>
      <c r="C59" s="170">
        <f t="shared" si="16"/>
        <v>0.15</v>
      </c>
      <c r="D59" s="941">
        <v>0.25</v>
      </c>
      <c r="E59" s="216">
        <f>'数据-汇总表'!E14</f>
        <v>0</v>
      </c>
      <c r="F59" s="638" t="e">
        <f t="shared" si="15"/>
        <v>#DIV/0!</v>
      </c>
      <c r="G59" s="1979" t="s">
        <v>1892</v>
      </c>
      <c r="H59" s="883" t="str">
        <f>项目基本情况!B37</f>
        <v>三级</v>
      </c>
      <c r="I59" s="769">
        <f>SUMIF(修正!A57:A68,H59,修正!G57:G68)</f>
        <v>0.15</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1902</v>
      </c>
      <c r="B60" s="217" t="e">
        <f t="shared" si="17"/>
        <v>#DIV/0!</v>
      </c>
      <c r="C60" s="170">
        <f t="shared" si="16"/>
        <v>0.15</v>
      </c>
      <c r="D60" s="941">
        <v>0.25</v>
      </c>
      <c r="E60" s="216">
        <f>'数据-汇总表'!E15</f>
        <v>0</v>
      </c>
      <c r="F60" s="638" t="e">
        <f t="shared" si="15"/>
        <v>#DIV/0!</v>
      </c>
      <c r="G60" s="1980" t="s">
        <v>1896</v>
      </c>
      <c r="H60" s="893" t="str">
        <f>项目基本情况!C37</f>
        <v>三级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1903</v>
      </c>
      <c r="B61" s="643" t="s">
        <v>22</v>
      </c>
      <c r="C61" s="643" t="s">
        <v>23</v>
      </c>
      <c r="D61" s="643" t="s">
        <v>392</v>
      </c>
      <c r="E61" s="643">
        <f>IF(B41="楼面地价",SUM(E51:E60),'数据-汇总表'!D3)</f>
        <v>61753.05</v>
      </c>
      <c r="F61" s="644"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15"/>
      <c r="Q63" s="2715"/>
      <c r="R63" s="2715"/>
      <c r="S63" s="2715"/>
      <c r="T63" s="2715"/>
      <c r="U63" s="2715"/>
      <c r="V63" s="2715"/>
      <c r="W63" s="2715"/>
      <c r="X63" s="2715"/>
      <c r="Y63" s="2715"/>
      <c r="Z63" s="2715"/>
      <c r="AA63" s="2715"/>
      <c r="AB63" s="2715"/>
      <c r="AC63" s="2715"/>
      <c r="AD63" s="2715"/>
      <c r="AE63" s="2715"/>
    </row>
    <row r="64" spans="1:31" ht="21.75" thickBot="1">
      <c r="A64" s="693" t="s">
        <v>1798</v>
      </c>
      <c r="B64" s="689"/>
      <c r="C64" s="694"/>
      <c r="D64" s="694"/>
      <c r="E64" s="694"/>
      <c r="F64" s="695"/>
      <c r="G64" s="695"/>
      <c r="H64" s="694"/>
      <c r="I64" s="694"/>
      <c r="J64" s="694"/>
      <c r="K64" s="696"/>
      <c r="L64" s="697"/>
      <c r="M64" s="694"/>
      <c r="N64" s="694"/>
      <c r="O64" s="936"/>
      <c r="P64" s="2759"/>
      <c r="Q64" s="2729"/>
      <c r="R64" s="2715"/>
      <c r="S64" s="2715"/>
      <c r="T64" s="2715"/>
      <c r="U64" s="2715"/>
      <c r="V64" s="2715"/>
      <c r="W64" s="2715"/>
      <c r="X64" s="2715"/>
      <c r="Y64" s="2715"/>
      <c r="Z64" s="2715"/>
      <c r="AA64" s="2715"/>
      <c r="AB64" s="2715"/>
      <c r="AC64" s="2715"/>
      <c r="AD64" s="2715"/>
      <c r="AE64" s="2715"/>
    </row>
    <row r="65" spans="1:31" s="456" customFormat="1" ht="15">
      <c r="A65" s="1981" t="s">
        <v>1904</v>
      </c>
      <c r="B65" s="1105"/>
      <c r="C65" s="1177" t="str">
        <f>YEAR(C63)&amp;"-"&amp;ROUNDUP(MONTH(C63)/3,0)</f>
        <v>2023-1</v>
      </c>
      <c r="D65" s="1177" t="str">
        <f t="shared" ref="D65:O65" si="19">YEAR(D63)&amp;"-"&amp;ROUNDUP(MONTH(D63)/3,0)</f>
        <v>2022-4</v>
      </c>
      <c r="E65" s="1177" t="str">
        <f t="shared" si="19"/>
        <v>2022-3</v>
      </c>
      <c r="F65" s="1177" t="str">
        <f t="shared" si="19"/>
        <v>2022-2</v>
      </c>
      <c r="G65" s="1177" t="str">
        <f t="shared" si="19"/>
        <v>2022-1</v>
      </c>
      <c r="H65" s="1177" t="str">
        <f t="shared" si="19"/>
        <v>2021-4</v>
      </c>
      <c r="I65" s="1177" t="str">
        <f t="shared" si="19"/>
        <v>2021-3</v>
      </c>
      <c r="J65" s="1177" t="str">
        <f t="shared" si="19"/>
        <v>2021-2</v>
      </c>
      <c r="K65" s="1177" t="str">
        <f t="shared" si="19"/>
        <v>2021-1</v>
      </c>
      <c r="L65" s="1177" t="str">
        <f t="shared" si="19"/>
        <v>2020-4</v>
      </c>
      <c r="M65" s="1177" t="str">
        <f t="shared" si="19"/>
        <v>2020-3</v>
      </c>
      <c r="N65" s="1177" t="str">
        <f t="shared" si="19"/>
        <v>2020-2</v>
      </c>
      <c r="O65" s="1177" t="str">
        <f t="shared" si="19"/>
        <v>2020-1</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6"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5"/>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3" t="s">
        <v>1716</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7" customFormat="1" ht="15">
      <c r="A68" s="469" t="s">
        <v>1681</v>
      </c>
      <c r="B68" s="458"/>
      <c r="C68" s="470" t="s">
        <v>1776</v>
      </c>
      <c r="D68" s="471"/>
      <c r="E68" s="471"/>
      <c r="F68" s="471"/>
      <c r="G68" s="471"/>
      <c r="H68" s="471"/>
      <c r="I68" s="471"/>
      <c r="J68" s="471"/>
      <c r="K68" s="471"/>
      <c r="L68" s="472"/>
      <c r="M68" s="473"/>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9"/>
      <c r="B69" s="458"/>
      <c r="C69" s="586">
        <v>100</v>
      </c>
      <c r="D69" s="460"/>
      <c r="E69" s="460"/>
      <c r="F69" s="460"/>
      <c r="G69" s="460"/>
      <c r="H69" s="460"/>
      <c r="I69" s="460"/>
      <c r="J69" s="460"/>
      <c r="K69" s="460"/>
      <c r="L69" s="460"/>
      <c r="M69" s="462"/>
      <c r="N69" s="2742"/>
      <c r="O69" s="2742"/>
      <c r="P69" s="2729"/>
      <c r="Q69" s="2729"/>
      <c r="R69" s="2652"/>
      <c r="S69" s="2652"/>
      <c r="T69" s="2652"/>
      <c r="U69" s="2652"/>
      <c r="V69" s="2652"/>
      <c r="W69" s="2652"/>
      <c r="X69" s="2652"/>
      <c r="Y69" s="2652"/>
      <c r="Z69" s="2652"/>
      <c r="AA69" s="2652"/>
      <c r="AB69" s="2652"/>
      <c r="AC69" s="2652"/>
      <c r="AD69" s="2652"/>
      <c r="AE69" s="2652"/>
    </row>
    <row r="70" spans="1:31">
      <c r="A70" s="475" t="s">
        <v>1719</v>
      </c>
      <c r="B70" s="476" t="s">
        <v>1685</v>
      </c>
      <c r="C70" s="478"/>
      <c r="D70" s="478"/>
      <c r="E70" s="478"/>
      <c r="F70" s="478"/>
      <c r="G70" s="478"/>
      <c r="H70" s="478"/>
      <c r="I70" s="478"/>
      <c r="J70" s="478"/>
      <c r="K70" s="479"/>
      <c r="L70" s="480"/>
      <c r="M70" s="481"/>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2"/>
      <c r="B72" s="486" t="s">
        <v>1688</v>
      </c>
      <c r="C72" s="487"/>
      <c r="D72" s="487"/>
      <c r="E72" s="487"/>
      <c r="F72" s="487"/>
      <c r="G72" s="487"/>
      <c r="H72" s="487"/>
      <c r="I72" s="487"/>
      <c r="J72" s="487"/>
      <c r="K72" s="488"/>
      <c r="L72" s="489"/>
      <c r="M72" s="490"/>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501"/>
      <c r="B78" s="491"/>
      <c r="C78" s="508"/>
      <c r="D78" s="484"/>
      <c r="E78" s="484"/>
      <c r="F78" s="484"/>
      <c r="G78" s="484"/>
      <c r="H78" s="484"/>
      <c r="I78" s="484"/>
      <c r="J78" s="484"/>
      <c r="K78" s="484"/>
      <c r="L78" s="484"/>
      <c r="M78" s="485"/>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501"/>
      <c r="B79" s="486">
        <f>B13</f>
        <v>111</v>
      </c>
      <c r="C79" s="502"/>
      <c r="D79" s="502"/>
      <c r="E79" s="502"/>
      <c r="F79" s="502"/>
      <c r="G79" s="502"/>
      <c r="H79" s="503"/>
      <c r="I79" s="503"/>
      <c r="J79" s="503"/>
      <c r="K79" s="503"/>
      <c r="L79" s="504"/>
      <c r="M79" s="505"/>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501"/>
      <c r="B80" s="491"/>
      <c r="C80" s="508"/>
      <c r="D80" s="508"/>
      <c r="E80" s="508"/>
      <c r="F80" s="508"/>
      <c r="G80" s="508"/>
      <c r="H80" s="510"/>
      <c r="I80" s="510"/>
      <c r="J80" s="510"/>
      <c r="K80" s="510"/>
      <c r="L80" s="510"/>
      <c r="M80" s="511"/>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501"/>
      <c r="B81" s="494">
        <f>B14</f>
        <v>111</v>
      </c>
      <c r="C81" s="471"/>
      <c r="D81" s="471"/>
      <c r="E81" s="471"/>
      <c r="F81" s="471"/>
      <c r="G81" s="471"/>
      <c r="H81" s="512"/>
      <c r="I81" s="512"/>
      <c r="J81" s="512"/>
      <c r="K81" s="512"/>
      <c r="L81" s="513"/>
      <c r="M81" s="514"/>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6"/>
      <c r="B82" s="517"/>
      <c r="C82" s="518"/>
      <c r="D82" s="518"/>
      <c r="E82" s="518"/>
      <c r="F82" s="518"/>
      <c r="G82" s="518"/>
      <c r="H82" s="519"/>
      <c r="I82" s="519"/>
      <c r="J82" s="519"/>
      <c r="K82" s="519"/>
      <c r="L82" s="519"/>
      <c r="M82" s="520"/>
      <c r="N82" s="2745"/>
      <c r="O82" s="2745"/>
      <c r="P82" s="2769"/>
      <c r="Q82" s="2736"/>
      <c r="R82" s="2737"/>
      <c r="S82" s="2737"/>
      <c r="T82" s="2737"/>
      <c r="U82" s="2737"/>
      <c r="V82" s="2737"/>
      <c r="W82" s="2737"/>
      <c r="X82" s="2737"/>
      <c r="Y82" s="2737"/>
      <c r="Z82" s="2737"/>
      <c r="AA82" s="2737"/>
      <c r="AB82" s="2737"/>
      <c r="AC82" s="2737"/>
      <c r="AD82" s="2737"/>
      <c r="AE82" s="2737"/>
    </row>
    <row r="83" spans="1:31">
      <c r="A83" s="475" t="s">
        <v>1690</v>
      </c>
      <c r="B83" s="476" t="s">
        <v>1829</v>
      </c>
      <c r="C83" s="521" t="s">
        <v>1721</v>
      </c>
      <c r="D83" s="521" t="s">
        <v>1722</v>
      </c>
      <c r="E83" s="521" t="s">
        <v>1723</v>
      </c>
      <c r="F83" s="521" t="s">
        <v>1724</v>
      </c>
      <c r="G83" s="521" t="s">
        <v>1725</v>
      </c>
      <c r="H83" s="477"/>
      <c r="I83" s="477"/>
      <c r="J83" s="477"/>
      <c r="K83" s="522"/>
      <c r="L83" s="523"/>
      <c r="M83" s="524"/>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2"/>
      <c r="B85" s="486" t="s">
        <v>1726</v>
      </c>
      <c r="C85" s="526" t="s">
        <v>1721</v>
      </c>
      <c r="D85" s="526" t="s">
        <v>1722</v>
      </c>
      <c r="E85" s="526" t="s">
        <v>1723</v>
      </c>
      <c r="F85" s="526" t="s">
        <v>1724</v>
      </c>
      <c r="G85" s="526" t="s">
        <v>1725</v>
      </c>
      <c r="H85" s="487"/>
      <c r="I85" s="487"/>
      <c r="J85" s="487"/>
      <c r="K85" s="488"/>
      <c r="L85" s="489"/>
      <c r="M85" s="490"/>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2"/>
      <c r="B97" s="486" t="s">
        <v>1815</v>
      </c>
      <c r="C97" s="502"/>
      <c r="D97" s="502"/>
      <c r="E97" s="502"/>
      <c r="F97" s="502"/>
      <c r="G97" s="502"/>
      <c r="H97" s="531"/>
      <c r="I97" s="531"/>
      <c r="J97" s="531"/>
      <c r="K97" s="532"/>
      <c r="L97" s="533"/>
      <c r="M97" s="534"/>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2"/>
      <c r="B99" s="486" t="s">
        <v>1873</v>
      </c>
      <c r="C99" s="531"/>
      <c r="D99" s="531"/>
      <c r="E99" s="531"/>
      <c r="F99" s="531"/>
      <c r="G99" s="531"/>
      <c r="H99" s="531"/>
      <c r="I99" s="531"/>
      <c r="J99" s="531"/>
      <c r="K99" s="532"/>
      <c r="L99" s="533"/>
      <c r="M99" s="534"/>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6">
        <f>B32</f>
        <v>111</v>
      </c>
      <c r="C103" s="502"/>
      <c r="D103" s="502"/>
      <c r="E103" s="502"/>
      <c r="F103" s="502"/>
      <c r="G103" s="531"/>
      <c r="H103" s="531"/>
      <c r="I103" s="531"/>
      <c r="J103" s="531"/>
      <c r="K103" s="532"/>
      <c r="L103" s="533"/>
      <c r="M103" s="534"/>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501"/>
      <c r="B106" s="494"/>
      <c r="C106" s="518"/>
      <c r="D106" s="518"/>
      <c r="E106" s="518"/>
      <c r="F106" s="518"/>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8" t="str">
        <f t="shared" si="25"/>
        <v>(含)-</v>
      </c>
      <c r="L107" s="1328" t="str">
        <f t="shared" si="25"/>
        <v>(含)-</v>
      </c>
      <c r="M107" s="1329"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1914</v>
      </c>
      <c r="C110" s="531"/>
      <c r="D110" s="531"/>
      <c r="E110" s="531"/>
      <c r="F110" s="531"/>
      <c r="G110" s="531"/>
      <c r="H110" s="531"/>
      <c r="I110" s="531"/>
      <c r="J110" s="531"/>
      <c r="K110" s="532"/>
      <c r="L110" s="533"/>
      <c r="M110" s="534"/>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1916</v>
      </c>
      <c r="C112" s="502"/>
      <c r="D112" s="502"/>
      <c r="E112" s="502"/>
      <c r="F112" s="502"/>
      <c r="G112" s="502"/>
      <c r="H112" s="531"/>
      <c r="I112" s="531"/>
      <c r="J112" s="531"/>
      <c r="K112" s="532"/>
      <c r="L112" s="533"/>
      <c r="M112" s="534"/>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7"/>
      <c r="B114" s="486" t="s">
        <v>1917</v>
      </c>
      <c r="C114" s="502"/>
      <c r="D114" s="502"/>
      <c r="E114" s="531"/>
      <c r="F114" s="531"/>
      <c r="G114" s="531"/>
      <c r="H114" s="531"/>
      <c r="I114" s="531"/>
      <c r="J114" s="531"/>
      <c r="K114" s="532"/>
      <c r="L114" s="533"/>
      <c r="M114" s="534"/>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6"/>
      <c r="B121" s="647"/>
      <c r="C121" s="518"/>
      <c r="D121" s="518"/>
      <c r="E121" s="518"/>
      <c r="F121" s="518"/>
      <c r="G121" s="539"/>
      <c r="H121" s="539"/>
      <c r="I121" s="539"/>
      <c r="J121" s="539"/>
      <c r="K121" s="539"/>
      <c r="L121" s="539"/>
      <c r="M121" s="540"/>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79" t="s">
        <v>2082</v>
      </c>
      <c r="C1" s="3998" t="s">
        <v>2083</v>
      </c>
      <c r="D1" s="3999"/>
      <c r="E1" s="3999"/>
      <c r="F1" s="3999"/>
      <c r="G1" s="3999"/>
      <c r="H1" s="3999"/>
      <c r="I1" s="3999"/>
      <c r="J1" s="3999"/>
      <c r="K1" s="3999"/>
      <c r="L1" s="3999"/>
      <c r="M1" s="3999"/>
      <c r="N1" s="3999"/>
      <c r="O1" s="3999"/>
      <c r="P1" s="3999"/>
      <c r="Q1" s="3999"/>
      <c r="R1" s="3999"/>
      <c r="S1" s="4000"/>
      <c r="T1" s="979" t="s">
        <v>2084</v>
      </c>
    </row>
    <row r="2" spans="1:45" s="654" customFormat="1">
      <c r="A2" s="980"/>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0"/>
      <c r="G3" s="1300"/>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4"/>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0"/>
      <c r="B5" s="1331" t="s">
        <v>2086</v>
      </c>
      <c r="C5" s="991"/>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0"/>
      <c r="B7" s="1332" t="s">
        <v>2087</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0"/>
      <c r="B9" s="1332" t="s">
        <v>2088</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0"/>
      <c r="B11" s="1331" t="s">
        <v>2089</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0"/>
      <c r="B13" s="1331" t="s">
        <v>2090</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0"/>
      <c r="B15" s="1331" t="s">
        <v>2091</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0" t="s">
        <v>2092</v>
      </c>
      <c r="B17" s="2141" t="s">
        <v>2093</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8"/>
      <c r="B19" s="158"/>
      <c r="C19" s="158"/>
      <c r="D19" s="2142" t="s">
        <v>2094</v>
      </c>
      <c r="E19" s="1335"/>
      <c r="F19" s="1335"/>
      <c r="G19" s="1335"/>
      <c r="H19" s="1055"/>
      <c r="I19" s="158"/>
      <c r="J19" s="158"/>
      <c r="K19" s="158"/>
      <c r="L19" s="158"/>
      <c r="M19" s="158"/>
      <c r="N19" s="158"/>
      <c r="O19" s="158"/>
      <c r="P19" s="158"/>
      <c r="Q19" s="158"/>
      <c r="R19" s="717"/>
      <c r="S19" s="128"/>
    </row>
    <row r="20" spans="1:45" ht="16.5" thickBot="1">
      <c r="A20" s="661" t="s">
        <v>2095</v>
      </c>
      <c r="B20" s="293" t="e">
        <f ca="1">IF(D20="——",S22,S22-F20)</f>
        <v>#REF!</v>
      </c>
      <c r="C20" s="158"/>
      <c r="D20" s="2143"/>
      <c r="E20" s="1336"/>
      <c r="F20" s="979" t="e">
        <f ca="1">SUMIF(INDIRECT("'"&amp;H20&amp;"'"&amp;"!A:A"),"承租人权益价值",INDIRECT("'"&amp;H20&amp;"'"&amp;"!c:c"))</f>
        <v>#REF!</v>
      </c>
      <c r="G20" s="979" t="s">
        <v>2096</v>
      </c>
      <c r="H20" s="2144"/>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995" t="s">
        <v>27</v>
      </c>
      <c r="D22" s="3996"/>
      <c r="E22" s="3996"/>
      <c r="F22" s="3996"/>
      <c r="G22" s="3996"/>
      <c r="H22" s="3996"/>
      <c r="I22" s="3996"/>
      <c r="J22" s="3996"/>
      <c r="K22" s="3996"/>
      <c r="L22" s="3996"/>
      <c r="M22" s="3996"/>
      <c r="N22" s="3996"/>
      <c r="O22" s="3996"/>
      <c r="P22" s="3996"/>
      <c r="Q22" s="3997"/>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spans="1:5" ht="18">
      <c r="A3" s="3682" t="str">
        <f>IF(项目基本情况!B9="房地产市场价值","估价结果一览表（市场价值不需“结果表-1”）","估价结果一览表")</f>
        <v>估价结果一览表</v>
      </c>
      <c r="B3" s="3682"/>
      <c r="C3" s="3682"/>
      <c r="D3" s="3682"/>
      <c r="E3" s="3682"/>
    </row>
    <row r="4" spans="1:5" ht="19.5" thickBot="1">
      <c r="A4" s="1488"/>
      <c r="B4" s="3680" t="s">
        <v>917</v>
      </c>
      <c r="C4" s="3680"/>
      <c r="D4" s="3680"/>
      <c r="E4" s="1488"/>
    </row>
    <row r="5" spans="1:5" ht="16.5" thickTop="1">
      <c r="A5" s="1486"/>
      <c r="B5" s="3678" t="s">
        <v>909</v>
      </c>
      <c r="C5" s="1489" t="s">
        <v>910</v>
      </c>
      <c r="D5" s="846">
        <f ca="1">结果表!H101</f>
        <v>161326</v>
      </c>
      <c r="E5" s="1486"/>
    </row>
    <row r="6" spans="1:5" ht="15.75">
      <c r="A6" s="1486"/>
      <c r="B6" s="3678"/>
      <c r="C6" s="1489" t="s">
        <v>911</v>
      </c>
      <c r="D6" s="846" t="str">
        <f ca="1">NUMBERSTRING(INT(D5*10000),2)&amp;"元整"</f>
        <v>壹拾陆亿壹仟叁佰贰拾陆万元整</v>
      </c>
      <c r="E6" s="1486"/>
    </row>
    <row r="7" spans="1:5" ht="15.75">
      <c r="A7" s="1486"/>
      <c r="B7" s="3683"/>
      <c r="C7" s="1490" t="s">
        <v>912</v>
      </c>
      <c r="D7" s="847">
        <f ca="1">结果表!H102</f>
        <v>8677</v>
      </c>
      <c r="E7" s="1486"/>
    </row>
    <row r="8" spans="1:5" ht="15.75">
      <c r="A8" s="1486"/>
      <c r="B8" s="3684" t="str">
        <f>结果表!E103</f>
        <v>2.估价师知悉的法定优先受偿款</v>
      </c>
      <c r="C8" s="1491" t="s">
        <v>913</v>
      </c>
      <c r="D8" s="847">
        <f>结果表!H103</f>
        <v>0</v>
      </c>
      <c r="E8" s="1486"/>
    </row>
    <row r="9" spans="1:5" ht="15.75">
      <c r="A9" s="1486"/>
      <c r="B9" s="3686"/>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677" t="str">
        <f>结果表!E107</f>
        <v>3.房地产抵押价值</v>
      </c>
      <c r="C13" s="1494" t="s">
        <v>910</v>
      </c>
      <c r="D13" s="849">
        <f ca="1">结果表!H107</f>
        <v>161326</v>
      </c>
      <c r="E13" s="1486"/>
    </row>
    <row r="14" spans="1:5" ht="15.75">
      <c r="A14" s="1486"/>
      <c r="B14" s="3678"/>
      <c r="C14" s="1489" t="s">
        <v>911</v>
      </c>
      <c r="D14" s="846" t="str">
        <f ca="1">NUMBERSTRING(INT(D13*10000),2)&amp;"元整"</f>
        <v>壹拾陆亿壹仟叁佰贰拾陆万元整</v>
      </c>
      <c r="E14" s="1486"/>
    </row>
    <row r="15" spans="1:5" ht="15">
      <c r="A15" s="1486"/>
      <c r="B15" s="3683"/>
      <c r="C15" s="1490" t="s">
        <v>921</v>
      </c>
      <c r="D15" s="855">
        <f ca="1">结果表!H108</f>
        <v>8677</v>
      </c>
      <c r="E15" s="1486"/>
    </row>
    <row r="16" spans="1:5" ht="15">
      <c r="A16" s="1486"/>
      <c r="B16" s="3684" t="str">
        <f>结果表!E109</f>
        <v>——</v>
      </c>
      <c r="C16" s="1494" t="s">
        <v>922</v>
      </c>
      <c r="D16" s="1495" t="str">
        <f>结果表!H109</f>
        <v>——</v>
      </c>
      <c r="E16" s="1486"/>
    </row>
    <row r="17" spans="1:5" ht="15.75">
      <c r="A17" s="1486"/>
      <c r="B17" s="3685"/>
      <c r="C17" s="1489" t="s">
        <v>923</v>
      </c>
      <c r="D17" s="846" t="e">
        <f>NUMBERSTRING(INT(D16*10000),2)&amp;"元整"</f>
        <v>#VALUE!</v>
      </c>
      <c r="E17" s="1486"/>
    </row>
    <row r="18" spans="1:5" ht="15">
      <c r="A18" s="1486"/>
      <c r="B18" s="3686"/>
      <c r="C18" s="1490" t="s">
        <v>912</v>
      </c>
      <c r="D18" s="855" t="str">
        <f>结果表!H110</f>
        <v>——</v>
      </c>
      <c r="E18" s="1486"/>
    </row>
    <row r="19" spans="1:5" ht="15.75">
      <c r="A19" s="1486"/>
      <c r="B19" s="3677" t="str">
        <f>结果表!E111</f>
        <v>——</v>
      </c>
      <c r="C19" s="1494" t="s">
        <v>910</v>
      </c>
      <c r="D19" s="847" t="str">
        <f>结果表!H111</f>
        <v>——</v>
      </c>
      <c r="E19" s="1486"/>
    </row>
    <row r="20" spans="1:5" ht="15.75">
      <c r="A20" s="1486"/>
      <c r="B20" s="3678"/>
      <c r="C20" s="1489" t="s">
        <v>923</v>
      </c>
      <c r="D20" s="846" t="e">
        <f>NUMBERSTRING(INT(D19*10000),2)&amp;"元整"</f>
        <v>#VALUE!</v>
      </c>
      <c r="E20" s="1486"/>
    </row>
    <row r="21" spans="1:5" ht="15.75" thickBot="1">
      <c r="A21" s="1486"/>
      <c r="B21" s="3679"/>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2593</v>
      </c>
      <c r="B1" s="3058" t="s">
        <v>2594</v>
      </c>
      <c r="C1" s="3058" t="s">
        <v>2595</v>
      </c>
      <c r="D1" s="3058" t="s">
        <v>2596</v>
      </c>
      <c r="E1" s="3058" t="s">
        <v>2597</v>
      </c>
      <c r="F1" s="3058" t="s">
        <v>2598</v>
      </c>
      <c r="G1" s="3058" t="s">
        <v>2599</v>
      </c>
      <c r="H1" s="3058" t="s">
        <v>2600</v>
      </c>
      <c r="I1" s="3058" t="s">
        <v>2601</v>
      </c>
      <c r="J1" s="3058" t="s">
        <v>2602</v>
      </c>
      <c r="K1" s="3058" t="s">
        <v>2603</v>
      </c>
      <c r="L1" s="3058" t="s">
        <v>2604</v>
      </c>
      <c r="M1" s="3059" t="s">
        <v>2605</v>
      </c>
    </row>
    <row r="2" spans="1:13" ht="19.5" customHeight="1">
      <c r="A2" s="3061" t="s">
        <v>2606</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2607</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2608</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2609</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2610</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2611</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2612</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2613</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2614</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2615</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2616</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2617</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2618</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2619</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2620</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2621</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2622</v>
      </c>
      <c r="B18" s="3083"/>
      <c r="C18" s="3084"/>
      <c r="D18" s="3084"/>
      <c r="E18" s="3083"/>
      <c r="F18" s="3084"/>
      <c r="G18" s="3084"/>
    </row>
    <row r="19" spans="1:13" ht="19.5" customHeight="1" thickBot="1">
      <c r="A19" s="3081" t="s">
        <v>2623</v>
      </c>
      <c r="B19" s="3086" t="s">
        <v>2624</v>
      </c>
      <c r="C19" s="3086" t="s">
        <v>2625</v>
      </c>
      <c r="D19" s="3087"/>
      <c r="E19" s="3081" t="s">
        <v>2626</v>
      </c>
      <c r="F19" s="3088"/>
      <c r="G19" s="3088"/>
    </row>
    <row r="20" spans="1:13" ht="19.5" customHeight="1">
      <c r="A20" s="4008" t="s">
        <v>2606</v>
      </c>
      <c r="B20" s="4001" t="s">
        <v>2627</v>
      </c>
      <c r="C20" s="3089" t="s">
        <v>2438</v>
      </c>
      <c r="D20" s="3090"/>
      <c r="E20" s="3091">
        <v>1</v>
      </c>
      <c r="F20" s="3092" t="s">
        <v>2439</v>
      </c>
      <c r="G20" s="3092"/>
    </row>
    <row r="21" spans="1:13" ht="19.5" customHeight="1">
      <c r="A21" s="4009"/>
      <c r="B21" s="4002"/>
      <c r="C21" s="3093" t="s">
        <v>2440</v>
      </c>
      <c r="D21" s="3094"/>
      <c r="E21" s="3095">
        <v>1</v>
      </c>
      <c r="F21" s="3092" t="s">
        <v>2441</v>
      </c>
      <c r="G21" s="3092"/>
    </row>
    <row r="22" spans="1:13" ht="19.5" customHeight="1">
      <c r="A22" s="4009"/>
      <c r="B22" s="4002"/>
      <c r="C22" s="3093" t="s">
        <v>2442</v>
      </c>
      <c r="D22" s="3094"/>
      <c r="E22" s="3095">
        <v>0.9</v>
      </c>
      <c r="F22" s="3092" t="s">
        <v>2443</v>
      </c>
      <c r="G22" s="3092"/>
    </row>
    <row r="23" spans="1:13" ht="19.5" customHeight="1">
      <c r="A23" s="4009"/>
      <c r="B23" s="4002"/>
      <c r="C23" s="3093" t="s">
        <v>2444</v>
      </c>
      <c r="D23" s="3094"/>
      <c r="E23" s="3095">
        <v>0.9</v>
      </c>
      <c r="F23" s="3092" t="s">
        <v>2445</v>
      </c>
      <c r="G23" s="3092"/>
    </row>
    <row r="24" spans="1:13" ht="19.5" customHeight="1">
      <c r="A24" s="4009"/>
      <c r="B24" s="4002"/>
      <c r="C24" s="3093" t="s">
        <v>2446</v>
      </c>
      <c r="D24" s="3094"/>
      <c r="E24" s="3095">
        <v>0.8</v>
      </c>
      <c r="F24" s="3092" t="s">
        <v>2447</v>
      </c>
      <c r="G24" s="3092"/>
    </row>
    <row r="25" spans="1:13" ht="19.5" customHeight="1" thickBot="1">
      <c r="A25" s="4010"/>
      <c r="B25" s="4003"/>
      <c r="C25" s="3096" t="s">
        <v>2448</v>
      </c>
      <c r="D25" s="3097"/>
      <c r="E25" s="3098">
        <v>0.8</v>
      </c>
      <c r="F25" s="3092" t="s">
        <v>2449</v>
      </c>
      <c r="G25" s="3092"/>
    </row>
    <row r="26" spans="1:13" ht="19.5" customHeight="1" thickBot="1">
      <c r="A26" s="3099" t="s">
        <v>2628</v>
      </c>
      <c r="B26" s="3100" t="s">
        <v>2627</v>
      </c>
      <c r="C26" s="3101" t="s">
        <v>2629</v>
      </c>
      <c r="D26" s="3102"/>
      <c r="E26" s="3103">
        <v>1</v>
      </c>
      <c r="F26" s="3092" t="s">
        <v>2450</v>
      </c>
      <c r="G26" s="3092"/>
    </row>
    <row r="27" spans="1:13" ht="19.5" customHeight="1">
      <c r="A27" s="4004" t="s">
        <v>2630</v>
      </c>
      <c r="B27" s="4001" t="s">
        <v>2611</v>
      </c>
      <c r="C27" s="3089" t="s">
        <v>2451</v>
      </c>
      <c r="D27" s="3090"/>
      <c r="E27" s="3091">
        <v>1</v>
      </c>
      <c r="F27" s="3092" t="s">
        <v>2452</v>
      </c>
      <c r="G27" s="3092"/>
    </row>
    <row r="28" spans="1:13" ht="19.5" customHeight="1">
      <c r="A28" s="4005"/>
      <c r="B28" s="4002"/>
      <c r="C28" s="3093" t="s">
        <v>2453</v>
      </c>
      <c r="D28" s="3094"/>
      <c r="E28" s="3095">
        <v>1</v>
      </c>
      <c r="F28" s="3092" t="s">
        <v>2454</v>
      </c>
      <c r="G28" s="3092"/>
    </row>
    <row r="29" spans="1:13" ht="19.5" customHeight="1">
      <c r="A29" s="4005"/>
      <c r="B29" s="4002"/>
      <c r="C29" s="3093" t="s">
        <v>2455</v>
      </c>
      <c r="D29" s="3094"/>
      <c r="E29" s="3095">
        <v>0.8</v>
      </c>
      <c r="F29" s="3092" t="s">
        <v>2456</v>
      </c>
      <c r="G29" s="3092"/>
    </row>
    <row r="30" spans="1:13" ht="19.5" customHeight="1">
      <c r="A30" s="4005"/>
      <c r="B30" s="4002"/>
      <c r="C30" s="3093" t="s">
        <v>2457</v>
      </c>
      <c r="D30" s="3094"/>
      <c r="E30" s="3095">
        <v>0.8</v>
      </c>
      <c r="F30" s="3092" t="s">
        <v>2458</v>
      </c>
      <c r="G30" s="3092"/>
    </row>
    <row r="31" spans="1:13" ht="19.5" customHeight="1">
      <c r="A31" s="4005"/>
      <c r="B31" s="4002"/>
      <c r="C31" s="3093" t="s">
        <v>2459</v>
      </c>
      <c r="D31" s="3094"/>
      <c r="E31" s="3095">
        <v>0.8</v>
      </c>
      <c r="F31" s="3092" t="s">
        <v>2460</v>
      </c>
      <c r="G31" s="3092"/>
    </row>
    <row r="32" spans="1:13" ht="19.5" customHeight="1">
      <c r="A32" s="4005"/>
      <c r="B32" s="4002"/>
      <c r="C32" s="3093" t="s">
        <v>2461</v>
      </c>
      <c r="D32" s="3094"/>
      <c r="E32" s="3095">
        <v>0.7</v>
      </c>
      <c r="F32" s="3092" t="s">
        <v>2462</v>
      </c>
      <c r="G32" s="3092"/>
    </row>
    <row r="33" spans="1:7" ht="19.5" customHeight="1">
      <c r="A33" s="4005"/>
      <c r="B33" s="4002"/>
      <c r="C33" s="3093" t="s">
        <v>2463</v>
      </c>
      <c r="D33" s="3094"/>
      <c r="E33" s="3095">
        <v>0.8</v>
      </c>
      <c r="F33" s="3092" t="s">
        <v>2464</v>
      </c>
      <c r="G33" s="3092"/>
    </row>
    <row r="34" spans="1:7" ht="19.5" customHeight="1">
      <c r="A34" s="4005"/>
      <c r="B34" s="4002"/>
      <c r="C34" s="3093" t="s">
        <v>2465</v>
      </c>
      <c r="D34" s="3094"/>
      <c r="E34" s="3095">
        <v>0.6</v>
      </c>
      <c r="F34" s="3092" t="s">
        <v>2466</v>
      </c>
      <c r="G34" s="3092"/>
    </row>
    <row r="35" spans="1:7" ht="19.5" customHeight="1">
      <c r="A35" s="4005"/>
      <c r="B35" s="4002"/>
      <c r="C35" s="3093" t="s">
        <v>2467</v>
      </c>
      <c r="D35" s="3094"/>
      <c r="E35" s="3095">
        <v>0.2</v>
      </c>
      <c r="F35" s="3092" t="s">
        <v>2468</v>
      </c>
      <c r="G35" s="3092"/>
    </row>
    <row r="36" spans="1:7" ht="19.5" customHeight="1">
      <c r="A36" s="4005"/>
      <c r="B36" s="4002"/>
      <c r="C36" s="3093" t="s">
        <v>2469</v>
      </c>
      <c r="D36" s="3094"/>
      <c r="E36" s="3095">
        <v>0.2</v>
      </c>
      <c r="F36" s="3092" t="s">
        <v>2470</v>
      </c>
      <c r="G36" s="3092"/>
    </row>
    <row r="37" spans="1:7" ht="19.5" customHeight="1">
      <c r="A37" s="4005"/>
      <c r="B37" s="4007" t="s">
        <v>2631</v>
      </c>
      <c r="C37" s="3093" t="s">
        <v>2471</v>
      </c>
      <c r="D37" s="3094"/>
      <c r="E37" s="3095">
        <v>0.6</v>
      </c>
      <c r="F37" s="3092" t="s">
        <v>2472</v>
      </c>
      <c r="G37" s="3092"/>
    </row>
    <row r="38" spans="1:7" ht="19.5" customHeight="1">
      <c r="A38" s="4005"/>
      <c r="B38" s="4002"/>
      <c r="C38" s="3093" t="s">
        <v>2473</v>
      </c>
      <c r="D38" s="3094"/>
      <c r="E38" s="3095">
        <v>0.6</v>
      </c>
      <c r="F38" s="3092" t="s">
        <v>2474</v>
      </c>
      <c r="G38" s="3092"/>
    </row>
    <row r="39" spans="1:7" ht="19.5" customHeight="1" thickBot="1">
      <c r="A39" s="4006"/>
      <c r="B39" s="4003"/>
      <c r="C39" s="3096" t="s">
        <v>2475</v>
      </c>
      <c r="D39" s="3097"/>
      <c r="E39" s="3098">
        <v>0.6</v>
      </c>
      <c r="F39" s="3092" t="s">
        <v>2476</v>
      </c>
      <c r="G39" s="3092"/>
    </row>
    <row r="40" spans="1:7" ht="19.5" customHeight="1" thickBot="1">
      <c r="A40" s="3099" t="s">
        <v>2608</v>
      </c>
      <c r="B40" s="3100" t="s">
        <v>2608</v>
      </c>
      <c r="C40" s="3101" t="s">
        <v>2632</v>
      </c>
      <c r="D40" s="3102"/>
      <c r="E40" s="3103">
        <v>1</v>
      </c>
      <c r="F40" s="3092" t="s">
        <v>2477</v>
      </c>
      <c r="G40" s="3092"/>
    </row>
    <row r="41" spans="1:7" ht="19.5" customHeight="1">
      <c r="A41" s="4008" t="s">
        <v>2609</v>
      </c>
      <c r="B41" s="4001" t="s">
        <v>2633</v>
      </c>
      <c r="C41" s="3089" t="s">
        <v>2478</v>
      </c>
      <c r="D41" s="3090"/>
      <c r="E41" s="3091">
        <v>1</v>
      </c>
      <c r="F41" s="3092" t="s">
        <v>2479</v>
      </c>
      <c r="G41" s="3092"/>
    </row>
    <row r="42" spans="1:7" ht="19.5" customHeight="1">
      <c r="A42" s="4009"/>
      <c r="B42" s="4002"/>
      <c r="C42" s="3093" t="s">
        <v>2480</v>
      </c>
      <c r="D42" s="3094"/>
      <c r="E42" s="3095">
        <v>1</v>
      </c>
      <c r="F42" s="3092" t="s">
        <v>2481</v>
      </c>
      <c r="G42" s="3092"/>
    </row>
    <row r="43" spans="1:7" ht="19.5" customHeight="1">
      <c r="A43" s="4009"/>
      <c r="B43" s="4011"/>
      <c r="C43" s="3093" t="s">
        <v>2482</v>
      </c>
      <c r="D43" s="3094"/>
      <c r="E43" s="3095">
        <v>1.5</v>
      </c>
      <c r="F43" s="3092" t="s">
        <v>2483</v>
      </c>
      <c r="G43" s="3092"/>
    </row>
    <row r="44" spans="1:7" ht="19.5" customHeight="1">
      <c r="A44" s="4009"/>
      <c r="B44" s="3104" t="s">
        <v>2634</v>
      </c>
      <c r="C44" s="3093" t="s">
        <v>2635</v>
      </c>
      <c r="D44" s="3094"/>
      <c r="E44" s="3095">
        <v>2</v>
      </c>
      <c r="F44" s="3092" t="s">
        <v>2484</v>
      </c>
      <c r="G44" s="3092"/>
    </row>
    <row r="45" spans="1:7" ht="19.5" customHeight="1">
      <c r="A45" s="4009"/>
      <c r="B45" s="4007" t="s">
        <v>2636</v>
      </c>
      <c r="C45" s="3093" t="s">
        <v>2485</v>
      </c>
      <c r="D45" s="3094"/>
      <c r="E45" s="3095">
        <v>1</v>
      </c>
      <c r="F45" s="3092" t="s">
        <v>2486</v>
      </c>
      <c r="G45" s="3092"/>
    </row>
    <row r="46" spans="1:7" ht="19.5" customHeight="1">
      <c r="A46" s="4009"/>
      <c r="B46" s="4002"/>
      <c r="C46" s="3093" t="s">
        <v>2487</v>
      </c>
      <c r="D46" s="3094"/>
      <c r="E46" s="3095">
        <v>1</v>
      </c>
      <c r="F46" s="3092" t="s">
        <v>2488</v>
      </c>
      <c r="G46" s="3092"/>
    </row>
    <row r="47" spans="1:7" ht="19.5" customHeight="1">
      <c r="A47" s="4009"/>
      <c r="B47" s="4002"/>
      <c r="C47" s="3093" t="s">
        <v>2489</v>
      </c>
      <c r="D47" s="3094"/>
      <c r="E47" s="3095">
        <v>1</v>
      </c>
      <c r="F47" s="3092" t="s">
        <v>2490</v>
      </c>
      <c r="G47" s="3092"/>
    </row>
    <row r="48" spans="1:7" ht="19.5" customHeight="1">
      <c r="A48" s="4009"/>
      <c r="B48" s="4002"/>
      <c r="C48" s="3093" t="s">
        <v>2491</v>
      </c>
      <c r="D48" s="3094"/>
      <c r="E48" s="3095">
        <v>1</v>
      </c>
      <c r="F48" s="3092" t="s">
        <v>2492</v>
      </c>
      <c r="G48" s="3092"/>
    </row>
    <row r="49" spans="1:7" ht="19.5" customHeight="1">
      <c r="A49" s="4009"/>
      <c r="B49" s="4002"/>
      <c r="C49" s="3093" t="s">
        <v>2493</v>
      </c>
      <c r="D49" s="3094"/>
      <c r="E49" s="3095">
        <v>1</v>
      </c>
      <c r="F49" s="3092" t="s">
        <v>2494</v>
      </c>
      <c r="G49" s="3092"/>
    </row>
    <row r="50" spans="1:7" ht="19.5" customHeight="1">
      <c r="A50" s="4009"/>
      <c r="B50" s="4002"/>
      <c r="C50" s="3093" t="s">
        <v>2495</v>
      </c>
      <c r="D50" s="3094"/>
      <c r="E50" s="3095">
        <v>1</v>
      </c>
      <c r="F50" s="3092" t="s">
        <v>2496</v>
      </c>
      <c r="G50" s="3092"/>
    </row>
    <row r="51" spans="1:7" ht="19.5" customHeight="1" thickBot="1">
      <c r="A51" s="4010"/>
      <c r="B51" s="4003"/>
      <c r="C51" s="3096" t="s">
        <v>2497</v>
      </c>
      <c r="D51" s="3097"/>
      <c r="E51" s="3098">
        <v>1</v>
      </c>
      <c r="F51" s="3092" t="s">
        <v>2498</v>
      </c>
      <c r="G51" s="3092"/>
    </row>
    <row r="52" spans="1:7" ht="19.5" customHeight="1">
      <c r="A52" s="3105"/>
      <c r="B52" s="3105"/>
      <c r="C52" s="3105"/>
      <c r="D52" s="3105"/>
      <c r="E52" s="3105"/>
      <c r="F52" s="3105"/>
      <c r="G52" s="3105"/>
    </row>
    <row r="54" spans="1:7" ht="19.5" customHeight="1">
      <c r="A54" s="3106"/>
      <c r="B54" s="3078" t="s">
        <v>2637</v>
      </c>
      <c r="C54" s="3078" t="s">
        <v>2637</v>
      </c>
      <c r="D54" s="3078" t="s">
        <v>2637</v>
      </c>
      <c r="E54" s="3081" t="s">
        <v>2637</v>
      </c>
      <c r="F54" s="3081" t="s">
        <v>2638</v>
      </c>
      <c r="G54" s="3081" t="s">
        <v>2639</v>
      </c>
    </row>
    <row r="55" spans="1:7" ht="19.5" customHeight="1">
      <c r="A55" s="3107"/>
      <c r="B55" s="3081" t="s">
        <v>2606</v>
      </c>
      <c r="C55" s="3081" t="s">
        <v>2606</v>
      </c>
      <c r="D55" s="3081" t="s">
        <v>2606</v>
      </c>
      <c r="E55" s="3078" t="s">
        <v>2607</v>
      </c>
      <c r="F55" s="3078" t="s">
        <v>2609</v>
      </c>
      <c r="G55" s="3078" t="s">
        <v>2640</v>
      </c>
    </row>
    <row r="56" spans="1:7" ht="19.5" customHeight="1">
      <c r="A56" s="3108"/>
      <c r="B56" s="3078">
        <v>1</v>
      </c>
      <c r="C56" s="3078">
        <v>2</v>
      </c>
      <c r="D56" s="3078">
        <v>3</v>
      </c>
      <c r="E56" s="3109" t="s">
        <v>2641</v>
      </c>
      <c r="F56" s="3109" t="s">
        <v>2641</v>
      </c>
      <c r="G56" s="3109" t="s">
        <v>2641</v>
      </c>
    </row>
    <row r="57" spans="1:7" ht="19.5" customHeight="1">
      <c r="A57" s="3110" t="s">
        <v>2594</v>
      </c>
      <c r="B57" s="3078">
        <v>0.7</v>
      </c>
      <c r="C57" s="3078">
        <v>0.4</v>
      </c>
      <c r="D57" s="3078">
        <v>0.3</v>
      </c>
      <c r="E57" s="3109">
        <v>0.3</v>
      </c>
      <c r="F57" s="3078">
        <v>0.3</v>
      </c>
      <c r="G57" s="3078">
        <v>0.2</v>
      </c>
    </row>
    <row r="58" spans="1:7" ht="19.5" customHeight="1">
      <c r="A58" s="3110" t="s">
        <v>2595</v>
      </c>
      <c r="B58" s="3078">
        <v>0.7</v>
      </c>
      <c r="C58" s="3078">
        <v>0.4</v>
      </c>
      <c r="D58" s="3078">
        <v>0.3</v>
      </c>
      <c r="E58" s="3078">
        <v>0.3</v>
      </c>
      <c r="F58" s="3078">
        <v>0.3</v>
      </c>
      <c r="G58" s="3078">
        <v>0.2</v>
      </c>
    </row>
    <row r="59" spans="1:7" ht="19.5" customHeight="1">
      <c r="A59" s="3110" t="s">
        <v>2596</v>
      </c>
      <c r="B59" s="3078">
        <v>0.6</v>
      </c>
      <c r="C59" s="3078">
        <v>0.3</v>
      </c>
      <c r="D59" s="3078">
        <v>0.25</v>
      </c>
      <c r="E59" s="3078">
        <v>0.25</v>
      </c>
      <c r="F59" s="3078">
        <v>0.25</v>
      </c>
      <c r="G59" s="3078">
        <v>0.15</v>
      </c>
    </row>
    <row r="60" spans="1:7" ht="19.5" customHeight="1">
      <c r="A60" s="3110" t="s">
        <v>2597</v>
      </c>
      <c r="B60" s="3078">
        <v>0.6</v>
      </c>
      <c r="C60" s="3078">
        <v>0.3</v>
      </c>
      <c r="D60" s="3078">
        <v>0.25</v>
      </c>
      <c r="E60" s="3078">
        <v>0.25</v>
      </c>
      <c r="F60" s="3078">
        <v>0.25</v>
      </c>
      <c r="G60" s="3078">
        <v>0.15</v>
      </c>
    </row>
    <row r="61" spans="1:7" ht="19.5" customHeight="1">
      <c r="A61" s="3110" t="s">
        <v>2598</v>
      </c>
      <c r="B61" s="3078">
        <v>0.6</v>
      </c>
      <c r="C61" s="3078">
        <v>0.3</v>
      </c>
      <c r="D61" s="3078">
        <v>0.25</v>
      </c>
      <c r="E61" s="3078">
        <v>0.25</v>
      </c>
      <c r="F61" s="3078">
        <v>0.25</v>
      </c>
      <c r="G61" s="3078">
        <v>0.15</v>
      </c>
    </row>
    <row r="62" spans="1:7" ht="19.5" customHeight="1">
      <c r="A62" s="3110" t="s">
        <v>2599</v>
      </c>
      <c r="B62" s="3078">
        <v>0.6</v>
      </c>
      <c r="C62" s="3078">
        <v>0.3</v>
      </c>
      <c r="D62" s="3078">
        <v>0.25</v>
      </c>
      <c r="E62" s="3078">
        <v>0.25</v>
      </c>
      <c r="F62" s="3078">
        <v>0.25</v>
      </c>
      <c r="G62" s="3078">
        <v>0.15</v>
      </c>
    </row>
    <row r="63" spans="1:7" ht="19.5" customHeight="1">
      <c r="A63" s="3110" t="s">
        <v>2600</v>
      </c>
      <c r="B63" s="3078">
        <v>0.6</v>
      </c>
      <c r="C63" s="3078">
        <v>0.3</v>
      </c>
      <c r="D63" s="3078">
        <v>0.25</v>
      </c>
      <c r="E63" s="3078">
        <v>0.25</v>
      </c>
      <c r="F63" s="3078">
        <v>0.25</v>
      </c>
      <c r="G63" s="3078">
        <v>0.15</v>
      </c>
    </row>
    <row r="64" spans="1:7" ht="19.5" customHeight="1">
      <c r="A64" s="3110" t="s">
        <v>2601</v>
      </c>
      <c r="B64" s="3078">
        <v>0.5</v>
      </c>
      <c r="C64" s="3078">
        <v>0.2</v>
      </c>
      <c r="D64" s="3078">
        <v>0.2</v>
      </c>
      <c r="E64" s="3078">
        <v>0.2</v>
      </c>
      <c r="F64" s="3078">
        <v>0.2</v>
      </c>
      <c r="G64" s="3078">
        <v>0.1</v>
      </c>
    </row>
    <row r="65" spans="1:7" ht="19.5" customHeight="1">
      <c r="A65" s="3110" t="s">
        <v>2602</v>
      </c>
      <c r="B65" s="3078">
        <v>0.5</v>
      </c>
      <c r="C65" s="3078">
        <v>0.2</v>
      </c>
      <c r="D65" s="3078">
        <v>0.2</v>
      </c>
      <c r="E65" s="3078">
        <v>0.2</v>
      </c>
      <c r="F65" s="3078">
        <v>0.2</v>
      </c>
      <c r="G65" s="3078">
        <v>0.1</v>
      </c>
    </row>
    <row r="66" spans="1:7" ht="19.5" customHeight="1">
      <c r="A66" s="3110" t="s">
        <v>2603</v>
      </c>
      <c r="B66" s="3078">
        <v>0.5</v>
      </c>
      <c r="C66" s="3078">
        <v>0.2</v>
      </c>
      <c r="D66" s="3078">
        <v>0.2</v>
      </c>
      <c r="E66" s="3078">
        <v>0.2</v>
      </c>
      <c r="F66" s="3078">
        <v>0.2</v>
      </c>
      <c r="G66" s="3078">
        <v>0.1</v>
      </c>
    </row>
    <row r="67" spans="1:7" ht="19.5" customHeight="1">
      <c r="A67" s="3110" t="s">
        <v>2604</v>
      </c>
      <c r="B67" s="3078">
        <v>0.5</v>
      </c>
      <c r="C67" s="3078">
        <v>0.2</v>
      </c>
      <c r="D67" s="3078">
        <v>0.2</v>
      </c>
      <c r="E67" s="3078">
        <v>0.2</v>
      </c>
      <c r="F67" s="3078">
        <v>0.2</v>
      </c>
      <c r="G67" s="3078">
        <v>0.1</v>
      </c>
    </row>
    <row r="68" spans="1:7" ht="19.5" customHeight="1">
      <c r="A68" s="3110" t="s">
        <v>2605</v>
      </c>
      <c r="B68" s="3078">
        <v>0.5</v>
      </c>
      <c r="C68" s="3078">
        <v>0.2</v>
      </c>
      <c r="D68" s="3078">
        <v>0.2</v>
      </c>
      <c r="E68" s="3078">
        <v>0.2</v>
      </c>
      <c r="F68" s="3078">
        <v>0.2</v>
      </c>
      <c r="G68" s="3078">
        <v>0.1</v>
      </c>
    </row>
    <row r="70" spans="1:7" ht="19.5" customHeight="1">
      <c r="A70" s="3111"/>
      <c r="B70" s="3112"/>
      <c r="C70" s="3112"/>
      <c r="D70" s="3112" t="s">
        <v>2642</v>
      </c>
      <c r="E70" s="3112"/>
      <c r="F70" s="3112"/>
    </row>
    <row r="71" spans="1:7" ht="19.5" customHeight="1">
      <c r="A71" s="3104" t="s">
        <v>2643</v>
      </c>
      <c r="B71" s="3104" t="s">
        <v>2644</v>
      </c>
      <c r="C71" s="3104" t="s">
        <v>2645</v>
      </c>
      <c r="D71" s="3104" t="s">
        <v>2646</v>
      </c>
      <c r="E71" s="3104" t="s">
        <v>2647</v>
      </c>
      <c r="F71" s="3104" t="s">
        <v>2648</v>
      </c>
    </row>
    <row r="72" spans="1:7" ht="13.5">
      <c r="A72" s="3104"/>
      <c r="B72" s="3104"/>
      <c r="C72" s="3104" t="s">
        <v>2649</v>
      </c>
      <c r="D72" s="3104"/>
      <c r="E72" s="3104" t="s">
        <v>2620</v>
      </c>
      <c r="F72" s="3104" t="s">
        <v>2620</v>
      </c>
    </row>
    <row r="73" spans="1:7" ht="13.5">
      <c r="A73" s="3104">
        <v>1</v>
      </c>
      <c r="B73" s="4007" t="s">
        <v>2650</v>
      </c>
      <c r="C73" s="3078" t="s">
        <v>2651</v>
      </c>
      <c r="D73" s="3078" t="s">
        <v>2652</v>
      </c>
      <c r="E73" s="3104">
        <v>0.2</v>
      </c>
      <c r="F73" s="3104">
        <v>25</v>
      </c>
    </row>
    <row r="74" spans="1:7" ht="24">
      <c r="A74" s="3104">
        <v>2</v>
      </c>
      <c r="B74" s="4002"/>
      <c r="C74" s="3078" t="s">
        <v>2653</v>
      </c>
      <c r="D74" s="3078" t="s">
        <v>2654</v>
      </c>
      <c r="E74" s="3104">
        <v>0.2</v>
      </c>
      <c r="F74" s="3104">
        <v>25</v>
      </c>
    </row>
    <row r="75" spans="1:7" ht="24">
      <c r="A75" s="3104">
        <v>3</v>
      </c>
      <c r="B75" s="4002"/>
      <c r="C75" s="3078" t="s">
        <v>2655</v>
      </c>
      <c r="D75" s="3078" t="s">
        <v>2656</v>
      </c>
      <c r="E75" s="3104">
        <v>0.2</v>
      </c>
      <c r="F75" s="3104">
        <v>25</v>
      </c>
    </row>
    <row r="76" spans="1:7" ht="13.5">
      <c r="A76" s="3104">
        <v>4</v>
      </c>
      <c r="B76" s="4002"/>
      <c r="C76" s="3078" t="s">
        <v>2657</v>
      </c>
      <c r="D76" s="3078" t="s">
        <v>2658</v>
      </c>
      <c r="E76" s="3104">
        <v>0.15</v>
      </c>
      <c r="F76" s="3104">
        <v>20</v>
      </c>
    </row>
    <row r="77" spans="1:7" ht="24">
      <c r="A77" s="3104">
        <v>5</v>
      </c>
      <c r="B77" s="4002"/>
      <c r="C77" s="3078" t="s">
        <v>2659</v>
      </c>
      <c r="D77" s="3078" t="s">
        <v>2660</v>
      </c>
      <c r="E77" s="3104">
        <v>0.15</v>
      </c>
      <c r="F77" s="3104">
        <v>20</v>
      </c>
    </row>
    <row r="78" spans="1:7" ht="24">
      <c r="A78" s="3104">
        <v>6</v>
      </c>
      <c r="B78" s="4002"/>
      <c r="C78" s="3078" t="s">
        <v>2661</v>
      </c>
      <c r="D78" s="3078" t="s">
        <v>2662</v>
      </c>
      <c r="E78" s="3104">
        <v>0.15</v>
      </c>
      <c r="F78" s="3104">
        <v>20</v>
      </c>
    </row>
    <row r="79" spans="1:7" ht="24">
      <c r="A79" s="3104">
        <v>7</v>
      </c>
      <c r="B79" s="4002"/>
      <c r="C79" s="3078" t="s">
        <v>2663</v>
      </c>
      <c r="D79" s="3078" t="s">
        <v>2664</v>
      </c>
      <c r="E79" s="3104">
        <v>0.15</v>
      </c>
      <c r="F79" s="3104">
        <v>20</v>
      </c>
    </row>
    <row r="80" spans="1:7" ht="24">
      <c r="A80" s="3104">
        <v>8</v>
      </c>
      <c r="B80" s="4002"/>
      <c r="C80" s="3078" t="s">
        <v>2665</v>
      </c>
      <c r="D80" s="3078" t="s">
        <v>2666</v>
      </c>
      <c r="E80" s="3104">
        <v>0.1</v>
      </c>
      <c r="F80" s="3104">
        <v>15</v>
      </c>
    </row>
    <row r="81" spans="1:6" ht="24">
      <c r="A81" s="3104">
        <v>9</v>
      </c>
      <c r="B81" s="4002"/>
      <c r="C81" s="3078" t="s">
        <v>2667</v>
      </c>
      <c r="D81" s="3078" t="s">
        <v>2668</v>
      </c>
      <c r="E81" s="3104">
        <v>0.1</v>
      </c>
      <c r="F81" s="3104">
        <v>15</v>
      </c>
    </row>
    <row r="82" spans="1:6" ht="24">
      <c r="A82" s="3104">
        <v>10</v>
      </c>
      <c r="B82" s="4002"/>
      <c r="C82" s="3078" t="s">
        <v>2669</v>
      </c>
      <c r="D82" s="3078" t="s">
        <v>2670</v>
      </c>
      <c r="E82" s="3104">
        <v>0.1</v>
      </c>
      <c r="F82" s="3104">
        <v>15</v>
      </c>
    </row>
    <row r="83" spans="1:6" ht="24">
      <c r="A83" s="3104">
        <v>11</v>
      </c>
      <c r="B83" s="4002"/>
      <c r="C83" s="3078" t="s">
        <v>2671</v>
      </c>
      <c r="D83" s="3078" t="s">
        <v>2672</v>
      </c>
      <c r="E83" s="3104">
        <v>0.1</v>
      </c>
      <c r="F83" s="3104">
        <v>15</v>
      </c>
    </row>
    <row r="84" spans="1:6" ht="24">
      <c r="A84" s="3104">
        <v>12</v>
      </c>
      <c r="B84" s="4002"/>
      <c r="C84" s="3078" t="s">
        <v>2673</v>
      </c>
      <c r="D84" s="3078" t="s">
        <v>2674</v>
      </c>
      <c r="E84" s="3104">
        <v>0.1</v>
      </c>
      <c r="F84" s="3104">
        <v>15</v>
      </c>
    </row>
    <row r="85" spans="1:6" ht="13.5">
      <c r="A85" s="3104">
        <v>13</v>
      </c>
      <c r="B85" s="4002"/>
      <c r="C85" s="3078" t="s">
        <v>2675</v>
      </c>
      <c r="D85" s="3078" t="s">
        <v>2676</v>
      </c>
      <c r="E85" s="3104">
        <v>0.1</v>
      </c>
      <c r="F85" s="3104">
        <v>15</v>
      </c>
    </row>
    <row r="86" spans="1:6" ht="13.5">
      <c r="A86" s="3104">
        <v>14</v>
      </c>
      <c r="B86" s="4002"/>
      <c r="C86" s="3078" t="s">
        <v>2677</v>
      </c>
      <c r="D86" s="3078" t="s">
        <v>2678</v>
      </c>
      <c r="E86" s="3104">
        <v>0.1</v>
      </c>
      <c r="F86" s="3104">
        <v>15</v>
      </c>
    </row>
    <row r="87" spans="1:6" ht="13.5">
      <c r="A87" s="3104">
        <v>15</v>
      </c>
      <c r="B87" s="4002"/>
      <c r="C87" s="3078" t="s">
        <v>2679</v>
      </c>
      <c r="D87" s="3078" t="s">
        <v>2680</v>
      </c>
      <c r="E87" s="3104">
        <v>0.1</v>
      </c>
      <c r="F87" s="3104">
        <v>15</v>
      </c>
    </row>
    <row r="88" spans="1:6" ht="24">
      <c r="A88" s="3104">
        <v>16</v>
      </c>
      <c r="B88" s="4002"/>
      <c r="C88" s="3078" t="s">
        <v>2681</v>
      </c>
      <c r="D88" s="3078" t="s">
        <v>2682</v>
      </c>
      <c r="E88" s="3104">
        <v>0.1</v>
      </c>
      <c r="F88" s="3104">
        <v>15</v>
      </c>
    </row>
    <row r="89" spans="1:6" ht="24">
      <c r="A89" s="3104">
        <v>17</v>
      </c>
      <c r="B89" s="4011"/>
      <c r="C89" s="3078" t="s">
        <v>2683</v>
      </c>
      <c r="D89" s="3078" t="s">
        <v>2684</v>
      </c>
      <c r="E89" s="3104">
        <v>0.1</v>
      </c>
      <c r="F89" s="3104">
        <v>15</v>
      </c>
    </row>
    <row r="90" spans="1:6" ht="13.5">
      <c r="A90" s="3104">
        <v>18</v>
      </c>
      <c r="B90" s="4007" t="s">
        <v>2685</v>
      </c>
      <c r="C90" s="3078" t="s">
        <v>2686</v>
      </c>
      <c r="D90" s="3078" t="s">
        <v>2687</v>
      </c>
      <c r="E90" s="3104">
        <v>0.2</v>
      </c>
      <c r="F90" s="3104">
        <v>25</v>
      </c>
    </row>
    <row r="91" spans="1:6" ht="24">
      <c r="A91" s="3104">
        <v>19</v>
      </c>
      <c r="B91" s="4002"/>
      <c r="C91" s="3078" t="s">
        <v>2688</v>
      </c>
      <c r="D91" s="3078" t="s">
        <v>2689</v>
      </c>
      <c r="E91" s="3104">
        <v>0.2</v>
      </c>
      <c r="F91" s="3104">
        <v>25</v>
      </c>
    </row>
    <row r="92" spans="1:6" ht="13.5">
      <c r="A92" s="3104">
        <v>20</v>
      </c>
      <c r="B92" s="4002"/>
      <c r="C92" s="3078" t="s">
        <v>2690</v>
      </c>
      <c r="D92" s="3078" t="s">
        <v>2691</v>
      </c>
      <c r="E92" s="3104">
        <v>0.15</v>
      </c>
      <c r="F92" s="3104">
        <v>20</v>
      </c>
    </row>
    <row r="93" spans="1:6" ht="13.5">
      <c r="A93" s="3104">
        <v>21</v>
      </c>
      <c r="B93" s="4002"/>
      <c r="C93" s="3078" t="s">
        <v>2692</v>
      </c>
      <c r="D93" s="3078" t="s">
        <v>2693</v>
      </c>
      <c r="E93" s="3104">
        <v>0.15</v>
      </c>
      <c r="F93" s="3104">
        <v>20</v>
      </c>
    </row>
    <row r="94" spans="1:6" ht="13.5">
      <c r="A94" s="3104">
        <v>22</v>
      </c>
      <c r="B94" s="4002"/>
      <c r="C94" s="3078" t="s">
        <v>2694</v>
      </c>
      <c r="D94" s="3078" t="s">
        <v>2695</v>
      </c>
      <c r="E94" s="3104">
        <v>0.15</v>
      </c>
      <c r="F94" s="3104">
        <v>20</v>
      </c>
    </row>
    <row r="95" spans="1:6" ht="36">
      <c r="A95" s="3104">
        <v>23</v>
      </c>
      <c r="B95" s="4002"/>
      <c r="C95" s="3078" t="s">
        <v>2696</v>
      </c>
      <c r="D95" s="3078" t="s">
        <v>2697</v>
      </c>
      <c r="E95" s="3104">
        <v>0.15</v>
      </c>
      <c r="F95" s="3104">
        <v>20</v>
      </c>
    </row>
    <row r="96" spans="1:6" ht="13.5">
      <c r="A96" s="3104">
        <v>24</v>
      </c>
      <c r="B96" s="4002"/>
      <c r="C96" s="3078" t="s">
        <v>2698</v>
      </c>
      <c r="D96" s="3078" t="s">
        <v>2699</v>
      </c>
      <c r="E96" s="3104">
        <v>0.1</v>
      </c>
      <c r="F96" s="3104">
        <v>15</v>
      </c>
    </row>
    <row r="97" spans="1:6" ht="13.5">
      <c r="A97" s="3104">
        <v>25</v>
      </c>
      <c r="B97" s="4002"/>
      <c r="C97" s="3078" t="s">
        <v>2700</v>
      </c>
      <c r="D97" s="3078" t="s">
        <v>2701</v>
      </c>
      <c r="E97" s="3104">
        <v>0.1</v>
      </c>
      <c r="F97" s="3104">
        <v>15</v>
      </c>
    </row>
    <row r="98" spans="1:6" ht="24">
      <c r="A98" s="3104">
        <v>26</v>
      </c>
      <c r="B98" s="4002"/>
      <c r="C98" s="3078" t="s">
        <v>2702</v>
      </c>
      <c r="D98" s="3078" t="s">
        <v>2703</v>
      </c>
      <c r="E98" s="3104">
        <v>0.1</v>
      </c>
      <c r="F98" s="3104">
        <v>15</v>
      </c>
    </row>
    <row r="99" spans="1:6" ht="24">
      <c r="A99" s="3104">
        <v>27</v>
      </c>
      <c r="B99" s="4002"/>
      <c r="C99" s="3078" t="s">
        <v>2704</v>
      </c>
      <c r="D99" s="3078" t="s">
        <v>2705</v>
      </c>
      <c r="E99" s="3104">
        <v>0.1</v>
      </c>
      <c r="F99" s="3104">
        <v>15</v>
      </c>
    </row>
    <row r="100" spans="1:6" ht="13.5">
      <c r="A100" s="3104">
        <v>28</v>
      </c>
      <c r="B100" s="4002"/>
      <c r="C100" s="3078" t="s">
        <v>2706</v>
      </c>
      <c r="D100" s="3078" t="s">
        <v>2707</v>
      </c>
      <c r="E100" s="3104">
        <v>0.1</v>
      </c>
      <c r="F100" s="3104">
        <v>15</v>
      </c>
    </row>
    <row r="101" spans="1:6" ht="13.5">
      <c r="A101" s="3104">
        <v>29</v>
      </c>
      <c r="B101" s="4002"/>
      <c r="C101" s="3078" t="s">
        <v>2708</v>
      </c>
      <c r="D101" s="3078" t="s">
        <v>2709</v>
      </c>
      <c r="E101" s="3104">
        <v>0.1</v>
      </c>
      <c r="F101" s="3104">
        <v>15</v>
      </c>
    </row>
    <row r="102" spans="1:6" ht="13.5">
      <c r="A102" s="3104">
        <v>30</v>
      </c>
      <c r="B102" s="4002"/>
      <c r="C102" s="3078" t="s">
        <v>2710</v>
      </c>
      <c r="D102" s="3078" t="s">
        <v>2711</v>
      </c>
      <c r="E102" s="3104">
        <v>0.1</v>
      </c>
      <c r="F102" s="3104">
        <v>15</v>
      </c>
    </row>
    <row r="103" spans="1:6" ht="24">
      <c r="A103" s="3104">
        <v>31</v>
      </c>
      <c r="B103" s="4002"/>
      <c r="C103" s="3078" t="s">
        <v>2712</v>
      </c>
      <c r="D103" s="3078" t="s">
        <v>2713</v>
      </c>
      <c r="E103" s="3104">
        <v>0.1</v>
      </c>
      <c r="F103" s="3104">
        <v>15</v>
      </c>
    </row>
    <row r="104" spans="1:6" ht="24">
      <c r="A104" s="3104">
        <v>32</v>
      </c>
      <c r="B104" s="4002"/>
      <c r="C104" s="3078" t="s">
        <v>2714</v>
      </c>
      <c r="D104" s="3078" t="s">
        <v>2715</v>
      </c>
      <c r="E104" s="3104">
        <v>0.1</v>
      </c>
      <c r="F104" s="3104">
        <v>15</v>
      </c>
    </row>
    <row r="105" spans="1:6" ht="24">
      <c r="A105" s="3104">
        <v>33</v>
      </c>
      <c r="B105" s="4002"/>
      <c r="C105" s="3078" t="s">
        <v>2716</v>
      </c>
      <c r="D105" s="3078" t="s">
        <v>2717</v>
      </c>
      <c r="E105" s="3104">
        <v>0.1</v>
      </c>
      <c r="F105" s="3104">
        <v>15</v>
      </c>
    </row>
    <row r="106" spans="1:6" ht="24">
      <c r="A106" s="3104">
        <v>34</v>
      </c>
      <c r="B106" s="4011"/>
      <c r="C106" s="3078" t="s">
        <v>2718</v>
      </c>
      <c r="D106" s="3078" t="s">
        <v>2719</v>
      </c>
      <c r="E106" s="3104">
        <v>0.1</v>
      </c>
      <c r="F106" s="3104">
        <v>15</v>
      </c>
    </row>
    <row r="107" spans="1:6" ht="24">
      <c r="A107" s="3104">
        <v>35</v>
      </c>
      <c r="B107" s="4007" t="s">
        <v>2720</v>
      </c>
      <c r="C107" s="3104" t="s">
        <v>2721</v>
      </c>
      <c r="D107" s="3078" t="s">
        <v>2722</v>
      </c>
      <c r="E107" s="3104">
        <v>0.15</v>
      </c>
      <c r="F107" s="3104">
        <v>20</v>
      </c>
    </row>
    <row r="108" spans="1:6" ht="13.5">
      <c r="A108" s="3104">
        <v>36</v>
      </c>
      <c r="B108" s="4002"/>
      <c r="C108" s="3104" t="s">
        <v>2723</v>
      </c>
      <c r="D108" s="3078" t="s">
        <v>2724</v>
      </c>
      <c r="E108" s="3104">
        <v>0.15</v>
      </c>
      <c r="F108" s="3104">
        <v>20</v>
      </c>
    </row>
    <row r="109" spans="1:6" ht="13.5">
      <c r="A109" s="3104">
        <v>37</v>
      </c>
      <c r="B109" s="4002"/>
      <c r="C109" s="3104" t="s">
        <v>2725</v>
      </c>
      <c r="D109" s="3078" t="s">
        <v>2726</v>
      </c>
      <c r="E109" s="3104">
        <v>0.15</v>
      </c>
      <c r="F109" s="3104">
        <v>20</v>
      </c>
    </row>
    <row r="110" spans="1:6" ht="13.5">
      <c r="A110" s="3104">
        <v>38</v>
      </c>
      <c r="B110" s="4002"/>
      <c r="C110" s="3104" t="s">
        <v>2727</v>
      </c>
      <c r="D110" s="3078" t="s">
        <v>2728</v>
      </c>
      <c r="E110" s="3104">
        <v>0.1</v>
      </c>
      <c r="F110" s="3104">
        <v>15</v>
      </c>
    </row>
    <row r="111" spans="1:6" ht="24">
      <c r="A111" s="3104">
        <v>39</v>
      </c>
      <c r="B111" s="4002"/>
      <c r="C111" s="3104" t="s">
        <v>2729</v>
      </c>
      <c r="D111" s="3078" t="s">
        <v>2730</v>
      </c>
      <c r="E111" s="3104">
        <v>0.1</v>
      </c>
      <c r="F111" s="3104">
        <v>15</v>
      </c>
    </row>
    <row r="112" spans="1:6" ht="24">
      <c r="A112" s="3104">
        <v>40</v>
      </c>
      <c r="B112" s="4011"/>
      <c r="C112" s="3104" t="s">
        <v>2731</v>
      </c>
      <c r="D112" s="3078" t="s">
        <v>2732</v>
      </c>
      <c r="E112" s="3104">
        <v>0.1</v>
      </c>
      <c r="F112" s="3104">
        <v>15</v>
      </c>
    </row>
    <row r="113" spans="1:6" ht="13.5">
      <c r="A113" s="3104">
        <v>41</v>
      </c>
      <c r="B113" s="4012" t="s">
        <v>2733</v>
      </c>
      <c r="C113" s="3104" t="s">
        <v>2734</v>
      </c>
      <c r="D113" s="3078" t="s">
        <v>2735</v>
      </c>
      <c r="E113" s="3104">
        <v>0.1</v>
      </c>
      <c r="F113" s="3104">
        <v>15</v>
      </c>
    </row>
    <row r="114" spans="1:6" ht="13.5">
      <c r="A114" s="3104">
        <v>42</v>
      </c>
      <c r="B114" s="4012"/>
      <c r="C114" s="3104" t="s">
        <v>2736</v>
      </c>
      <c r="D114" s="3078" t="s">
        <v>2737</v>
      </c>
      <c r="E114" s="3104">
        <v>0.1</v>
      </c>
      <c r="F114" s="3104">
        <v>15</v>
      </c>
    </row>
    <row r="115" spans="1:6" ht="24">
      <c r="A115" s="3104">
        <v>43</v>
      </c>
      <c r="B115" s="4012"/>
      <c r="C115" s="3104" t="s">
        <v>2738</v>
      </c>
      <c r="D115" s="3078" t="s">
        <v>2739</v>
      </c>
      <c r="E115" s="3104">
        <v>0.1</v>
      </c>
      <c r="F115" s="3104">
        <v>15</v>
      </c>
    </row>
    <row r="116" spans="1:6" ht="13.5">
      <c r="A116" s="3104">
        <v>44</v>
      </c>
      <c r="B116" s="4007" t="s">
        <v>2740</v>
      </c>
      <c r="C116" s="3104" t="s">
        <v>2741</v>
      </c>
      <c r="D116" s="3078" t="s">
        <v>2742</v>
      </c>
      <c r="E116" s="3104">
        <v>0.1</v>
      </c>
      <c r="F116" s="3104">
        <v>15</v>
      </c>
    </row>
    <row r="117" spans="1:6" ht="24">
      <c r="A117" s="3104">
        <v>45</v>
      </c>
      <c r="B117" s="4011"/>
      <c r="C117" s="3078" t="s">
        <v>2743</v>
      </c>
      <c r="D117" s="3078" t="s">
        <v>2744</v>
      </c>
      <c r="E117" s="3104">
        <v>0.1</v>
      </c>
      <c r="F117" s="3104">
        <v>15</v>
      </c>
    </row>
    <row r="118" spans="1:6" ht="24">
      <c r="A118" s="3104">
        <v>46</v>
      </c>
      <c r="B118" s="4007" t="s">
        <v>2745</v>
      </c>
      <c r="C118" s="3104" t="s">
        <v>2746</v>
      </c>
      <c r="D118" s="3078" t="s">
        <v>2747</v>
      </c>
      <c r="E118" s="3104">
        <v>0.1</v>
      </c>
      <c r="F118" s="3104">
        <v>15</v>
      </c>
    </row>
    <row r="119" spans="1:6" ht="24">
      <c r="A119" s="3104">
        <v>47</v>
      </c>
      <c r="B119" s="4011"/>
      <c r="C119" s="3104" t="s">
        <v>2748</v>
      </c>
      <c r="D119" s="3078" t="s">
        <v>2749</v>
      </c>
      <c r="E119" s="3104">
        <v>0.1</v>
      </c>
      <c r="F119" s="3104">
        <v>15</v>
      </c>
    </row>
    <row r="120" spans="1:6" ht="13.5">
      <c r="A120" s="3104">
        <v>48</v>
      </c>
      <c r="B120" s="4007" t="s">
        <v>2750</v>
      </c>
      <c r="C120" s="3104" t="s">
        <v>2751</v>
      </c>
      <c r="D120" s="3078" t="s">
        <v>2752</v>
      </c>
      <c r="E120" s="3104">
        <v>0.1</v>
      </c>
      <c r="F120" s="3104">
        <v>15</v>
      </c>
    </row>
    <row r="121" spans="1:6" ht="13.5">
      <c r="A121" s="3104">
        <v>49</v>
      </c>
      <c r="B121" s="4011"/>
      <c r="C121" s="3104" t="s">
        <v>2753</v>
      </c>
      <c r="D121" s="3078" t="s">
        <v>2754</v>
      </c>
      <c r="E121" s="3104">
        <v>0.1</v>
      </c>
      <c r="F121" s="3104">
        <v>15</v>
      </c>
    </row>
    <row r="122" spans="1:6" ht="24">
      <c r="A122" s="3104">
        <v>50</v>
      </c>
      <c r="B122" s="4012" t="s">
        <v>2755</v>
      </c>
      <c r="C122" s="3104" t="s">
        <v>2756</v>
      </c>
      <c r="D122" s="3078" t="s">
        <v>2757</v>
      </c>
      <c r="E122" s="3104">
        <v>0.1</v>
      </c>
      <c r="F122" s="3104">
        <v>15</v>
      </c>
    </row>
    <row r="123" spans="1:6" ht="24">
      <c r="A123" s="3104">
        <v>51</v>
      </c>
      <c r="B123" s="4012"/>
      <c r="C123" s="3104" t="s">
        <v>2758</v>
      </c>
      <c r="D123" s="3078" t="s">
        <v>2759</v>
      </c>
      <c r="E123" s="3104">
        <v>0.1</v>
      </c>
      <c r="F123" s="3104">
        <v>15</v>
      </c>
    </row>
    <row r="124" spans="1:6" ht="24">
      <c r="A124" s="3104">
        <v>52</v>
      </c>
      <c r="B124" s="4012" t="s">
        <v>2760</v>
      </c>
      <c r="C124" s="3104" t="s">
        <v>2761</v>
      </c>
      <c r="D124" s="3078" t="s">
        <v>2762</v>
      </c>
      <c r="E124" s="3104">
        <v>0.1</v>
      </c>
      <c r="F124" s="3104">
        <v>15</v>
      </c>
    </row>
    <row r="125" spans="1:6" ht="24">
      <c r="A125" s="3104">
        <v>53</v>
      </c>
      <c r="B125" s="4012"/>
      <c r="C125" s="3104" t="s">
        <v>2763</v>
      </c>
      <c r="D125" s="3078" t="s">
        <v>2764</v>
      </c>
      <c r="E125" s="3104">
        <v>0.1</v>
      </c>
      <c r="F125" s="3104">
        <v>15</v>
      </c>
    </row>
    <row r="126" spans="1:6" ht="13.5">
      <c r="A126" s="3104">
        <v>54</v>
      </c>
      <c r="B126" s="3104" t="s">
        <v>2765</v>
      </c>
      <c r="C126" s="3104" t="s">
        <v>2766</v>
      </c>
      <c r="D126" s="3078" t="s">
        <v>2767</v>
      </c>
      <c r="E126" s="3104">
        <v>0.1</v>
      </c>
      <c r="F126" s="3104">
        <v>15</v>
      </c>
    </row>
    <row r="127" spans="1:6" ht="13.5">
      <c r="A127" s="3104">
        <v>55</v>
      </c>
      <c r="B127" s="4012" t="s">
        <v>2768</v>
      </c>
      <c r="C127" s="3104" t="s">
        <v>2769</v>
      </c>
      <c r="D127" s="3078" t="s">
        <v>2770</v>
      </c>
      <c r="E127" s="3104">
        <v>0.1</v>
      </c>
      <c r="F127" s="3104">
        <v>15</v>
      </c>
    </row>
    <row r="128" spans="1:6" ht="13.5">
      <c r="A128" s="3104">
        <v>56</v>
      </c>
      <c r="B128" s="4012"/>
      <c r="C128" s="3104" t="s">
        <v>2771</v>
      </c>
      <c r="D128" s="3078" t="s">
        <v>2772</v>
      </c>
      <c r="E128" s="3104">
        <v>0.1</v>
      </c>
      <c r="F128" s="3104">
        <v>15</v>
      </c>
    </row>
    <row r="129" spans="1:6" ht="24">
      <c r="A129" s="3104">
        <v>57</v>
      </c>
      <c r="B129" s="4012"/>
      <c r="C129" s="3104" t="s">
        <v>2773</v>
      </c>
      <c r="D129" s="3078" t="s">
        <v>2774</v>
      </c>
      <c r="E129" s="3104">
        <v>0.1</v>
      </c>
      <c r="F129" s="3104">
        <v>15</v>
      </c>
    </row>
    <row r="130" spans="1:6" ht="24">
      <c r="A130" s="3104">
        <v>58</v>
      </c>
      <c r="B130" s="4012" t="s">
        <v>2775</v>
      </c>
      <c r="C130" s="3104" t="s">
        <v>2776</v>
      </c>
      <c r="D130" s="3078" t="s">
        <v>2777</v>
      </c>
      <c r="E130" s="3104">
        <v>0.1</v>
      </c>
      <c r="F130" s="3104">
        <v>15</v>
      </c>
    </row>
    <row r="131" spans="1:6" ht="13.5">
      <c r="A131" s="3104">
        <v>59</v>
      </c>
      <c r="B131" s="4012"/>
      <c r="C131" s="3104" t="s">
        <v>2778</v>
      </c>
      <c r="D131" s="3078" t="s">
        <v>2779</v>
      </c>
      <c r="E131" s="3104">
        <v>0.1</v>
      </c>
      <c r="F131" s="3104">
        <v>15</v>
      </c>
    </row>
    <row r="132" spans="1:6" ht="13.5">
      <c r="A132" s="3104">
        <v>60</v>
      </c>
      <c r="B132" s="4007" t="s">
        <v>2780</v>
      </c>
      <c r="C132" s="3104" t="s">
        <v>2781</v>
      </c>
      <c r="D132" s="3078" t="s">
        <v>2782</v>
      </c>
      <c r="E132" s="3104">
        <v>0.1</v>
      </c>
      <c r="F132" s="3104">
        <v>15</v>
      </c>
    </row>
    <row r="133" spans="1:6" ht="13.5">
      <c r="A133" s="3104">
        <v>61</v>
      </c>
      <c r="B133" s="4011"/>
      <c r="C133" s="3104" t="s">
        <v>2783</v>
      </c>
      <c r="D133" s="3078" t="s">
        <v>2784</v>
      </c>
      <c r="E133" s="3104">
        <v>0.1</v>
      </c>
      <c r="F133" s="3104">
        <v>15</v>
      </c>
    </row>
    <row r="134" spans="1:6" ht="24">
      <c r="A134" s="3104">
        <v>62</v>
      </c>
      <c r="B134" s="3104" t="s">
        <v>2785</v>
      </c>
      <c r="C134" s="3104" t="s">
        <v>2786</v>
      </c>
      <c r="D134" s="3078" t="s">
        <v>2787</v>
      </c>
      <c r="E134" s="3104">
        <v>0.1</v>
      </c>
      <c r="F134" s="3104">
        <v>15</v>
      </c>
    </row>
    <row r="135" spans="1:6" ht="13.5">
      <c r="A135" s="3104">
        <v>63</v>
      </c>
      <c r="B135" s="4012" t="s">
        <v>2788</v>
      </c>
      <c r="C135" s="3104" t="s">
        <v>2789</v>
      </c>
      <c r="D135" s="3078" t="s">
        <v>2790</v>
      </c>
      <c r="E135" s="3104">
        <v>0.1</v>
      </c>
      <c r="F135" s="3104">
        <v>15</v>
      </c>
    </row>
    <row r="136" spans="1:6" ht="13.5">
      <c r="A136" s="3104">
        <v>64</v>
      </c>
      <c r="B136" s="4012"/>
      <c r="C136" s="3104" t="s">
        <v>2791</v>
      </c>
      <c r="D136" s="3078" t="s">
        <v>2792</v>
      </c>
      <c r="E136" s="3104">
        <v>0.1</v>
      </c>
      <c r="F136" s="3104">
        <v>15</v>
      </c>
    </row>
    <row r="137" spans="1:6" ht="13.5">
      <c r="A137" s="3104">
        <v>65</v>
      </c>
      <c r="B137" s="3104" t="s">
        <v>2793</v>
      </c>
      <c r="C137" s="3104" t="s">
        <v>2794</v>
      </c>
      <c r="D137" s="3078" t="s">
        <v>2795</v>
      </c>
      <c r="E137" s="3104">
        <v>0.1</v>
      </c>
      <c r="F137" s="3104">
        <v>15</v>
      </c>
    </row>
    <row r="138" spans="1:6" ht="13.5">
      <c r="A138" s="3104"/>
      <c r="B138" s="3104"/>
      <c r="C138" s="3104"/>
      <c r="D138" s="3104"/>
      <c r="E138" s="3104" t="s">
        <v>2796</v>
      </c>
      <c r="F138" s="310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6"/>
  </cols>
  <sheetData>
    <row r="1" spans="1:20" ht="15" thickBot="1">
      <c r="A1" s="3113" t="s">
        <v>2797</v>
      </c>
      <c r="B1" s="3113"/>
      <c r="C1" s="3113"/>
      <c r="D1" s="3113"/>
      <c r="E1" s="3113"/>
      <c r="F1" s="3113"/>
      <c r="G1" s="3113"/>
      <c r="H1" s="3113"/>
      <c r="I1" s="3113"/>
      <c r="J1" s="3113"/>
      <c r="K1" s="3113"/>
      <c r="L1" s="3113"/>
      <c r="M1" s="3113"/>
      <c r="N1" s="745"/>
    </row>
    <row r="2" spans="1:20">
      <c r="A2" s="3114" t="s">
        <v>2798</v>
      </c>
      <c r="B2" s="3115" t="s">
        <v>2594</v>
      </c>
      <c r="C2" s="3115" t="s">
        <v>2595</v>
      </c>
      <c r="D2" s="3115" t="s">
        <v>2596</v>
      </c>
      <c r="E2" s="3115" t="s">
        <v>2597</v>
      </c>
      <c r="F2" s="3115" t="s">
        <v>2598</v>
      </c>
      <c r="G2" s="3115" t="s">
        <v>2599</v>
      </c>
      <c r="H2" s="3116" t="s">
        <v>2600</v>
      </c>
      <c r="I2" s="3116" t="s">
        <v>2601</v>
      </c>
      <c r="J2" s="3117" t="s">
        <v>2602</v>
      </c>
      <c r="K2" s="3117" t="s">
        <v>2603</v>
      </c>
      <c r="L2" s="3117" t="s">
        <v>2604</v>
      </c>
      <c r="M2" s="3118" t="s">
        <v>2605</v>
      </c>
      <c r="Q2" s="3128" t="s">
        <v>2803</v>
      </c>
      <c r="R2" s="3128" t="s">
        <v>2804</v>
      </c>
      <c r="S2" s="3128" t="s">
        <v>2805</v>
      </c>
      <c r="T2" s="3128" t="s">
        <v>2806</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7"/>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7"/>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7"/>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2799</v>
      </c>
      <c r="B93" s="3113"/>
      <c r="C93" s="3113"/>
      <c r="D93" s="3113"/>
      <c r="E93" s="3113"/>
      <c r="F93" s="3113"/>
      <c r="G93" s="3113"/>
      <c r="H93" s="3113"/>
      <c r="I93" s="3113"/>
      <c r="J93" s="3113"/>
      <c r="K93" s="3113"/>
      <c r="L93" s="3113"/>
      <c r="M93" s="3113"/>
    </row>
    <row r="94" spans="1:20">
      <c r="A94" s="3114" t="s">
        <v>2798</v>
      </c>
      <c r="B94" s="3115" t="s">
        <v>2594</v>
      </c>
      <c r="C94" s="3115" t="s">
        <v>2595</v>
      </c>
      <c r="D94" s="3115" t="s">
        <v>2596</v>
      </c>
      <c r="E94" s="3115" t="s">
        <v>2597</v>
      </c>
      <c r="F94" s="3115" t="s">
        <v>2598</v>
      </c>
      <c r="G94" s="3115" t="s">
        <v>2599</v>
      </c>
      <c r="H94" s="3116" t="s">
        <v>2600</v>
      </c>
      <c r="I94" s="3116" t="s">
        <v>2601</v>
      </c>
      <c r="J94" s="3117" t="s">
        <v>2602</v>
      </c>
      <c r="K94" s="3117" t="s">
        <v>2603</v>
      </c>
      <c r="L94" s="3117" t="s">
        <v>2604</v>
      </c>
      <c r="M94" s="3118" t="s">
        <v>2605</v>
      </c>
      <c r="N94" s="746">
        <f>SUMPRODUCT((A95:A184=ROUNDDOWN(基准地价修正!G3,1))*(B94:M94=基准地价修正!G2)*(B95:M184))</f>
        <v>0.99160000000000004</v>
      </c>
      <c r="Q94" s="3128" t="s">
        <v>2803</v>
      </c>
      <c r="R94" s="3128" t="s">
        <v>2804</v>
      </c>
      <c r="S94" s="3128" t="s">
        <v>2805</v>
      </c>
      <c r="T94" s="3128" t="s">
        <v>2806</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5"/>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5"/>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2800</v>
      </c>
      <c r="B185" s="3113"/>
      <c r="C185" s="3113"/>
      <c r="D185" s="3113"/>
      <c r="E185" s="3113"/>
      <c r="F185" s="3113"/>
      <c r="G185" s="3113"/>
      <c r="H185" s="3113"/>
      <c r="I185" s="3113"/>
      <c r="J185" s="3113"/>
      <c r="K185" s="3113"/>
      <c r="L185" s="3113"/>
      <c r="M185" s="3113"/>
    </row>
    <row r="186" spans="1:20">
      <c r="A186" s="3114" t="s">
        <v>2798</v>
      </c>
      <c r="B186" s="3115" t="s">
        <v>2594</v>
      </c>
      <c r="C186" s="3115" t="s">
        <v>2595</v>
      </c>
      <c r="D186" s="3115" t="s">
        <v>2596</v>
      </c>
      <c r="E186" s="3115" t="s">
        <v>2597</v>
      </c>
      <c r="F186" s="3115" t="s">
        <v>2598</v>
      </c>
      <c r="G186" s="3115" t="s">
        <v>2599</v>
      </c>
      <c r="H186" s="3116" t="s">
        <v>2600</v>
      </c>
      <c r="I186" s="3116" t="s">
        <v>2601</v>
      </c>
      <c r="J186" s="3117" t="s">
        <v>2602</v>
      </c>
      <c r="K186" s="3117" t="s">
        <v>2603</v>
      </c>
      <c r="L186" s="3117" t="s">
        <v>2604</v>
      </c>
      <c r="M186" s="3118" t="s">
        <v>2605</v>
      </c>
      <c r="Q186" s="3128" t="s">
        <v>2803</v>
      </c>
      <c r="R186" s="3128" t="s">
        <v>2804</v>
      </c>
      <c r="S186" s="3128" t="s">
        <v>2805</v>
      </c>
      <c r="T186" s="3128" t="s">
        <v>2806</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2801</v>
      </c>
      <c r="B277" s="3113"/>
      <c r="C277" s="3113"/>
      <c r="D277" s="3113"/>
      <c r="E277" s="3113"/>
      <c r="F277" s="3113"/>
      <c r="G277" s="3113"/>
      <c r="H277" s="3113"/>
      <c r="I277" s="3113"/>
      <c r="J277" s="3113"/>
      <c r="K277" s="3113"/>
      <c r="L277" s="3113"/>
      <c r="M277" s="3113"/>
    </row>
    <row r="278" spans="1:21">
      <c r="A278" s="3114" t="s">
        <v>2798</v>
      </c>
      <c r="B278" s="3115" t="s">
        <v>2594</v>
      </c>
      <c r="C278" s="3115" t="s">
        <v>2595</v>
      </c>
      <c r="D278" s="3115" t="s">
        <v>2596</v>
      </c>
      <c r="E278" s="3115" t="s">
        <v>2597</v>
      </c>
      <c r="F278" s="3115" t="s">
        <v>2598</v>
      </c>
      <c r="G278" s="3115" t="s">
        <v>2599</v>
      </c>
      <c r="H278" s="3116" t="s">
        <v>2600</v>
      </c>
      <c r="I278" s="3116" t="s">
        <v>2601</v>
      </c>
      <c r="J278" s="3117" t="s">
        <v>2602</v>
      </c>
      <c r="K278" s="3117" t="s">
        <v>2603</v>
      </c>
      <c r="L278" s="3117" t="s">
        <v>2604</v>
      </c>
      <c r="M278" s="3118" t="s">
        <v>2605</v>
      </c>
      <c r="Q278" s="3128" t="s">
        <v>2803</v>
      </c>
      <c r="R278" s="3128" t="s">
        <v>2804</v>
      </c>
      <c r="S278" s="3128" t="s">
        <v>2807</v>
      </c>
      <c r="T278" s="3128" t="s">
        <v>2808</v>
      </c>
      <c r="U278" s="3128" t="s">
        <v>2806</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2802</v>
      </c>
      <c r="B369" s="3126"/>
      <c r="C369" s="3126"/>
      <c r="D369" s="3126"/>
      <c r="E369" s="3126"/>
      <c r="F369" s="3126"/>
      <c r="G369" s="3126"/>
      <c r="H369" s="3126"/>
      <c r="I369" s="3126"/>
      <c r="J369" s="3126"/>
      <c r="K369" s="3126"/>
      <c r="L369" s="3126"/>
      <c r="M369" s="3126"/>
    </row>
    <row r="370" spans="1:20">
      <c r="A370" s="3114" t="s">
        <v>2798</v>
      </c>
      <c r="B370" s="3115" t="s">
        <v>2594</v>
      </c>
      <c r="C370" s="3115" t="s">
        <v>2595</v>
      </c>
      <c r="D370" s="3115" t="s">
        <v>2596</v>
      </c>
      <c r="E370" s="3115" t="s">
        <v>2597</v>
      </c>
      <c r="F370" s="3115" t="s">
        <v>2598</v>
      </c>
      <c r="G370" s="3115" t="s">
        <v>2599</v>
      </c>
      <c r="H370" s="3116" t="s">
        <v>2600</v>
      </c>
      <c r="I370" s="3116" t="s">
        <v>2601</v>
      </c>
      <c r="J370" s="3117" t="s">
        <v>2602</v>
      </c>
      <c r="K370" s="3117" t="s">
        <v>2603</v>
      </c>
      <c r="L370" s="3117" t="s">
        <v>2604</v>
      </c>
      <c r="M370" s="3118" t="s">
        <v>2605</v>
      </c>
      <c r="N370" s="746">
        <f>SUMPRODUCT((A371:A460=ROUNDDOWN(基准地价修正!G3,1))*(B370:M370=基准地价修正!G2)*(B371:M460))</f>
        <v>0.94320000000000004</v>
      </c>
      <c r="Q370" s="3128" t="s">
        <v>2803</v>
      </c>
      <c r="R370" s="3128" t="s">
        <v>2804</v>
      </c>
      <c r="S370" s="3128" t="s">
        <v>2805</v>
      </c>
      <c r="T370" s="3128" t="s">
        <v>2806</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86491</v>
      </c>
      <c r="C2" s="2" t="s">
        <v>106</v>
      </c>
      <c r="D2" s="198"/>
      <c r="E2" s="198"/>
      <c r="F2" s="198"/>
      <c r="G2" s="198"/>
    </row>
    <row r="3" spans="1:7" s="199" customFormat="1" ht="18" customHeight="1" thickBot="1">
      <c r="A3" s="202" t="s">
        <v>58</v>
      </c>
      <c r="B3" s="203">
        <f ca="1">ROUND(B2*10000/'数据-汇总表'!E3,0)</f>
        <v>4652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2275</v>
      </c>
      <c r="D9" s="841">
        <f>'数据-汇总表'!E5</f>
        <v>133800</v>
      </c>
      <c r="E9" s="224">
        <f>'数据-取费表'!B27</f>
        <v>170</v>
      </c>
      <c r="F9" s="220"/>
      <c r="G9" s="225"/>
    </row>
    <row r="10" spans="1:7" s="213" customFormat="1" ht="13.5" customHeight="1">
      <c r="A10" s="775" t="s">
        <v>356</v>
      </c>
      <c r="B10" s="223" t="s">
        <v>67</v>
      </c>
      <c r="C10" s="224">
        <f>ROUND(D10*E10/10000,0)</f>
        <v>886</v>
      </c>
      <c r="D10" s="841">
        <f>'数据-汇总表'!E6</f>
        <v>52133.899999999965</v>
      </c>
      <c r="E10" s="224">
        <f>'数据-取费表'!B28</f>
        <v>170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3161</v>
      </c>
      <c r="D19" s="845">
        <f>'数据-汇总表'!E3</f>
        <v>185933.89999999997</v>
      </c>
      <c r="E19" s="210">
        <f>'数据-取费表'!B31</f>
        <v>170</v>
      </c>
      <c r="F19" s="230"/>
      <c r="G19" s="1" t="s">
        <v>436</v>
      </c>
    </row>
    <row r="20" spans="1:7" s="213" customFormat="1" ht="13.5" customHeight="1">
      <c r="A20" s="773" t="s">
        <v>419</v>
      </c>
      <c r="B20" s="209" t="s">
        <v>77</v>
      </c>
      <c r="C20" s="231">
        <f>ROUND((C5+C19)*F20,0)</f>
        <v>475</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1510</v>
      </c>
      <c r="D22" s="234">
        <f ca="1">C26</f>
        <v>5.9999999999999995E-4</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1296</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199</v>
      </c>
      <c r="D24" s="237"/>
      <c r="E24" s="237"/>
      <c r="F24" s="238"/>
      <c r="G24" s="239" t="s">
        <v>82</v>
      </c>
    </row>
    <row r="25" spans="1:7" s="213" customFormat="1" ht="24">
      <c r="A25" s="776" t="s">
        <v>348</v>
      </c>
      <c r="B25" s="214" t="s">
        <v>420</v>
      </c>
      <c r="C25" s="1101">
        <f ca="1">ROUND(IF('数据-取费表'!B22&lt;=1,C20*F22*'数据-取费表'!B23/2,C20*(POWER((1+F22),'数据-取费表'!B23/2)-1)),0)</f>
        <v>15</v>
      </c>
      <c r="D25" s="237"/>
      <c r="E25" s="240"/>
      <c r="F25" s="238"/>
      <c r="G25" s="241" t="s">
        <v>83</v>
      </c>
    </row>
    <row r="26" spans="1:7" s="213" customFormat="1">
      <c r="A26" s="776" t="s">
        <v>350</v>
      </c>
      <c r="B26" s="214" t="s">
        <v>422</v>
      </c>
      <c r="C26" s="237">
        <f ca="1">ROUND(IF('数据-取费表'!B22&lt;=1,F21*F22*'数据-取费表'!B23/2,F21*(POWER((1+F22),'数据-取费表'!B23/2)-1)),4)</f>
        <v>5.9999999999999995E-4</v>
      </c>
      <c r="D26" s="237"/>
      <c r="E26" s="240"/>
      <c r="F26" s="238"/>
      <c r="G26" s="242"/>
    </row>
    <row r="27" spans="1:7" s="213" customFormat="1" ht="24.75">
      <c r="A27" s="773" t="s">
        <v>342</v>
      </c>
      <c r="B27" s="243" t="s">
        <v>85</v>
      </c>
      <c r="C27" s="244">
        <f>C28</f>
        <v>2473</v>
      </c>
      <c r="D27" s="234">
        <f>C29</f>
        <v>2E-3</v>
      </c>
      <c r="E27" s="235" t="s">
        <v>99</v>
      </c>
      <c r="F27" s="245">
        <f>'数据-取费表'!Q16</f>
        <v>0.17</v>
      </c>
      <c r="G27" s="246" t="s">
        <v>431</v>
      </c>
    </row>
    <row r="28" spans="1:7" s="213" customFormat="1" ht="13.5" customHeight="1">
      <c r="A28" s="776" t="s">
        <v>349</v>
      </c>
      <c r="B28" s="247" t="s">
        <v>424</v>
      </c>
      <c r="C28" s="248">
        <f>ROUND((C5+C19+C20)*F27*'数据-取费表'!B21/'数据-取费表'!B20,0)</f>
        <v>2473</v>
      </c>
      <c r="D28" s="234"/>
      <c r="E28" s="235"/>
      <c r="F28" s="245"/>
      <c r="G28" s="246"/>
    </row>
    <row r="29" spans="1:7" s="213" customFormat="1" ht="13.5" customHeight="1">
      <c r="A29" s="776" t="s">
        <v>347</v>
      </c>
      <c r="B29" s="247" t="s">
        <v>425</v>
      </c>
      <c r="C29" s="237">
        <f>ROUND(C21*F27*'数据-取费表'!B21/'数据-取费表'!B20,4)</f>
        <v>2E-3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30549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42136</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35936</v>
      </c>
      <c r="D34" s="216"/>
      <c r="E34" s="219"/>
      <c r="F34" s="256">
        <f>IF('数据-取费表'!B24=0,1,'数据-取费表'!N16)</f>
        <v>0.6</v>
      </c>
      <c r="G34" s="218" t="s">
        <v>89</v>
      </c>
    </row>
    <row r="35" spans="1:7" ht="13.5" customHeight="1">
      <c r="A35" s="776" t="s">
        <v>351</v>
      </c>
      <c r="B35" s="214" t="s">
        <v>33</v>
      </c>
      <c r="C35" s="219">
        <f>ROUND(C34*F35,0)</f>
        <v>1797</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1967</v>
      </c>
      <c r="D36" s="219"/>
      <c r="E36" s="219"/>
      <c r="F36" s="258">
        <f>'数据-取费表'!B34</f>
        <v>7.0000000000000007E-2</v>
      </c>
      <c r="G36" s="259" t="s">
        <v>35</v>
      </c>
    </row>
    <row r="37" spans="1:7" s="257" customFormat="1" ht="13.5" customHeight="1">
      <c r="A37" s="776" t="s">
        <v>353</v>
      </c>
      <c r="B37" s="214" t="s">
        <v>91</v>
      </c>
      <c r="C37" s="248">
        <f>ROUND(E37*D37*F34/10000,0)</f>
        <v>1897</v>
      </c>
      <c r="D37" s="216">
        <f>'数据-汇总表'!E3</f>
        <v>185933.89999999997</v>
      </c>
      <c r="E37" s="248">
        <f>'数据-取费表'!B35</f>
        <v>170</v>
      </c>
      <c r="F37" s="258"/>
      <c r="G37" s="260" t="s">
        <v>92</v>
      </c>
    </row>
    <row r="38" spans="1:7" ht="13.5" customHeight="1">
      <c r="A38" s="776" t="s">
        <v>354</v>
      </c>
      <c r="B38" s="214" t="s">
        <v>36</v>
      </c>
      <c r="C38" s="219">
        <f>ROUND(C34*F38,0)</f>
        <v>539</v>
      </c>
      <c r="D38" s="219"/>
      <c r="E38" s="219"/>
      <c r="F38" s="258">
        <f>'数据-取费表'!B36</f>
        <v>1.4999999999999999E-2</v>
      </c>
      <c r="G38" s="218" t="s">
        <v>90</v>
      </c>
    </row>
    <row r="39" spans="1:7" s="213" customFormat="1" ht="13.5" customHeight="1">
      <c r="A39" s="773" t="s">
        <v>338</v>
      </c>
      <c r="B39" s="209" t="s">
        <v>77</v>
      </c>
      <c r="C39" s="231">
        <f>ROUND(C33*F20,0)</f>
        <v>843</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1331</v>
      </c>
      <c r="D41" s="234">
        <f ca="1">C44</f>
        <v>5.9999999999999995E-4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1305</v>
      </c>
      <c r="D42" s="237"/>
      <c r="E42" s="237"/>
      <c r="F42" s="238"/>
      <c r="G42" s="3936" t="s">
        <v>94</v>
      </c>
    </row>
    <row r="43" spans="1:7" ht="13.5" customHeight="1">
      <c r="A43" s="776" t="s">
        <v>347</v>
      </c>
      <c r="B43" s="214" t="s">
        <v>426</v>
      </c>
      <c r="C43" s="237">
        <f ca="1">ROUND(IF('数据-取费表'!B22&lt;=1,C39*F22*'数据-取费表'!B21/2,C39*(POWER((1+F22),'数据-取费表'!B21/2)-1)),0)</f>
        <v>26</v>
      </c>
      <c r="D43" s="237"/>
      <c r="E43" s="237"/>
      <c r="F43" s="238"/>
      <c r="G43" s="3937"/>
    </row>
    <row r="44" spans="1:7" ht="13.5" customHeight="1">
      <c r="A44" s="776" t="s">
        <v>348</v>
      </c>
      <c r="B44" s="214" t="s">
        <v>428</v>
      </c>
      <c r="C44" s="237">
        <f ca="1">ROUND(IF('数据-取费表'!B22&lt;=1,C40*F22*'数据-取费表'!B21/2,C40*(POWER((1+F22),'数据-取费表'!B21/2)-1)),4)</f>
        <v>5.9999999999999995E-4</v>
      </c>
      <c r="D44" s="237"/>
      <c r="E44" s="237"/>
      <c r="F44" s="238"/>
      <c r="G44" s="3938"/>
    </row>
    <row r="45" spans="1:7" s="213" customFormat="1" ht="13.5" customHeight="1">
      <c r="A45" s="773" t="s">
        <v>341</v>
      </c>
      <c r="B45" s="243" t="s">
        <v>85</v>
      </c>
      <c r="C45" s="244">
        <f>C46</f>
        <v>7306</v>
      </c>
      <c r="D45" s="234">
        <f>C47</f>
        <v>3.3999999999999998E-3</v>
      </c>
      <c r="E45" s="235" t="s">
        <v>102</v>
      </c>
      <c r="F45" s="245"/>
      <c r="G45" s="246" t="s">
        <v>434</v>
      </c>
    </row>
    <row r="46" spans="1:7" s="213" customFormat="1" ht="13.5" customHeight="1">
      <c r="A46" s="776" t="s">
        <v>349</v>
      </c>
      <c r="B46" s="247" t="s">
        <v>427</v>
      </c>
      <c r="C46" s="248">
        <f>ROUND((C33+C39)*F27,0)</f>
        <v>7306</v>
      </c>
      <c r="D46" s="262"/>
      <c r="E46" s="235"/>
      <c r="F46" s="245"/>
      <c r="G46" s="246"/>
    </row>
    <row r="47" spans="1:7" s="213" customFormat="1" ht="13.5" customHeight="1">
      <c r="A47" s="776" t="s">
        <v>347</v>
      </c>
      <c r="B47" s="247" t="s">
        <v>429</v>
      </c>
      <c r="C47" s="237">
        <f>ROUND(C40*F27,4)</f>
        <v>3.3999999999999998E-3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55942</v>
      </c>
      <c r="D49" s="231"/>
      <c r="E49" s="231"/>
      <c r="F49" s="263"/>
      <c r="G49" s="233" t="s">
        <v>435</v>
      </c>
    </row>
    <row r="50" spans="1:7" s="257" customFormat="1" ht="24">
      <c r="A50" s="773" t="s">
        <v>344</v>
      </c>
      <c r="B50" s="209" t="s">
        <v>97</v>
      </c>
      <c r="C50" s="231"/>
      <c r="D50" s="231"/>
      <c r="E50" s="231"/>
      <c r="F50" s="263">
        <f>IF('数据-取费表'!B24=0,'数据-取费表'!N16,1)</f>
        <v>1</v>
      </c>
      <c r="G50" s="246" t="s">
        <v>98</v>
      </c>
    </row>
    <row r="51" spans="1:7" ht="16.5" customHeight="1">
      <c r="A51" s="773" t="s">
        <v>345</v>
      </c>
      <c r="B51" s="209" t="s">
        <v>105</v>
      </c>
      <c r="C51" s="231">
        <f ca="1">ROUND(C49*F50,0)</f>
        <v>55942</v>
      </c>
      <c r="D51" s="231"/>
      <c r="E51" s="231"/>
      <c r="F51" s="263"/>
      <c r="G51" s="233" t="s">
        <v>37</v>
      </c>
    </row>
    <row r="52" spans="1:7" s="207" customFormat="1" ht="16.5" thickBot="1">
      <c r="A52" s="264" t="s">
        <v>38</v>
      </c>
      <c r="B52" s="265"/>
      <c r="C52" s="266">
        <f ca="1">C31+C51</f>
        <v>86491</v>
      </c>
      <c r="D52" s="265"/>
      <c r="E52" s="265"/>
      <c r="F52" s="265"/>
      <c r="G52" s="267"/>
    </row>
    <row r="55" spans="1:7" ht="15">
      <c r="B55" s="269" t="s">
        <v>39</v>
      </c>
      <c r="C55" s="270"/>
    </row>
    <row r="56" spans="1:7">
      <c r="B56" s="272" t="s">
        <v>40</v>
      </c>
      <c r="C56" s="273">
        <f ca="1">ROUND(C51/C52,3)</f>
        <v>0.64700000000000002</v>
      </c>
    </row>
    <row r="57" spans="1:7">
      <c r="B57" s="272" t="s">
        <v>41</v>
      </c>
      <c r="C57" s="274">
        <f ca="1">1-C56</f>
        <v>0.35299999999999998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37.04</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1707</v>
      </c>
      <c r="C2" s="1382" t="s">
        <v>805</v>
      </c>
      <c r="D2" s="1382"/>
      <c r="E2" s="1383"/>
      <c r="F2" s="1384"/>
      <c r="G2" s="2696"/>
      <c r="H2" s="2685"/>
      <c r="I2" s="2685"/>
      <c r="J2" s="2685"/>
      <c r="K2" s="2686"/>
      <c r="L2" s="2685"/>
      <c r="M2" s="2685"/>
    </row>
    <row r="3" spans="1:37" ht="18" customHeight="1" thickBot="1">
      <c r="A3" s="1385" t="s">
        <v>806</v>
      </c>
      <c r="B3" s="1386">
        <f ca="1">IF(ISERROR(B2*10000/F43),0,ROUND(B2*10000/F43,0))</f>
        <v>10956</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107</v>
      </c>
      <c r="D5" s="1359" t="s">
        <v>693</v>
      </c>
      <c r="E5" s="1067"/>
      <c r="F5" s="1068"/>
      <c r="G5" s="1379"/>
      <c r="H5" s="298">
        <v>1</v>
      </c>
      <c r="I5" s="299" t="s">
        <v>692</v>
      </c>
      <c r="J5" s="1066">
        <f ca="1">J6+J10+J12</f>
        <v>0</v>
      </c>
      <c r="K5" s="1359" t="s">
        <v>693</v>
      </c>
      <c r="L5" s="1067"/>
      <c r="M5" s="1068"/>
    </row>
    <row r="6" spans="1:37" ht="18" customHeight="1">
      <c r="A6" s="1065" t="s">
        <v>398</v>
      </c>
      <c r="B6" s="3939" t="s">
        <v>694</v>
      </c>
      <c r="C6" s="1070">
        <f ca="1">ROUND(F6*F8*F7*(1-F9)/10000,0)</f>
        <v>107</v>
      </c>
      <c r="D6" s="154" t="s">
        <v>2108</v>
      </c>
      <c r="E6" s="301" t="s">
        <v>696</v>
      </c>
      <c r="F6" s="302">
        <f ca="1">INDIRECT("'数据-取费表'!u"&amp;$G$1)</f>
        <v>2.1</v>
      </c>
      <c r="G6" s="1379"/>
      <c r="H6" s="1065" t="s">
        <v>398</v>
      </c>
      <c r="I6" s="3939" t="s">
        <v>694</v>
      </c>
      <c r="J6" s="300">
        <f ca="1">ROUND(M6*M8*M7*(1-M9)/10000,0)</f>
        <v>0</v>
      </c>
      <c r="K6" s="154" t="s">
        <v>2107</v>
      </c>
      <c r="L6" s="301" t="s">
        <v>696</v>
      </c>
      <c r="M6" s="302">
        <f ca="1">INDIRECT("'数据-取费表'!z"&amp;$G$1)</f>
        <v>0</v>
      </c>
    </row>
    <row r="7" spans="1:37" ht="18" customHeight="1">
      <c r="A7" s="1069"/>
      <c r="B7" s="3940"/>
      <c r="C7" s="1071"/>
      <c r="D7" s="306"/>
      <c r="E7" s="1072" t="s">
        <v>697</v>
      </c>
      <c r="F7" s="302">
        <f ca="1">IF(INDIRECT("'数据-取费表'!ah"&amp;$G$1)="",INDIRECT("'数据-取费表'!k"&amp;$G$1),INDIRECT("'数据-取费表'!ah"&amp;$G$1))</f>
        <v>1558.08</v>
      </c>
      <c r="G7" s="1379"/>
      <c r="H7" s="303"/>
      <c r="I7" s="3940"/>
      <c r="J7" s="305"/>
      <c r="K7" s="306"/>
      <c r="L7" s="301" t="s">
        <v>697</v>
      </c>
      <c r="M7" s="302">
        <f ca="1">F7</f>
        <v>1558.08</v>
      </c>
    </row>
    <row r="8" spans="1:37" ht="18" customHeight="1">
      <c r="A8" s="303"/>
      <c r="B8" s="3940"/>
      <c r="C8" s="305"/>
      <c r="D8" s="306"/>
      <c r="E8" s="301" t="s">
        <v>698</v>
      </c>
      <c r="F8" s="302">
        <f ca="1">INDIRECT("'数据-取费表'!ai"&amp;$G$1)</f>
        <v>365</v>
      </c>
      <c r="G8" s="1379"/>
      <c r="H8" s="303"/>
      <c r="I8" s="3940"/>
      <c r="J8" s="305"/>
      <c r="K8" s="306"/>
      <c r="L8" s="301" t="s">
        <v>698</v>
      </c>
      <c r="M8" s="302">
        <f ca="1">INDIRECT("'数据-取费表'!ai"&amp;$G$1)</f>
        <v>365</v>
      </c>
    </row>
    <row r="9" spans="1:37" ht="18" customHeight="1">
      <c r="A9" s="303"/>
      <c r="B9" s="3941"/>
      <c r="C9" s="305"/>
      <c r="D9" s="306"/>
      <c r="E9" s="301" t="s">
        <v>699</v>
      </c>
      <c r="F9" s="311">
        <f ca="1">INDIRECT("'数据-取费表'!w"&amp;$G$1)</f>
        <v>0.1</v>
      </c>
      <c r="G9" s="1379"/>
      <c r="H9" s="303"/>
      <c r="I9" s="3941"/>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2116</v>
      </c>
      <c r="E10" s="312" t="s">
        <v>701</v>
      </c>
      <c r="F10" s="1112" t="s">
        <v>3808</v>
      </c>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843</v>
      </c>
      <c r="D13" s="1077" t="s">
        <v>705</v>
      </c>
      <c r="E13" s="1077"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569</v>
      </c>
      <c r="D14" s="1340" t="s">
        <v>708</v>
      </c>
      <c r="E14" s="1337"/>
      <c r="F14" s="318"/>
      <c r="G14" s="1379"/>
      <c r="H14" s="978" t="s">
        <v>398</v>
      </c>
      <c r="I14" s="301" t="s">
        <v>709</v>
      </c>
      <c r="J14" s="21">
        <f ca="1">C29</f>
        <v>843</v>
      </c>
      <c r="K14" s="12"/>
      <c r="L14" s="803"/>
      <c r="M14" s="804"/>
    </row>
    <row r="15" spans="1:37" s="1392" customFormat="1" ht="18" customHeight="1" thickBot="1">
      <c r="A15" s="978" t="s">
        <v>399</v>
      </c>
      <c r="B15" s="301" t="s">
        <v>710</v>
      </c>
      <c r="C15" s="21">
        <f ca="1">ROUND(C14*F15,0)</f>
        <v>28</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8</v>
      </c>
      <c r="K16" s="1083" t="s">
        <v>715</v>
      </c>
      <c r="L16" s="1084"/>
      <c r="M16" s="1068"/>
    </row>
    <row r="17" spans="1:37" s="1392" customFormat="1" ht="18" customHeight="1">
      <c r="A17" s="978" t="s">
        <v>681</v>
      </c>
      <c r="B17" s="301" t="s">
        <v>716</v>
      </c>
      <c r="C17" s="21">
        <f ca="1">ROUND(F17*(F43+INDIRECT("'数据-取费表'!S"&amp;$G$1))/10000,0)</f>
        <v>28</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9</v>
      </c>
      <c r="D18" s="301" t="s">
        <v>711</v>
      </c>
      <c r="E18" s="301" t="s">
        <v>712</v>
      </c>
      <c r="F18" s="321">
        <f>'数据-取费表'!B36</f>
        <v>1.4999999999999999E-2</v>
      </c>
      <c r="G18" s="1391"/>
      <c r="H18" s="978" t="s">
        <v>397</v>
      </c>
      <c r="I18" s="301" t="s">
        <v>723</v>
      </c>
      <c r="J18" s="21">
        <f ca="1">ROUND(J6*M18/(1+'数据-取费表'!C42),2)</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634</v>
      </c>
      <c r="D19" s="130" t="s">
        <v>726</v>
      </c>
      <c r="E19" s="1355"/>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13</v>
      </c>
      <c r="D20" s="322"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322" t="s">
        <v>734</v>
      </c>
      <c r="E21" s="301" t="s">
        <v>735</v>
      </c>
      <c r="F21" s="321">
        <f>'数据-取费表'!B38</f>
        <v>0.02</v>
      </c>
      <c r="G21" s="1391"/>
      <c r="H21" s="325"/>
      <c r="I21" s="310"/>
      <c r="J21" s="26"/>
      <c r="K21" s="326"/>
      <c r="L21" s="301" t="s">
        <v>736</v>
      </c>
      <c r="M21" s="302">
        <f ca="1">INDIRECT("'数据-取费表'!r"&amp;$G$1)</f>
        <v>540.65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ROUND(J14*M22,2)</f>
        <v>8.43</v>
      </c>
      <c r="K22" s="13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34</v>
      </c>
      <c r="D23" s="328" t="str">
        <f>IF(F23&lt;=1,"(建造成本+管理费用)×利率×(建设周期÷2)","(建造成本+管理费用)×((1+利率)^(建设周期÷2)-1)")</f>
        <v>(建造成本+管理费用)×((1+利率)^(建设周期÷2)-1)</v>
      </c>
      <c r="E23" s="301" t="s">
        <v>741</v>
      </c>
      <c r="F23" s="324">
        <f>'数据-取费表'!B20</f>
        <v>2.5</v>
      </c>
      <c r="G23" s="1391"/>
      <c r="H23" s="978" t="s">
        <v>437</v>
      </c>
      <c r="I23" s="301" t="s">
        <v>742</v>
      </c>
      <c r="J23" s="21">
        <f ca="1">ROUND(J13*M23,2)</f>
        <v>0</v>
      </c>
      <c r="K23" s="13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1355"/>
      <c r="F25" s="23"/>
      <c r="G25" s="1379"/>
      <c r="H25" s="1075" t="s">
        <v>394</v>
      </c>
      <c r="I25" s="1090" t="s">
        <v>752</v>
      </c>
      <c r="J25" s="309">
        <f ca="1">J5-J16</f>
        <v>-8</v>
      </c>
      <c r="K25" s="1091" t="s">
        <v>753</v>
      </c>
      <c r="L25" s="1092"/>
      <c r="M25" s="1093"/>
    </row>
    <row r="26" spans="1:37">
      <c r="A26" s="978" t="s">
        <v>397</v>
      </c>
      <c r="B26" s="301" t="s">
        <v>754</v>
      </c>
      <c r="C26" s="21">
        <f ca="1">ROUND((C19+C20)*F26,0)</f>
        <v>97</v>
      </c>
      <c r="D26" s="322" t="s">
        <v>755</v>
      </c>
      <c r="E26" s="312" t="s">
        <v>756</v>
      </c>
      <c r="F26" s="311">
        <f ca="1">INDIRECT("'数据-取费表'!q"&amp;$G$1)</f>
        <v>0.15</v>
      </c>
      <c r="G26" s="1379"/>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843</v>
      </c>
      <c r="D29" s="1088"/>
      <c r="E29" s="1086"/>
      <c r="F29" s="1089"/>
      <c r="G29" s="1391"/>
      <c r="H29" s="333" t="s">
        <v>396</v>
      </c>
      <c r="I29" s="334" t="s">
        <v>768</v>
      </c>
      <c r="J29" s="335">
        <f ca="1">ROUND(J26/(1+F40)^F41,0)</f>
        <v>0</v>
      </c>
      <c r="K29" s="336" t="s">
        <v>769</v>
      </c>
      <c r="L29" s="337"/>
      <c r="M29" s="338">
        <f ca="1">INDIRECT("'数据-取费表'!k"&amp;$G$1)</f>
        <v>1558.08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29</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17.940000000000001</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5.71</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12.23</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540.65</v>
      </c>
      <c r="G35" s="1379"/>
      <c r="H35" s="2687"/>
      <c r="I35" s="1393"/>
      <c r="J35" s="1394"/>
      <c r="K35" s="2691"/>
      <c r="L35" s="2690"/>
      <c r="M35" s="2690"/>
    </row>
    <row r="36" spans="1:18" ht="18" customHeight="1">
      <c r="A36" s="1098" t="s">
        <v>402</v>
      </c>
      <c r="B36" s="301" t="s">
        <v>738</v>
      </c>
      <c r="C36" s="21">
        <f ca="1">ROUND(C29*F36,2)</f>
        <v>8.43</v>
      </c>
      <c r="D36" s="13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1.26</v>
      </c>
      <c r="D37" s="1339" t="s">
        <v>743</v>
      </c>
      <c r="E37" s="301" t="s">
        <v>744</v>
      </c>
      <c r="F37" s="329">
        <f ca="1">INDIRECT("'数据-取费表'!Al"&amp;$G$1)</f>
        <v>1.5E-3</v>
      </c>
      <c r="G37" s="1379"/>
      <c r="H37" s="2690"/>
      <c r="I37" s="1393"/>
      <c r="J37" s="1394"/>
      <c r="K37" s="2535"/>
      <c r="L37" s="2690"/>
      <c r="M37" s="2690"/>
    </row>
    <row r="38" spans="1:18" ht="18" customHeight="1" thickBot="1">
      <c r="A38" s="1085" t="s">
        <v>684</v>
      </c>
      <c r="B38" s="1086" t="s">
        <v>728</v>
      </c>
      <c r="C38" s="1087">
        <f ca="1">ROUND(C5*F38,2)</f>
        <v>1.07</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78</v>
      </c>
      <c r="D39" s="1091" t="s">
        <v>773</v>
      </c>
      <c r="E39" s="1092"/>
      <c r="F39" s="1093"/>
      <c r="G39" s="1379"/>
      <c r="H39" s="2690"/>
      <c r="I39" s="1393"/>
      <c r="J39" s="1394"/>
      <c r="K39" s="2694"/>
      <c r="L39" s="2690"/>
      <c r="M39" s="2690"/>
    </row>
    <row r="40" spans="1:18" ht="18" customHeight="1">
      <c r="A40" s="298" t="s">
        <v>395</v>
      </c>
      <c r="B40" s="299" t="s">
        <v>774</v>
      </c>
      <c r="C40" s="300">
        <f ca="1">ROUND(C39*(1-((1+F42)/(1+F40))^F41)/(F40-F42),0)</f>
        <v>1707</v>
      </c>
      <c r="D40" s="323" t="s">
        <v>758</v>
      </c>
      <c r="E40" s="301" t="s">
        <v>759</v>
      </c>
      <c r="F40" s="311">
        <f ca="1">INDIRECT("'数据-取费表'!I"&amp;$G$1)</f>
        <v>5.5E-2</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37.04</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f ca="1">ROUND(C40*10000/F43,0)</f>
        <v>10956</v>
      </c>
      <c r="D43" s="336" t="s">
        <v>777</v>
      </c>
      <c r="E43" s="337" t="s">
        <v>778</v>
      </c>
      <c r="F43" s="338">
        <f ca="1">INDIRECT("'数据-取费表'!k"&amp;$G$1)</f>
        <v>1558.08</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f ca="1">C68-C40</f>
        <v>-1864</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1707</v>
      </c>
      <c r="R47" s="1415" t="s">
        <v>818</v>
      </c>
    </row>
    <row r="48" spans="1:18" s="1379" customFormat="1" ht="28.5" thickBot="1">
      <c r="A48" s="1106" t="s">
        <v>438</v>
      </c>
      <c r="B48" s="299" t="s">
        <v>692</v>
      </c>
      <c r="C48" s="1354">
        <f ca="1">C49+C53+C55</f>
        <v>0</v>
      </c>
      <c r="D48" s="1108"/>
      <c r="E48" s="1109"/>
      <c r="F48" s="958"/>
      <c r="G48" s="721"/>
      <c r="H48" s="722"/>
      <c r="I48" s="1416" t="s">
        <v>819</v>
      </c>
      <c r="J48" s="1417" t="s">
        <v>3402</v>
      </c>
      <c r="K48" s="1418" t="s">
        <v>820</v>
      </c>
      <c r="L48" s="1419">
        <f ca="1">INDIRECT("'数据-取费表'!f"&amp;$G$1)</f>
        <v>37.04</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2109</v>
      </c>
      <c r="E49" s="1367" t="s">
        <v>780</v>
      </c>
      <c r="F49" s="1056"/>
      <c r="G49" s="1420"/>
      <c r="H49" s="722"/>
      <c r="I49" s="1416" t="s">
        <v>823</v>
      </c>
      <c r="J49" s="1421">
        <v>2022</v>
      </c>
      <c r="K49" s="1418" t="s">
        <v>824</v>
      </c>
      <c r="L49" s="1422"/>
      <c r="O49" s="1423" t="s">
        <v>405</v>
      </c>
      <c r="P49" s="1414" t="s">
        <v>825</v>
      </c>
      <c r="Q49" s="1415">
        <f ca="1">C29</f>
        <v>843</v>
      </c>
      <c r="R49" s="1415" t="s">
        <v>818</v>
      </c>
    </row>
    <row r="50" spans="1:18" s="1379" customFormat="1" ht="13.5" thickBot="1">
      <c r="A50" s="972"/>
      <c r="B50" s="975"/>
      <c r="C50" s="1114"/>
      <c r="D50" s="949"/>
      <c r="E50" s="1052" t="s">
        <v>697</v>
      </c>
      <c r="F50" s="1053">
        <f ca="1">F7</f>
        <v>1558.08</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365</v>
      </c>
      <c r="I51" s="1427" t="s">
        <v>829</v>
      </c>
      <c r="J51" s="1428">
        <f>IF(J49="",J50,J49+J50-YEAR('数据-取费表'!B2))</f>
        <v>59</v>
      </c>
      <c r="K51" s="1429" t="s">
        <v>830</v>
      </c>
      <c r="L51" s="1430">
        <f ca="1">ROUND(-PV(INDIRECT("'数据-取费表'!h"&amp;$G$1),J51,(C39-C13*C76),0),0)</f>
        <v>279</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37.04</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37.04</v>
      </c>
      <c r="K53" s="3942" t="s">
        <v>837</v>
      </c>
      <c r="L53" s="3943"/>
      <c r="O53" s="1413" t="s">
        <v>409</v>
      </c>
      <c r="P53" s="1414" t="s">
        <v>838</v>
      </c>
      <c r="Q53" s="1415">
        <f ca="1">Q47+Q48</f>
        <v>1707</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843</v>
      </c>
      <c r="D56" s="1442"/>
      <c r="E56" s="1443"/>
      <c r="F56" s="1435"/>
      <c r="I56" s="1444" t="s">
        <v>842</v>
      </c>
      <c r="J56" s="1445" t="s">
        <v>3378</v>
      </c>
      <c r="K56" s="1416" t="s">
        <v>843</v>
      </c>
      <c r="L56" s="1419" t="str">
        <f ca="1">IF(L48&lt;J51,"——",L48-J53)</f>
        <v>——</v>
      </c>
      <c r="O56" s="1413" t="s">
        <v>403</v>
      </c>
      <c r="P56" s="1414" t="s">
        <v>817</v>
      </c>
      <c r="Q56" s="1415">
        <f ca="1">C40+J29</f>
        <v>1707</v>
      </c>
      <c r="R56" s="1415" t="s">
        <v>818</v>
      </c>
    </row>
    <row r="57" spans="1:18" s="1379" customFormat="1" ht="24.75" thickBot="1">
      <c r="A57" s="1446"/>
      <c r="B57" s="946" t="s">
        <v>767</v>
      </c>
      <c r="C57" s="237">
        <f ca="1">C29</f>
        <v>843</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10</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0.05</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1707</v>
      </c>
      <c r="R62" s="1415" t="s">
        <v>410</v>
      </c>
    </row>
    <row r="63" spans="1:18" s="1379" customFormat="1" ht="13.5" thickBot="1">
      <c r="A63" s="325"/>
      <c r="B63" s="952"/>
      <c r="C63" s="26"/>
      <c r="D63" s="962"/>
      <c r="E63" s="946" t="s">
        <v>788</v>
      </c>
      <c r="F63" s="302">
        <f t="shared" ca="1" si="0"/>
        <v>540.65</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8.43</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1.26</v>
      </c>
      <c r="D65" s="960" t="s">
        <v>743</v>
      </c>
      <c r="E65" s="946" t="s">
        <v>744</v>
      </c>
      <c r="F65" s="329">
        <f t="shared" ca="1" si="0"/>
        <v>1.5E-3</v>
      </c>
      <c r="I65" s="1457" t="s">
        <v>867</v>
      </c>
      <c r="J65" s="1458">
        <v>40</v>
      </c>
      <c r="K65" s="1458">
        <v>30</v>
      </c>
      <c r="L65" s="1458">
        <v>50</v>
      </c>
      <c r="M65" s="1460">
        <v>0.02</v>
      </c>
      <c r="O65" s="1413" t="s">
        <v>403</v>
      </c>
      <c r="P65" s="1414" t="s">
        <v>868</v>
      </c>
      <c r="Q65" s="1415">
        <f ca="1">C40+J29</f>
        <v>1707</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-10</v>
      </c>
      <c r="D67" s="959" t="s">
        <v>753</v>
      </c>
      <c r="E67" s="964"/>
      <c r="F67" s="965"/>
      <c r="O67" s="1423" t="s">
        <v>405</v>
      </c>
      <c r="P67" s="1414" t="s">
        <v>850</v>
      </c>
      <c r="Q67" s="1461">
        <f ca="1">L51</f>
        <v>279</v>
      </c>
      <c r="R67" s="1415" t="s">
        <v>870</v>
      </c>
    </row>
    <row r="68" spans="1:18" s="1379" customFormat="1" ht="16.5" thickBot="1">
      <c r="A68" s="943" t="s">
        <v>395</v>
      </c>
      <c r="B68" s="944" t="s">
        <v>774</v>
      </c>
      <c r="C68" s="300">
        <f ca="1">ROUND(C67*(1-((1+F70)/(1+F68))^F69)/(F68-F70),0)</f>
        <v>-157</v>
      </c>
      <c r="D68" s="961" t="s">
        <v>758</v>
      </c>
      <c r="E68" s="946" t="s">
        <v>759</v>
      </c>
      <c r="F68" s="311">
        <f ca="1">F40</f>
        <v>5.5E-2</v>
      </c>
      <c r="O68" s="1423" t="s">
        <v>406</v>
      </c>
      <c r="P68" s="1462" t="s">
        <v>871</v>
      </c>
      <c r="Q68" s="1415">
        <f ca="1">ROUND(Q69-Q70*Q71,0)</f>
        <v>15</v>
      </c>
      <c r="R68" s="1415" t="s">
        <v>414</v>
      </c>
    </row>
    <row r="69" spans="1:18" s="1379" customFormat="1" ht="13.5" thickBot="1">
      <c r="A69" s="947"/>
      <c r="B69" s="948"/>
      <c r="C69" s="305"/>
      <c r="D69" s="966" t="s">
        <v>762</v>
      </c>
      <c r="E69" s="946" t="s">
        <v>763</v>
      </c>
      <c r="F69" s="332">
        <f ca="1">F41</f>
        <v>37.04</v>
      </c>
      <c r="O69" s="1423" t="s">
        <v>411</v>
      </c>
      <c r="P69" s="1462" t="s">
        <v>872</v>
      </c>
      <c r="Q69" s="1415">
        <f ca="1">C39</f>
        <v>78</v>
      </c>
      <c r="R69" s="1415" t="s">
        <v>818</v>
      </c>
    </row>
    <row r="70" spans="1:18" s="1379" customFormat="1" ht="13.5" thickBot="1">
      <c r="A70" s="950"/>
      <c r="B70" s="951"/>
      <c r="C70" s="309"/>
      <c r="D70" s="962"/>
      <c r="E70" s="946" t="s">
        <v>766</v>
      </c>
      <c r="F70" s="1050"/>
      <c r="O70" s="1423" t="s">
        <v>412</v>
      </c>
      <c r="P70" s="1462" t="s">
        <v>873</v>
      </c>
      <c r="Q70" s="1415">
        <f ca="1">C13</f>
        <v>843</v>
      </c>
      <c r="R70" s="1415" t="s">
        <v>818</v>
      </c>
    </row>
    <row r="71" spans="1:18" s="1379" customFormat="1" ht="13.5" thickBot="1">
      <c r="A71" s="967" t="s">
        <v>396</v>
      </c>
      <c r="B71" s="968" t="s">
        <v>776</v>
      </c>
      <c r="C71" s="335">
        <f ca="1">ROUND(C68*10000/F71,0)</f>
        <v>-1008</v>
      </c>
      <c r="D71" s="969" t="s">
        <v>777</v>
      </c>
      <c r="E71" s="970" t="s">
        <v>778</v>
      </c>
      <c r="F71" s="338">
        <f ca="1">F43</f>
        <v>1558.08</v>
      </c>
      <c r="O71" s="1423" t="s">
        <v>413</v>
      </c>
      <c r="P71" s="1462" t="s">
        <v>874</v>
      </c>
      <c r="Q71" s="1426">
        <f ca="1">C76</f>
        <v>7.4999999999999997E-2</v>
      </c>
      <c r="R71" s="1415"/>
    </row>
    <row r="72" spans="1:18" s="1379" customFormat="1" ht="13.5" thickBot="1">
      <c r="B72" s="725"/>
      <c r="C72" s="725"/>
      <c r="O72" s="1423" t="s">
        <v>407</v>
      </c>
      <c r="P72" s="1414" t="s">
        <v>852</v>
      </c>
      <c r="Q72" s="1426">
        <f>L52</f>
        <v>0.05</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63</v>
      </c>
      <c r="D75" s="1379"/>
      <c r="E75" s="1379"/>
      <c r="F75" s="1379"/>
      <c r="K75" s="1397"/>
      <c r="L75" s="1379"/>
      <c r="O75" s="1413" t="s">
        <v>409</v>
      </c>
      <c r="P75" s="1414" t="s">
        <v>838</v>
      </c>
      <c r="Q75" s="1415">
        <f ca="1">Q65+Q66</f>
        <v>1707</v>
      </c>
      <c r="R75" s="1415" t="s">
        <v>410</v>
      </c>
    </row>
    <row r="76" spans="1:18">
      <c r="B76" s="341" t="s">
        <v>796</v>
      </c>
      <c r="C76" s="342">
        <f ca="1">INDIRECT("'数据-取费表'!j"&amp;$G$1)</f>
        <v>7.4999999999999997E-2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0.19199999999999995</v>
      </c>
    </row>
    <row r="80" spans="1:18">
      <c r="B80" s="339" t="s">
        <v>800</v>
      </c>
      <c r="C80" s="273">
        <f ca="1">ROUND(C75/C39,3)</f>
        <v>0.80800000000000005</v>
      </c>
    </row>
    <row r="81" spans="2:3">
      <c r="B81" s="269" t="s">
        <v>801</v>
      </c>
      <c r="C81" s="237"/>
    </row>
    <row r="82" spans="2:3">
      <c r="B82" s="272" t="s">
        <v>802</v>
      </c>
      <c r="C82" s="274">
        <f ca="1">1-C83</f>
        <v>0.50600000000000001</v>
      </c>
    </row>
    <row r="83" spans="2:3">
      <c r="B83" s="272" t="s">
        <v>803</v>
      </c>
      <c r="C83" s="273">
        <f ca="1">ROUND(C13/C40,3)</f>
        <v>0.49399999999999999</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5" zoomScaleNormal="70" zoomScaleSheetLayoutView="85" workbookViewId="0">
      <selection activeCell="J36" sqref="J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3437</v>
      </c>
      <c r="D1" s="1357" t="s">
        <v>43</v>
      </c>
      <c r="E1" s="1358" t="s">
        <v>678</v>
      </c>
      <c r="F1" s="1058">
        <f ca="1">J53</f>
        <v>47.05</v>
      </c>
      <c r="G1" s="1373">
        <f>MATCH(C1,'数据-取费表'!A6:A16,0)+5</f>
        <v>8</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7989</v>
      </c>
      <c r="C2" s="1382" t="s">
        <v>805</v>
      </c>
      <c r="D2" s="1382"/>
      <c r="E2" s="1383"/>
      <c r="F2" s="1384"/>
      <c r="G2" s="2696"/>
      <c r="H2" s="2685"/>
      <c r="I2" s="2685"/>
      <c r="J2" s="2685"/>
      <c r="K2" s="2686"/>
      <c r="L2" s="2685"/>
      <c r="M2" s="2685"/>
    </row>
    <row r="3" spans="1:37" ht="18" customHeight="1" thickBot="1">
      <c r="A3" s="1385" t="s">
        <v>806</v>
      </c>
      <c r="B3" s="1386">
        <f ca="1">IF(ISERROR(B2*10000/F43),0,ROUND(B2*10000/F43,0))</f>
        <v>2810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589</v>
      </c>
      <c r="D5" s="1359" t="s">
        <v>693</v>
      </c>
      <c r="E5" s="1067"/>
      <c r="F5" s="1068"/>
      <c r="G5" s="1379"/>
      <c r="H5" s="298">
        <v>1</v>
      </c>
      <c r="I5" s="299" t="s">
        <v>692</v>
      </c>
      <c r="J5" s="1066">
        <f ca="1">J6+J10+J12</f>
        <v>0</v>
      </c>
      <c r="K5" s="1359" t="s">
        <v>693</v>
      </c>
      <c r="L5" s="1067"/>
      <c r="M5" s="1068"/>
    </row>
    <row r="6" spans="1:37" ht="18" customHeight="1">
      <c r="A6" s="1065" t="s">
        <v>398</v>
      </c>
      <c r="B6" s="3939" t="s">
        <v>694</v>
      </c>
      <c r="C6" s="1070">
        <f ca="1">ROUND(F6*F8*F7*(1-F9)/10000,0)</f>
        <v>589</v>
      </c>
      <c r="D6" s="154" t="s">
        <v>2108</v>
      </c>
      <c r="E6" s="301" t="s">
        <v>696</v>
      </c>
      <c r="F6" s="302">
        <f ca="1">INDIRECT("'数据-取费表'!u"&amp;$G$1)</f>
        <v>500</v>
      </c>
      <c r="G6" s="1379"/>
      <c r="H6" s="1065" t="s">
        <v>398</v>
      </c>
      <c r="I6" s="3939" t="s">
        <v>694</v>
      </c>
      <c r="J6" s="300">
        <f ca="1">ROUND(M6*M8*M7*(1-M9)/10000,0)</f>
        <v>0</v>
      </c>
      <c r="K6" s="154" t="s">
        <v>2107</v>
      </c>
      <c r="L6" s="301" t="s">
        <v>696</v>
      </c>
      <c r="M6" s="302">
        <f ca="1">INDIRECT("'数据-取费表'!z"&amp;$G$1)</f>
        <v>0</v>
      </c>
    </row>
    <row r="7" spans="1:37" ht="18" customHeight="1">
      <c r="A7" s="1069"/>
      <c r="B7" s="3940"/>
      <c r="C7" s="1071"/>
      <c r="D7" s="306"/>
      <c r="E7" s="3474" t="s">
        <v>697</v>
      </c>
      <c r="F7" s="302">
        <f ca="1">IF(INDIRECT("'数据-取费表'!ah"&amp;$G$1)="",INDIRECT("'数据-取费表'!k"&amp;$G$1),INDIRECT("'数据-取费表'!ah"&amp;$G$1))</f>
        <v>1091</v>
      </c>
      <c r="G7" s="1379"/>
      <c r="H7" s="303"/>
      <c r="I7" s="3940"/>
      <c r="J7" s="305"/>
      <c r="K7" s="306"/>
      <c r="L7" s="301" t="s">
        <v>697</v>
      </c>
      <c r="M7" s="302">
        <f ca="1">F7</f>
        <v>1091</v>
      </c>
    </row>
    <row r="8" spans="1:37" ht="18" customHeight="1">
      <c r="A8" s="303"/>
      <c r="B8" s="3940"/>
      <c r="C8" s="305"/>
      <c r="D8" s="306"/>
      <c r="E8" s="301" t="s">
        <v>698</v>
      </c>
      <c r="F8" s="302">
        <f ca="1">INDIRECT("'数据-取费表'!ai"&amp;$G$1)</f>
        <v>12</v>
      </c>
      <c r="G8" s="1379"/>
      <c r="H8" s="303"/>
      <c r="I8" s="3940"/>
      <c r="J8" s="305"/>
      <c r="K8" s="306"/>
      <c r="L8" s="301" t="s">
        <v>698</v>
      </c>
      <c r="M8" s="302">
        <f ca="1">INDIRECT("'数据-取费表'!ai"&amp;$G$1)</f>
        <v>12</v>
      </c>
    </row>
    <row r="9" spans="1:37" ht="18" customHeight="1">
      <c r="A9" s="303"/>
      <c r="B9" s="3941"/>
      <c r="C9" s="305"/>
      <c r="D9" s="306"/>
      <c r="E9" s="301" t="s">
        <v>699</v>
      </c>
      <c r="F9" s="311">
        <f ca="1">INDIRECT("'数据-取费表'!w"&amp;$G$1)</f>
        <v>0.1</v>
      </c>
      <c r="G9" s="1379"/>
      <c r="H9" s="303"/>
      <c r="I9" s="3941"/>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14077</v>
      </c>
      <c r="D13" s="3466" t="s">
        <v>705</v>
      </c>
      <c r="E13" s="346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10397</v>
      </c>
      <c r="D14" s="3470" t="s">
        <v>708</v>
      </c>
      <c r="E14" s="3468"/>
      <c r="F14" s="318"/>
      <c r="G14" s="1379"/>
      <c r="H14" s="978" t="s">
        <v>398</v>
      </c>
      <c r="I14" s="301" t="s">
        <v>709</v>
      </c>
      <c r="J14" s="21">
        <f ca="1">C29</f>
        <v>14077</v>
      </c>
      <c r="K14" s="3473"/>
      <c r="L14" s="803"/>
      <c r="M14" s="804"/>
    </row>
    <row r="15" spans="1:37" s="1392" customFormat="1" ht="18" customHeight="1" thickBot="1">
      <c r="A15" s="978" t="s">
        <v>399</v>
      </c>
      <c r="B15" s="301" t="s">
        <v>710</v>
      </c>
      <c r="C15" s="21">
        <f ca="1">ROUND(C14*F15,0)</f>
        <v>520</v>
      </c>
      <c r="D15" s="3467" t="s">
        <v>711</v>
      </c>
      <c r="E15" s="346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141</v>
      </c>
      <c r="K16" s="1083" t="s">
        <v>715</v>
      </c>
      <c r="L16" s="3471"/>
      <c r="M16" s="1068"/>
    </row>
    <row r="17" spans="1:37" s="1392" customFormat="1" ht="18" customHeight="1">
      <c r="A17" s="978" t="s">
        <v>681</v>
      </c>
      <c r="B17" s="301" t="s">
        <v>716</v>
      </c>
      <c r="C17" s="21">
        <f ca="1">ROUND(F17*(F43+INDIRECT("'数据-取费表'!S"&amp;$G$1))/10000,0)</f>
        <v>505</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70" t="s">
        <v>720</v>
      </c>
      <c r="L17" s="346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156</v>
      </c>
      <c r="D18" s="301" t="s">
        <v>711</v>
      </c>
      <c r="E18" s="301" t="s">
        <v>712</v>
      </c>
      <c r="F18" s="321">
        <f>'数据-取费表'!B36</f>
        <v>1.4999999999999999E-2</v>
      </c>
      <c r="G18" s="1391"/>
      <c r="H18" s="978" t="s">
        <v>397</v>
      </c>
      <c r="I18" s="301" t="s">
        <v>723</v>
      </c>
      <c r="J18" s="21">
        <f ca="1">ROUND(J6*M18/(1+'数据-取费表'!C42),2)</f>
        <v>0</v>
      </c>
      <c r="K18" s="346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11578</v>
      </c>
      <c r="D19" s="130" t="s">
        <v>726</v>
      </c>
      <c r="E19" s="3476"/>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232</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2419" t="s">
        <v>734</v>
      </c>
      <c r="E21" s="301" t="s">
        <v>735</v>
      </c>
      <c r="F21" s="321">
        <f>'数据-取费表'!B38</f>
        <v>0.02</v>
      </c>
      <c r="G21" s="1391"/>
      <c r="H21" s="325"/>
      <c r="I21" s="310"/>
      <c r="J21" s="26"/>
      <c r="K21" s="326"/>
      <c r="L21" s="301" t="s">
        <v>736</v>
      </c>
      <c r="M21" s="302">
        <f ca="1">INDIRECT("'数据-取费表'!r"&amp;$G$1)</f>
        <v>9865.58</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76"/>
      <c r="F22" s="23"/>
      <c r="G22" s="1379"/>
      <c r="H22" s="978" t="s">
        <v>402</v>
      </c>
      <c r="I22" s="301" t="s">
        <v>738</v>
      </c>
      <c r="J22" s="21">
        <f ca="1">ROUND(J14*M22,2)</f>
        <v>140.77000000000001</v>
      </c>
      <c r="K22" s="346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616</v>
      </c>
      <c r="D23" s="328" t="str">
        <f>IF(F23&lt;=1,"(建造成本+管理费用)×利率×(建设周期÷2)","(建造成本+管理费用)×((1+利率)^(建设周期÷2)-1)")</f>
        <v>(建造成本+管理费用)×((1+利率)^(建设周期÷2)-1)</v>
      </c>
      <c r="E23" s="301" t="s">
        <v>741</v>
      </c>
      <c r="F23" s="324">
        <f>'数据-取费表'!B20</f>
        <v>2.5</v>
      </c>
      <c r="G23" s="1391"/>
      <c r="H23" s="978" t="s">
        <v>437</v>
      </c>
      <c r="I23" s="301" t="s">
        <v>742</v>
      </c>
      <c r="J23" s="21">
        <f ca="1">ROUND(J13*M23,2)</f>
        <v>0</v>
      </c>
      <c r="K23" s="346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76"/>
      <c r="F25" s="23"/>
      <c r="G25" s="1379"/>
      <c r="H25" s="1075" t="s">
        <v>394</v>
      </c>
      <c r="I25" s="1090" t="s">
        <v>752</v>
      </c>
      <c r="J25" s="309">
        <f ca="1">J5-J16</f>
        <v>-141</v>
      </c>
      <c r="K25" s="1091" t="s">
        <v>753</v>
      </c>
      <c r="L25" s="1092"/>
      <c r="M25" s="1093"/>
    </row>
    <row r="26" spans="1:37">
      <c r="A26" s="978" t="s">
        <v>397</v>
      </c>
      <c r="B26" s="301" t="s">
        <v>754</v>
      </c>
      <c r="C26" s="21">
        <f ca="1">ROUND((C19+C20)*F26,0)</f>
        <v>591</v>
      </c>
      <c r="D26" s="2419" t="s">
        <v>755</v>
      </c>
      <c r="E26" s="312" t="s">
        <v>756</v>
      </c>
      <c r="F26" s="311">
        <f ca="1">INDIRECT("'数据-取费表'!q"&amp;$G$1)</f>
        <v>0.05</v>
      </c>
      <c r="G26" s="1379"/>
      <c r="H26" s="298" t="s">
        <v>395</v>
      </c>
      <c r="I26" s="299" t="s">
        <v>757</v>
      </c>
      <c r="J26" s="300">
        <f ca="1">IF(J5&lt;&gt;0,ROUND(J25*(1-((1+M28)/(1+M26))^M27)/(M26-M28),0),0)</f>
        <v>0</v>
      </c>
      <c r="K26" s="323" t="s">
        <v>758</v>
      </c>
      <c r="L26" s="301" t="s">
        <v>759</v>
      </c>
      <c r="M26" s="311">
        <f ca="1">INDIRECT("'数据-取费表'!I"&amp;$G$1)</f>
        <v>0.05</v>
      </c>
    </row>
    <row r="27" spans="1:37" ht="18" customHeight="1">
      <c r="A27" s="978" t="s">
        <v>399</v>
      </c>
      <c r="B27" s="301" t="s">
        <v>760</v>
      </c>
      <c r="C27" s="21">
        <f ca="1">ROUND(F21*F26,4)</f>
        <v>1E-3</v>
      </c>
      <c r="D27" s="2419" t="s">
        <v>761</v>
      </c>
      <c r="E27" s="346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14077</v>
      </c>
      <c r="D29" s="1088"/>
      <c r="E29" s="1086"/>
      <c r="F29" s="1089"/>
      <c r="G29" s="1391"/>
      <c r="H29" s="333" t="s">
        <v>396</v>
      </c>
      <c r="I29" s="334" t="s">
        <v>768</v>
      </c>
      <c r="J29" s="335">
        <f ca="1">ROUND(J26/(1+F40)^F41,0)</f>
        <v>0</v>
      </c>
      <c r="K29" s="336" t="s">
        <v>769</v>
      </c>
      <c r="L29" s="337"/>
      <c r="M29" s="338">
        <f ca="1">INDIRECT("'数据-取费表'!k"&amp;$G$1)</f>
        <v>28431.67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267</v>
      </c>
      <c r="D30" s="1083" t="s">
        <v>715</v>
      </c>
      <c r="E30" s="3471"/>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98.72</v>
      </c>
      <c r="D31" s="3470" t="s">
        <v>720</v>
      </c>
      <c r="E31" s="3469" t="s">
        <v>770</v>
      </c>
      <c r="F31" s="2307">
        <f ca="1">IF(项目基本情况!B11="企业","——",IF(M47="住宅",IF(F6*F7*F8/12/(1+'数据-取费表'!F30)&gt;100000,4%,2.5%),IF(F6*F7*F8/12/(1+'数据-取费表'!F30)&gt;100000,12%,7%)))</f>
        <v>0.12</v>
      </c>
      <c r="G31" s="1379"/>
      <c r="H31" s="2798" t="s">
        <v>2307</v>
      </c>
      <c r="I31" s="1393"/>
      <c r="J31" s="1394"/>
      <c r="K31" s="2466"/>
      <c r="L31" s="2688"/>
      <c r="M31" s="2689"/>
    </row>
    <row r="32" spans="1:37" ht="18" customHeight="1">
      <c r="A32" s="978" t="s">
        <v>397</v>
      </c>
      <c r="B32" s="301" t="s">
        <v>723</v>
      </c>
      <c r="C32" s="21">
        <f ca="1">IF(项目基本情况!B11="自然人","——",ROUND(C6*F32/(1+'数据-取费表'!C42),2))</f>
        <v>31.41</v>
      </c>
      <c r="D32" s="346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67.31</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9865.58</v>
      </c>
      <c r="G35" s="1379"/>
      <c r="H35" s="2687"/>
      <c r="I35" s="1393"/>
      <c r="J35" s="1394"/>
      <c r="K35" s="2691"/>
      <c r="L35" s="2690"/>
      <c r="M35" s="2690"/>
    </row>
    <row r="36" spans="1:18" ht="18" customHeight="1">
      <c r="A36" s="1098" t="s">
        <v>402</v>
      </c>
      <c r="B36" s="301" t="s">
        <v>738</v>
      </c>
      <c r="C36" s="21">
        <f ca="1">ROUND(C29*F36,2)</f>
        <v>140.77000000000001</v>
      </c>
      <c r="D36" s="346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21.12</v>
      </c>
      <c r="D37" s="346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5.89</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322</v>
      </c>
      <c r="D39" s="1091" t="s">
        <v>773</v>
      </c>
      <c r="E39" s="1092"/>
      <c r="F39" s="1093"/>
      <c r="G39" s="1379"/>
      <c r="H39" s="2690"/>
      <c r="I39" s="1393"/>
      <c r="J39" s="1394"/>
      <c r="K39" s="2694"/>
      <c r="L39" s="2690"/>
      <c r="M39" s="2690"/>
    </row>
    <row r="40" spans="1:18" ht="18" customHeight="1">
      <c r="A40" s="298" t="s">
        <v>395</v>
      </c>
      <c r="B40" s="299" t="s">
        <v>774</v>
      </c>
      <c r="C40" s="300">
        <f ca="1">ROUND(C39*(1-((1+F42)/(1+F40))^F41)/(F40-F42),0)</f>
        <v>7989</v>
      </c>
      <c r="D40" s="323" t="s">
        <v>758</v>
      </c>
      <c r="E40" s="301" t="s">
        <v>759</v>
      </c>
      <c r="F40" s="311">
        <f ca="1">INDIRECT("'数据-取费表'!I"&amp;$G$1)</f>
        <v>0.05</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47.05</v>
      </c>
      <c r="G41" s="1379"/>
      <c r="H41" s="1186">
        <f ca="1">C40/F7</f>
        <v>7.3226397800183314</v>
      </c>
      <c r="I41" s="1393"/>
      <c r="J41" s="1394"/>
      <c r="K41" s="2535"/>
      <c r="L41" s="1186"/>
      <c r="M41" s="1186"/>
    </row>
    <row r="42" spans="1:18" ht="18" customHeight="1">
      <c r="A42" s="307"/>
      <c r="B42" s="308"/>
      <c r="C42" s="309"/>
      <c r="D42" s="326"/>
      <c r="E42" s="301" t="s">
        <v>766</v>
      </c>
      <c r="F42" s="311">
        <f ca="1">INDIRECT("'数据-取费表'!v"&amp;$G$1)</f>
        <v>0.02</v>
      </c>
      <c r="G42" s="1379"/>
      <c r="H42" s="1186"/>
      <c r="I42" s="1393"/>
      <c r="J42" s="1394"/>
      <c r="K42" s="2535"/>
      <c r="L42" s="1186"/>
      <c r="M42" s="1186"/>
    </row>
    <row r="43" spans="1:18" ht="18" customHeight="1" thickBot="1">
      <c r="A43" s="333" t="s">
        <v>396</v>
      </c>
      <c r="B43" s="334" t="s">
        <v>776</v>
      </c>
      <c r="C43" s="335">
        <f ca="1">ROUND(C40*10000/F43,0)</f>
        <v>2810</v>
      </c>
      <c r="D43" s="336" t="s">
        <v>777</v>
      </c>
      <c r="E43" s="337" t="s">
        <v>778</v>
      </c>
      <c r="F43" s="338">
        <f ca="1">INDIRECT("'数据-取费表'!k"&amp;$G$1)</f>
        <v>28431.67</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f ca="1">C68-C40</f>
        <v>-10903</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50</v>
      </c>
      <c r="M47" s="1375" t="str">
        <f>IF(ISNUMBER(FIND("住宅",C1)),"住宅","非住宅")</f>
        <v>非住宅</v>
      </c>
      <c r="O47" s="1413" t="s">
        <v>403</v>
      </c>
      <c r="P47" s="1414" t="s">
        <v>817</v>
      </c>
      <c r="Q47" s="1415">
        <f ca="1">C40+J29</f>
        <v>7989</v>
      </c>
      <c r="R47" s="1415" t="s">
        <v>818</v>
      </c>
    </row>
    <row r="48" spans="1:18" s="1379" customFormat="1" ht="28.5" thickBot="1">
      <c r="A48" s="1106" t="s">
        <v>438</v>
      </c>
      <c r="B48" s="299" t="s">
        <v>692</v>
      </c>
      <c r="C48" s="3475">
        <f ca="1">C49+C53+C55</f>
        <v>0</v>
      </c>
      <c r="D48" s="1108"/>
      <c r="E48" s="1109"/>
      <c r="F48" s="958"/>
      <c r="G48" s="721"/>
      <c r="H48" s="722"/>
      <c r="I48" s="1416" t="s">
        <v>819</v>
      </c>
      <c r="J48" s="1417" t="s">
        <v>3402</v>
      </c>
      <c r="K48" s="1418" t="s">
        <v>820</v>
      </c>
      <c r="L48" s="1419">
        <f ca="1">INDIRECT("'数据-取费表'!f"&amp;$G$1)</f>
        <v>47.05</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2022</v>
      </c>
      <c r="K49" s="1418" t="s">
        <v>824</v>
      </c>
      <c r="L49" s="1422"/>
      <c r="O49" s="1423" t="s">
        <v>405</v>
      </c>
      <c r="P49" s="1414" t="s">
        <v>825</v>
      </c>
      <c r="Q49" s="1415">
        <f ca="1">C29</f>
        <v>14077</v>
      </c>
      <c r="R49" s="1415" t="s">
        <v>818</v>
      </c>
    </row>
    <row r="50" spans="1:18" s="1379" customFormat="1" ht="13.5" thickBot="1">
      <c r="A50" s="972"/>
      <c r="B50" s="975"/>
      <c r="C50" s="1114"/>
      <c r="D50" s="949"/>
      <c r="E50" s="1052" t="s">
        <v>697</v>
      </c>
      <c r="F50" s="1053">
        <f ca="1">F7</f>
        <v>1091</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12</v>
      </c>
      <c r="I51" s="1427" t="s">
        <v>829</v>
      </c>
      <c r="J51" s="1428">
        <f>IF(J49="",J50,J49+J50-YEAR('数据-取费表'!B2))</f>
        <v>59</v>
      </c>
      <c r="K51" s="1429" t="s">
        <v>830</v>
      </c>
      <c r="L51" s="1430">
        <f ca="1">ROUND(-PV(INDIRECT("'数据-取费表'!h"&amp;$G$1),J51,(C39-C13*C76),0),0)</f>
        <v>-15091</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47.05</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47.05</v>
      </c>
      <c r="K53" s="3942" t="s">
        <v>837</v>
      </c>
      <c r="L53" s="3943"/>
      <c r="O53" s="1413" t="s">
        <v>409</v>
      </c>
      <c r="P53" s="1414" t="s">
        <v>838</v>
      </c>
      <c r="Q53" s="1415">
        <f ca="1">Q47+Q48</f>
        <v>7989</v>
      </c>
      <c r="R53" s="1415" t="s">
        <v>410</v>
      </c>
    </row>
    <row r="54" spans="1:18" s="1379" customFormat="1" ht="13.5" thickBot="1">
      <c r="A54" s="1149"/>
      <c r="B54" s="1362" t="s">
        <v>679</v>
      </c>
      <c r="C54" s="955"/>
      <c r="D54" s="1361"/>
      <c r="E54" s="3472"/>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72"/>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14077</v>
      </c>
      <c r="D56" s="1442"/>
      <c r="E56" s="1443"/>
      <c r="F56" s="1435"/>
      <c r="I56" s="1444" t="s">
        <v>842</v>
      </c>
      <c r="J56" s="1445" t="s">
        <v>3378</v>
      </c>
      <c r="K56" s="1416" t="s">
        <v>843</v>
      </c>
      <c r="L56" s="1419" t="str">
        <f ca="1">IF(L48&lt;J51,"——",L48-J53)</f>
        <v>——</v>
      </c>
      <c r="O56" s="1413" t="s">
        <v>403</v>
      </c>
      <c r="P56" s="1414" t="s">
        <v>817</v>
      </c>
      <c r="Q56" s="1415">
        <f ca="1">C40+J29</f>
        <v>7989</v>
      </c>
      <c r="R56" s="1415" t="s">
        <v>818</v>
      </c>
    </row>
    <row r="57" spans="1:18" s="1379" customFormat="1" ht="24.75" thickBot="1">
      <c r="A57" s="1446"/>
      <c r="B57" s="946" t="s">
        <v>767</v>
      </c>
      <c r="C57" s="237">
        <f ca="1">C29</f>
        <v>14077</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162</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7989</v>
      </c>
      <c r="R62" s="1415" t="s">
        <v>410</v>
      </c>
    </row>
    <row r="63" spans="1:18" s="1379" customFormat="1" ht="13.5" thickBot="1">
      <c r="A63" s="325"/>
      <c r="B63" s="952"/>
      <c r="C63" s="26"/>
      <c r="D63" s="962"/>
      <c r="E63" s="946" t="s">
        <v>788</v>
      </c>
      <c r="F63" s="302">
        <f t="shared" ca="1" si="0"/>
        <v>9865.58</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140.77000000000001</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21.12</v>
      </c>
      <c r="D65" s="960" t="s">
        <v>743</v>
      </c>
      <c r="E65" s="946" t="s">
        <v>744</v>
      </c>
      <c r="F65" s="329">
        <f t="shared" ca="1" si="0"/>
        <v>1.5E-3</v>
      </c>
      <c r="I65" s="1457" t="s">
        <v>867</v>
      </c>
      <c r="J65" s="1458">
        <v>40</v>
      </c>
      <c r="K65" s="1458">
        <v>30</v>
      </c>
      <c r="L65" s="1458">
        <v>50</v>
      </c>
      <c r="M65" s="1460">
        <v>0.02</v>
      </c>
      <c r="O65" s="1413" t="s">
        <v>403</v>
      </c>
      <c r="P65" s="1414" t="s">
        <v>868</v>
      </c>
      <c r="Q65" s="1415">
        <f ca="1">C40+J29</f>
        <v>7989</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-162</v>
      </c>
      <c r="D67" s="959" t="s">
        <v>753</v>
      </c>
      <c r="E67" s="964"/>
      <c r="F67" s="965"/>
      <c r="O67" s="1423" t="s">
        <v>405</v>
      </c>
      <c r="P67" s="1414" t="s">
        <v>850</v>
      </c>
      <c r="Q67" s="1461">
        <f ca="1">L51</f>
        <v>-15091</v>
      </c>
      <c r="R67" s="1415" t="s">
        <v>870</v>
      </c>
    </row>
    <row r="68" spans="1:18" s="1379" customFormat="1" ht="16.5" thickBot="1">
      <c r="A68" s="943" t="s">
        <v>395</v>
      </c>
      <c r="B68" s="944" t="s">
        <v>774</v>
      </c>
      <c r="C68" s="300">
        <f ca="1">ROUND(C67*(1-((1+F70)/(1+F68))^F69)/(F68-F70),0)</f>
        <v>-2914</v>
      </c>
      <c r="D68" s="961" t="s">
        <v>758</v>
      </c>
      <c r="E68" s="946" t="s">
        <v>759</v>
      </c>
      <c r="F68" s="311">
        <f ca="1">F40</f>
        <v>0.05</v>
      </c>
      <c r="O68" s="1423" t="s">
        <v>406</v>
      </c>
      <c r="P68" s="1462" t="s">
        <v>871</v>
      </c>
      <c r="Q68" s="1415">
        <f ca="1">ROUND(Q69-Q70*Q71,0)</f>
        <v>-734</v>
      </c>
      <c r="R68" s="1415" t="s">
        <v>414</v>
      </c>
    </row>
    <row r="69" spans="1:18" s="1379" customFormat="1" ht="13.5" thickBot="1">
      <c r="A69" s="947"/>
      <c r="B69" s="948"/>
      <c r="C69" s="305"/>
      <c r="D69" s="966" t="s">
        <v>762</v>
      </c>
      <c r="E69" s="946" t="s">
        <v>763</v>
      </c>
      <c r="F69" s="332">
        <f ca="1">F41</f>
        <v>47.05</v>
      </c>
      <c r="O69" s="1423" t="s">
        <v>411</v>
      </c>
      <c r="P69" s="1462" t="s">
        <v>872</v>
      </c>
      <c r="Q69" s="1415">
        <f ca="1">C39</f>
        <v>322</v>
      </c>
      <c r="R69" s="1415" t="s">
        <v>818</v>
      </c>
    </row>
    <row r="70" spans="1:18" s="1379" customFormat="1" ht="13.5" thickBot="1">
      <c r="A70" s="950"/>
      <c r="B70" s="951"/>
      <c r="C70" s="309"/>
      <c r="D70" s="962"/>
      <c r="E70" s="946" t="s">
        <v>766</v>
      </c>
      <c r="F70" s="1050"/>
      <c r="O70" s="1423" t="s">
        <v>412</v>
      </c>
      <c r="P70" s="1462" t="s">
        <v>873</v>
      </c>
      <c r="Q70" s="1415">
        <f ca="1">C13</f>
        <v>14077</v>
      </c>
      <c r="R70" s="1415" t="s">
        <v>818</v>
      </c>
    </row>
    <row r="71" spans="1:18" s="1379" customFormat="1" ht="13.5" thickBot="1">
      <c r="A71" s="967" t="s">
        <v>396</v>
      </c>
      <c r="B71" s="968" t="s">
        <v>776</v>
      </c>
      <c r="C71" s="335">
        <f ca="1">ROUND(C68*10000/F71,0)</f>
        <v>-1025</v>
      </c>
      <c r="D71" s="969" t="s">
        <v>777</v>
      </c>
      <c r="E71" s="970" t="s">
        <v>778</v>
      </c>
      <c r="F71" s="338">
        <f ca="1">F43</f>
        <v>28431.67</v>
      </c>
      <c r="O71" s="1423" t="s">
        <v>413</v>
      </c>
      <c r="P71" s="1462" t="s">
        <v>874</v>
      </c>
      <c r="Q71" s="1426">
        <f ca="1">C76</f>
        <v>7.4999999999999997E-2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1056</v>
      </c>
      <c r="D75" s="1379"/>
      <c r="E75" s="1379"/>
      <c r="F75" s="1379"/>
      <c r="K75" s="1397"/>
      <c r="L75" s="1379"/>
      <c r="O75" s="1413" t="s">
        <v>409</v>
      </c>
      <c r="P75" s="1414" t="s">
        <v>838</v>
      </c>
      <c r="Q75" s="1415">
        <f ca="1">Q65+Q66</f>
        <v>7989</v>
      </c>
      <c r="R75" s="1415" t="s">
        <v>410</v>
      </c>
    </row>
    <row r="76" spans="1:18">
      <c r="B76" s="341" t="s">
        <v>796</v>
      </c>
      <c r="C76" s="342">
        <f ca="1">INDIRECT("'数据-取费表'!j"&amp;$G$1)</f>
        <v>7.4999999999999997E-2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-2.2799999999999998</v>
      </c>
    </row>
    <row r="80" spans="1:18">
      <c r="B80" s="339" t="s">
        <v>800</v>
      </c>
      <c r="C80" s="273">
        <f ca="1">ROUND(C75/C39,3)</f>
        <v>3.28</v>
      </c>
    </row>
    <row r="81" spans="2:3">
      <c r="B81" s="269" t="s">
        <v>801</v>
      </c>
      <c r="C81" s="237"/>
    </row>
    <row r="82" spans="2:3">
      <c r="B82" s="272" t="s">
        <v>802</v>
      </c>
      <c r="C82" s="274">
        <f ca="1">1-C83</f>
        <v>-0.76200000000000001</v>
      </c>
    </row>
    <row r="83" spans="2:3">
      <c r="B83" s="272" t="s">
        <v>803</v>
      </c>
      <c r="C83" s="273">
        <f ca="1">ROUND(C13/C40,3)</f>
        <v>1.762</v>
      </c>
    </row>
  </sheetData>
  <sheetProtection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37.04</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1726</v>
      </c>
      <c r="C2" s="1382" t="s">
        <v>805</v>
      </c>
      <c r="D2" s="1382"/>
      <c r="E2" s="1383"/>
      <c r="F2" s="1384"/>
      <c r="G2" s="2696"/>
      <c r="H2" s="2685"/>
      <c r="I2" s="2685"/>
      <c r="J2" s="2685"/>
      <c r="K2" s="2686"/>
      <c r="L2" s="2685"/>
      <c r="M2" s="2685"/>
    </row>
    <row r="3" spans="1:37" ht="18" customHeight="1" thickBot="1">
      <c r="A3" s="1385" t="s">
        <v>806</v>
      </c>
      <c r="B3" s="1386">
        <f ca="1">IF(ISERROR(B2*10000/F43),0,ROUND(B2*10000/F43,0))</f>
        <v>11078</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107</v>
      </c>
      <c r="D5" s="1359" t="s">
        <v>693</v>
      </c>
      <c r="E5" s="1067"/>
      <c r="F5" s="1068"/>
      <c r="G5" s="1379"/>
      <c r="H5" s="298">
        <v>1</v>
      </c>
      <c r="I5" s="299" t="s">
        <v>692</v>
      </c>
      <c r="J5" s="1066">
        <f ca="1">J6+J10+J12</f>
        <v>0</v>
      </c>
      <c r="K5" s="1359" t="s">
        <v>693</v>
      </c>
      <c r="L5" s="1067"/>
      <c r="M5" s="1068"/>
    </row>
    <row r="6" spans="1:37" ht="18" customHeight="1">
      <c r="A6" s="1065" t="s">
        <v>398</v>
      </c>
      <c r="B6" s="3939" t="s">
        <v>694</v>
      </c>
      <c r="C6" s="1070">
        <f ca="1">ROUND(F6*F8*F7*(1-F9)/10000,0)</f>
        <v>107</v>
      </c>
      <c r="D6" s="154" t="s">
        <v>2108</v>
      </c>
      <c r="E6" s="301" t="s">
        <v>696</v>
      </c>
      <c r="F6" s="302">
        <f ca="1">INDIRECT("'数据-取费表'!u"&amp;$G$1)</f>
        <v>2.1</v>
      </c>
      <c r="G6" s="1379"/>
      <c r="H6" s="1065" t="s">
        <v>398</v>
      </c>
      <c r="I6" s="3939" t="s">
        <v>694</v>
      </c>
      <c r="J6" s="300">
        <f ca="1">ROUND(M6*M8*M7*(1-M9)/10000,0)</f>
        <v>0</v>
      </c>
      <c r="K6" s="154" t="s">
        <v>2107</v>
      </c>
      <c r="L6" s="301" t="s">
        <v>696</v>
      </c>
      <c r="M6" s="302">
        <f ca="1">INDIRECT("'数据-取费表'!z"&amp;$G$1)</f>
        <v>0</v>
      </c>
    </row>
    <row r="7" spans="1:37" ht="18" customHeight="1">
      <c r="A7" s="1069"/>
      <c r="B7" s="3940"/>
      <c r="C7" s="1071"/>
      <c r="D7" s="306"/>
      <c r="E7" s="3448" t="s">
        <v>697</v>
      </c>
      <c r="F7" s="302">
        <f ca="1">IF(INDIRECT("'数据-取费表'!ah"&amp;$G$1)="",INDIRECT("'数据-取费表'!k"&amp;$G$1),INDIRECT("'数据-取费表'!ah"&amp;$G$1))</f>
        <v>1558.08</v>
      </c>
      <c r="G7" s="1379"/>
      <c r="H7" s="303"/>
      <c r="I7" s="3940"/>
      <c r="J7" s="305"/>
      <c r="K7" s="306"/>
      <c r="L7" s="301" t="s">
        <v>697</v>
      </c>
      <c r="M7" s="302">
        <f ca="1">F7</f>
        <v>1558.08</v>
      </c>
    </row>
    <row r="8" spans="1:37" ht="18" customHeight="1">
      <c r="A8" s="303"/>
      <c r="B8" s="3940"/>
      <c r="C8" s="305"/>
      <c r="D8" s="306"/>
      <c r="E8" s="301" t="s">
        <v>698</v>
      </c>
      <c r="F8" s="302">
        <f ca="1">INDIRECT("'数据-取费表'!ai"&amp;$G$1)</f>
        <v>365</v>
      </c>
      <c r="G8" s="1379"/>
      <c r="H8" s="303"/>
      <c r="I8" s="3940"/>
      <c r="J8" s="305"/>
      <c r="K8" s="306"/>
      <c r="L8" s="301" t="s">
        <v>698</v>
      </c>
      <c r="M8" s="302">
        <f ca="1">INDIRECT("'数据-取费表'!ai"&amp;$G$1)</f>
        <v>365</v>
      </c>
    </row>
    <row r="9" spans="1:37" ht="18" customHeight="1">
      <c r="A9" s="303"/>
      <c r="B9" s="3941"/>
      <c r="C9" s="305"/>
      <c r="D9" s="306"/>
      <c r="E9" s="301" t="s">
        <v>699</v>
      </c>
      <c r="F9" s="311">
        <f ca="1">INDIRECT("'数据-取费表'!w"&amp;$G$1)</f>
        <v>0.1</v>
      </c>
      <c r="G9" s="1379"/>
      <c r="H9" s="303"/>
      <c r="I9" s="3941"/>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843</v>
      </c>
      <c r="D13" s="3436" t="s">
        <v>705</v>
      </c>
      <c r="E13" s="343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569</v>
      </c>
      <c r="D14" s="3440" t="s">
        <v>708</v>
      </c>
      <c r="E14" s="3438"/>
      <c r="F14" s="318"/>
      <c r="G14" s="1379"/>
      <c r="H14" s="978" t="s">
        <v>398</v>
      </c>
      <c r="I14" s="301" t="s">
        <v>709</v>
      </c>
      <c r="J14" s="21">
        <f ca="1">C29</f>
        <v>843</v>
      </c>
      <c r="K14" s="3447"/>
      <c r="L14" s="803"/>
      <c r="M14" s="804"/>
    </row>
    <row r="15" spans="1:37" s="1392" customFormat="1" ht="18" customHeight="1" thickBot="1">
      <c r="A15" s="978" t="s">
        <v>399</v>
      </c>
      <c r="B15" s="301" t="s">
        <v>710</v>
      </c>
      <c r="C15" s="21">
        <f ca="1">ROUND(C14*F15,0)</f>
        <v>28</v>
      </c>
      <c r="D15" s="3437" t="s">
        <v>711</v>
      </c>
      <c r="E15" s="343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8</v>
      </c>
      <c r="K16" s="1083" t="s">
        <v>715</v>
      </c>
      <c r="L16" s="3442"/>
      <c r="M16" s="1068"/>
    </row>
    <row r="17" spans="1:37" s="1392" customFormat="1" ht="18" customHeight="1">
      <c r="A17" s="978" t="s">
        <v>681</v>
      </c>
      <c r="B17" s="301" t="s">
        <v>716</v>
      </c>
      <c r="C17" s="21">
        <f ca="1">ROUND(F17*(F43+INDIRECT("'数据-取费表'!S"&amp;$G$1))/10000,0)</f>
        <v>28</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40" t="s">
        <v>720</v>
      </c>
      <c r="L17" s="34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9</v>
      </c>
      <c r="D18" s="301" t="s">
        <v>711</v>
      </c>
      <c r="E18" s="301" t="s">
        <v>712</v>
      </c>
      <c r="F18" s="321">
        <f>'数据-取费表'!B36</f>
        <v>1.4999999999999999E-2</v>
      </c>
      <c r="G18" s="1391"/>
      <c r="H18" s="978" t="s">
        <v>397</v>
      </c>
      <c r="I18" s="301" t="s">
        <v>723</v>
      </c>
      <c r="J18" s="21">
        <f ca="1">ROUND(J6*M18/(1+'数据-取费表'!C42),2)</f>
        <v>0</v>
      </c>
      <c r="K18" s="34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634</v>
      </c>
      <c r="D19" s="130" t="s">
        <v>726</v>
      </c>
      <c r="E19" s="3452"/>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13</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2419" t="s">
        <v>734</v>
      </c>
      <c r="E21" s="301" t="s">
        <v>735</v>
      </c>
      <c r="F21" s="321">
        <f>'数据-取费表'!B38</f>
        <v>0.02</v>
      </c>
      <c r="G21" s="1391"/>
      <c r="H21" s="325"/>
      <c r="I21" s="310"/>
      <c r="J21" s="26"/>
      <c r="K21" s="326"/>
      <c r="L21" s="301" t="s">
        <v>736</v>
      </c>
      <c r="M21" s="302">
        <f ca="1">INDIRECT("'数据-取费表'!r"&amp;$G$1)</f>
        <v>540.65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52"/>
      <c r="F22" s="23"/>
      <c r="G22" s="1379"/>
      <c r="H22" s="978" t="s">
        <v>402</v>
      </c>
      <c r="I22" s="301" t="s">
        <v>738</v>
      </c>
      <c r="J22" s="21">
        <f ca="1">ROUND(J14*M22,2)</f>
        <v>8.43</v>
      </c>
      <c r="K22" s="34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34</v>
      </c>
      <c r="D23" s="328" t="str">
        <f>IF(F23&lt;=1,"(建造成本+管理费用)×利率×(建设周期÷2)","(建造成本+管理费用)×((1+利率)^(建设周期÷2)-1)")</f>
        <v>(建造成本+管理费用)×((1+利率)^(建设周期÷2)-1)</v>
      </c>
      <c r="E23" s="301" t="s">
        <v>741</v>
      </c>
      <c r="F23" s="324">
        <f>'数据-取费表'!B20</f>
        <v>2.5</v>
      </c>
      <c r="G23" s="1391"/>
      <c r="H23" s="978" t="s">
        <v>437</v>
      </c>
      <c r="I23" s="301" t="s">
        <v>742</v>
      </c>
      <c r="J23" s="21">
        <f ca="1">ROUND(J13*M23,2)</f>
        <v>0</v>
      </c>
      <c r="K23" s="34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52"/>
      <c r="F25" s="23"/>
      <c r="G25" s="1379"/>
      <c r="H25" s="1075" t="s">
        <v>394</v>
      </c>
      <c r="I25" s="1090" t="s">
        <v>752</v>
      </c>
      <c r="J25" s="309">
        <f ca="1">J5-J16</f>
        <v>-8</v>
      </c>
      <c r="K25" s="1091" t="s">
        <v>753</v>
      </c>
      <c r="L25" s="1092"/>
      <c r="M25" s="1093"/>
    </row>
    <row r="26" spans="1:37">
      <c r="A26" s="978" t="s">
        <v>397</v>
      </c>
      <c r="B26" s="301" t="s">
        <v>754</v>
      </c>
      <c r="C26" s="21">
        <f ca="1">ROUND((C19+C20)*F26,0)</f>
        <v>97</v>
      </c>
      <c r="D26" s="2419" t="s">
        <v>755</v>
      </c>
      <c r="E26" s="312" t="s">
        <v>756</v>
      </c>
      <c r="F26" s="311">
        <f ca="1">INDIRECT("'数据-取费表'!q"&amp;$G$1)</f>
        <v>0.15</v>
      </c>
      <c r="G26" s="1379"/>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2419" t="s">
        <v>761</v>
      </c>
      <c r="E27" s="343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843</v>
      </c>
      <c r="D29" s="1088"/>
      <c r="E29" s="1086"/>
      <c r="F29" s="1089"/>
      <c r="G29" s="1391"/>
      <c r="H29" s="333" t="s">
        <v>396</v>
      </c>
      <c r="I29" s="334" t="s">
        <v>768</v>
      </c>
      <c r="J29" s="335">
        <f ca="1">ROUND(J26/(1+F40)^F41,0)</f>
        <v>0</v>
      </c>
      <c r="K29" s="336" t="s">
        <v>769</v>
      </c>
      <c r="L29" s="337"/>
      <c r="M29" s="338">
        <f ca="1">INDIRECT("'数据-取费表'!k"&amp;$G$1)</f>
        <v>1558.08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29</v>
      </c>
      <c r="D30" s="1083" t="s">
        <v>715</v>
      </c>
      <c r="E30" s="3442"/>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17.940000000000001</v>
      </c>
      <c r="D31" s="3440" t="s">
        <v>720</v>
      </c>
      <c r="E31" s="34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5.71</v>
      </c>
      <c r="D32" s="34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12.23</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540.65</v>
      </c>
      <c r="G35" s="1379"/>
      <c r="H35" s="2687"/>
      <c r="I35" s="1393"/>
      <c r="J35" s="1394"/>
      <c r="K35" s="2691"/>
      <c r="L35" s="2690"/>
      <c r="M35" s="2690"/>
    </row>
    <row r="36" spans="1:18" ht="18" customHeight="1">
      <c r="A36" s="1098" t="s">
        <v>402</v>
      </c>
      <c r="B36" s="301" t="s">
        <v>738</v>
      </c>
      <c r="C36" s="21">
        <f ca="1">ROUND(C29*F36,2)</f>
        <v>8.43</v>
      </c>
      <c r="D36" s="34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1.26</v>
      </c>
      <c r="D37" s="343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1.07</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78</v>
      </c>
      <c r="D39" s="1091" t="s">
        <v>773</v>
      </c>
      <c r="E39" s="1092"/>
      <c r="F39" s="1093"/>
      <c r="G39" s="1379"/>
      <c r="H39" s="2690"/>
      <c r="I39" s="1393"/>
      <c r="J39" s="1394"/>
      <c r="K39" s="2694"/>
      <c r="L39" s="2690"/>
      <c r="M39" s="2690"/>
    </row>
    <row r="40" spans="1:18" ht="18" customHeight="1">
      <c r="A40" s="298" t="s">
        <v>395</v>
      </c>
      <c r="B40" s="299" t="s">
        <v>774</v>
      </c>
      <c r="C40" s="300">
        <f ca="1">ROUND(C39*(1-((1+F42)/(1+F40))^F41)/(F40-F42),0)</f>
        <v>1707</v>
      </c>
      <c r="D40" s="323" t="s">
        <v>758</v>
      </c>
      <c r="E40" s="301" t="s">
        <v>759</v>
      </c>
      <c r="F40" s="311">
        <f ca="1">INDIRECT("'数据-取费表'!I"&amp;$G$1)</f>
        <v>5.5E-2</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37.04</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f ca="1">ROUND(C40*10000/F43,0)</f>
        <v>10956</v>
      </c>
      <c r="D43" s="336" t="s">
        <v>777</v>
      </c>
      <c r="E43" s="337" t="s">
        <v>778</v>
      </c>
      <c r="F43" s="338">
        <f ca="1">INDIRECT("'数据-取费表'!k"&amp;$G$1)</f>
        <v>1558.08</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f ca="1">C68-C40</f>
        <v>-1864</v>
      </c>
      <c r="D46" s="1401" t="str">
        <f>C2</f>
        <v>万元</v>
      </c>
      <c r="E46" s="1395"/>
      <c r="F46" s="1395"/>
      <c r="I46" s="1402" t="s">
        <v>810</v>
      </c>
      <c r="J46" s="1403"/>
      <c r="K46" s="1404"/>
      <c r="L46" s="1405">
        <f ca="1">IF(M47="住宅",0,IF(L48&gt;J51,L60,J60))</f>
        <v>19</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1707</v>
      </c>
      <c r="R47" s="1415" t="s">
        <v>818</v>
      </c>
    </row>
    <row r="48" spans="1:18" s="1379" customFormat="1" ht="28.5" thickBot="1">
      <c r="A48" s="1106" t="s">
        <v>438</v>
      </c>
      <c r="B48" s="299" t="s">
        <v>692</v>
      </c>
      <c r="C48" s="3451">
        <f ca="1">C49+C53+C55</f>
        <v>0</v>
      </c>
      <c r="D48" s="1108"/>
      <c r="E48" s="1109"/>
      <c r="F48" s="958"/>
      <c r="G48" s="721"/>
      <c r="H48" s="722"/>
      <c r="I48" s="1416" t="s">
        <v>819</v>
      </c>
      <c r="J48" s="1417" t="s">
        <v>3402</v>
      </c>
      <c r="K48" s="1418" t="s">
        <v>820</v>
      </c>
      <c r="L48" s="1419">
        <f ca="1">INDIRECT("'数据-取费表'!f"&amp;$G$1)</f>
        <v>37.04</v>
      </c>
      <c r="O48" s="1413" t="s">
        <v>404</v>
      </c>
      <c r="P48" s="1414" t="s">
        <v>821</v>
      </c>
      <c r="Q48" s="1415">
        <f ca="1">J60</f>
        <v>19</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2008</v>
      </c>
      <c r="K49" s="1418" t="s">
        <v>824</v>
      </c>
      <c r="L49" s="1422"/>
      <c r="O49" s="1423" t="s">
        <v>405</v>
      </c>
      <c r="P49" s="1414" t="s">
        <v>825</v>
      </c>
      <c r="Q49" s="1415">
        <f ca="1">C29</f>
        <v>843</v>
      </c>
      <c r="R49" s="1415" t="s">
        <v>818</v>
      </c>
    </row>
    <row r="50" spans="1:18" s="1379" customFormat="1" ht="13.5" thickBot="1">
      <c r="A50" s="972"/>
      <c r="B50" s="975"/>
      <c r="C50" s="1114"/>
      <c r="D50" s="949"/>
      <c r="E50" s="1052" t="s">
        <v>697</v>
      </c>
      <c r="F50" s="1053">
        <f ca="1">F7</f>
        <v>1558.08</v>
      </c>
      <c r="H50" s="722"/>
      <c r="I50" s="1416" t="s">
        <v>826</v>
      </c>
      <c r="J50" s="1424">
        <f>SUMPRODUCT((I63:I65=J47)*(J62:L62=J48)*(J63:L65))</f>
        <v>60</v>
      </c>
      <c r="K50" s="1418" t="s">
        <v>827</v>
      </c>
      <c r="L50" s="1422">
        <f>成本法!C6</f>
        <v>98148</v>
      </c>
      <c r="M50" s="1425"/>
      <c r="O50" s="1423" t="s">
        <v>406</v>
      </c>
      <c r="P50" s="1414" t="s">
        <v>828</v>
      </c>
      <c r="Q50" s="1426">
        <f ca="1">J58</f>
        <v>0.4</v>
      </c>
      <c r="R50" s="1415"/>
    </row>
    <row r="51" spans="1:18" s="1379" customFormat="1" ht="13.5" thickBot="1">
      <c r="A51" s="973"/>
      <c r="B51" s="975"/>
      <c r="C51" s="976"/>
      <c r="D51" s="949"/>
      <c r="E51" s="977" t="s">
        <v>698</v>
      </c>
      <c r="F51" s="302">
        <f ca="1">F8</f>
        <v>365</v>
      </c>
      <c r="I51" s="1427" t="s">
        <v>829</v>
      </c>
      <c r="J51" s="1428">
        <f>IF(J49="",J50,J49+J50-YEAR('数据-取费表'!B2))</f>
        <v>45</v>
      </c>
      <c r="K51" s="1429" t="s">
        <v>830</v>
      </c>
      <c r="L51" s="1430">
        <f ca="1">ROUND(-PV(INDIRECT("'数据-取费表'!h"&amp;$G$1),J51,(C39-C13*C76),0),0)</f>
        <v>263</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v>0.05</v>
      </c>
      <c r="O52" s="1423" t="s">
        <v>408</v>
      </c>
      <c r="P52" s="1414" t="s">
        <v>834</v>
      </c>
      <c r="Q52" s="1415">
        <f ca="1">J53</f>
        <v>37.04</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37.04</v>
      </c>
      <c r="K53" s="3942" t="s">
        <v>837</v>
      </c>
      <c r="L53" s="3943"/>
      <c r="O53" s="1413" t="s">
        <v>409</v>
      </c>
      <c r="P53" s="1414" t="s">
        <v>838</v>
      </c>
      <c r="Q53" s="1415">
        <f ca="1">Q47+Q48</f>
        <v>1726</v>
      </c>
      <c r="R53" s="1415" t="s">
        <v>410</v>
      </c>
    </row>
    <row r="54" spans="1:18" s="1379" customFormat="1" ht="13.5" thickBot="1">
      <c r="A54" s="1149"/>
      <c r="B54" s="1362" t="s">
        <v>679</v>
      </c>
      <c r="C54" s="955"/>
      <c r="D54" s="1361"/>
      <c r="E54" s="3443"/>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43"/>
      <c r="F55" s="1435"/>
      <c r="I55" s="1438" t="s">
        <v>840</v>
      </c>
      <c r="J55" s="1439">
        <f ca="1">ROUND(IF(J47="钢混",J57/J50,1-(1-2%)*(J50-J57)/J50),3)</f>
        <v>0.13300000000000001</v>
      </c>
      <c r="K55" s="1440" t="s">
        <v>841</v>
      </c>
      <c r="L55" s="1441"/>
      <c r="O55" s="1406" t="s">
        <v>811</v>
      </c>
      <c r="P55" s="1407" t="s">
        <v>812</v>
      </c>
      <c r="Q55" s="1408" t="s">
        <v>813</v>
      </c>
      <c r="R55" s="1408" t="s">
        <v>814</v>
      </c>
    </row>
    <row r="56" spans="1:18" s="1379" customFormat="1" ht="25.5" thickTop="1" thickBot="1">
      <c r="A56" s="953">
        <v>2</v>
      </c>
      <c r="B56" s="954" t="s">
        <v>704</v>
      </c>
      <c r="C56" s="231">
        <f ca="1">C13</f>
        <v>843</v>
      </c>
      <c r="D56" s="1442"/>
      <c r="E56" s="1443"/>
      <c r="F56" s="1435"/>
      <c r="I56" s="1444" t="s">
        <v>842</v>
      </c>
      <c r="J56" s="1445" t="s">
        <v>3403</v>
      </c>
      <c r="K56" s="1416" t="s">
        <v>843</v>
      </c>
      <c r="L56" s="1419" t="str">
        <f ca="1">IF(L48&lt;J51,"——",L48-J53)</f>
        <v>——</v>
      </c>
      <c r="O56" s="1413" t="s">
        <v>403</v>
      </c>
      <c r="P56" s="1414" t="s">
        <v>817</v>
      </c>
      <c r="Q56" s="1415">
        <f ca="1">C40+J29</f>
        <v>1707</v>
      </c>
      <c r="R56" s="1415" t="s">
        <v>818</v>
      </c>
    </row>
    <row r="57" spans="1:18" s="1379" customFormat="1" ht="24.75" thickBot="1">
      <c r="A57" s="1446"/>
      <c r="B57" s="946" t="s">
        <v>767</v>
      </c>
      <c r="C57" s="237">
        <f ca="1">C29</f>
        <v>843</v>
      </c>
      <c r="D57" s="1447"/>
      <c r="E57" s="1448"/>
      <c r="F57" s="1449"/>
      <c r="I57" s="1450" t="s">
        <v>844</v>
      </c>
      <c r="J57" s="1451">
        <f ca="1">IF(OR(M47="住宅",J51&lt;L48,J56="是"),"——",J51-L48)</f>
        <v>7.9600000000000009</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10</v>
      </c>
      <c r="D58" s="956" t="s">
        <v>715</v>
      </c>
      <c r="E58" s="957"/>
      <c r="F58" s="958"/>
      <c r="I58" s="1450" t="s">
        <v>848</v>
      </c>
      <c r="J58" s="1452">
        <f ca="1">IF(J55&lt;0.4,0.4,J55)</f>
        <v>0.4</v>
      </c>
      <c r="K58" s="1429" t="s">
        <v>849</v>
      </c>
      <c r="L58" s="1419">
        <f ca="1">ROUND(POWER(1+L52,L47-L48)*(POWER(1+L52,L48)-1)/(POWER(1+L52,L47)-1),4)</f>
        <v>0.97430000000000005</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f ca="1">IF(OR(M47="住宅",J51&lt;L48,J56="是"),"——",ROUND(C29*J58,0))</f>
        <v>337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1.0358000000000001</v>
      </c>
      <c r="M59" s="1375">
        <f ca="1">ROUND(POWER(1+L52,L47-(J51+'数据-取费表'!B24))*(POWER(1+L52,(J51+'数据-取费表'!B24))-1)/(POWER(1+L52,L47)-1),4)</f>
        <v>1.042</v>
      </c>
      <c r="N59" s="1375">
        <f ca="1">ROUND(POWER(1+L52,L47-(J51+'数据-取费表'!B20))*(POWER(1+L52,(J51+'数据-取费表'!B20))-1)/(POWER(1+L52,L47)-1),4)</f>
        <v>1.0507</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f ca="1">IF(OR(M47="住宅",J51&lt;L48,J56="是"),"0",ROUND(J59/(1+J52)^J53,0))</f>
        <v>19</v>
      </c>
      <c r="K60" s="1455" t="s">
        <v>854</v>
      </c>
      <c r="L60" s="1454">
        <f ca="1">IF(OR(M47="住宅",L48&lt;J51),0,ROUND(L57*(L58/L59-1),0))</f>
        <v>0</v>
      </c>
      <c r="O60" s="1423" t="s">
        <v>407</v>
      </c>
      <c r="P60" s="1414" t="s">
        <v>855</v>
      </c>
      <c r="Q60" s="1415">
        <f ca="1">L58</f>
        <v>0.97430000000000005</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f ca="1">L59</f>
        <v>1.0358000000000001</v>
      </c>
      <c r="R61" s="1415" t="s">
        <v>857</v>
      </c>
    </row>
    <row r="62" spans="1:18" s="1379" customFormat="1" ht="13.5" thickBot="1">
      <c r="A62" s="978" t="s">
        <v>784</v>
      </c>
      <c r="B62" s="945" t="s">
        <v>785</v>
      </c>
      <c r="C62" s="22">
        <f ca="1">IF(项目基本情况!B11="自然人","——",ROUND(F62*F63/10000,2))</f>
        <v>0</v>
      </c>
      <c r="D62" s="961" t="s">
        <v>786</v>
      </c>
      <c r="E62" s="946" t="s">
        <v>732</v>
      </c>
      <c r="F62" s="324">
        <f t="shared" si="0"/>
        <v>0</v>
      </c>
      <c r="I62" s="1457" t="s">
        <v>858</v>
      </c>
      <c r="J62" s="1458" t="s">
        <v>859</v>
      </c>
      <c r="K62" s="1458" t="s">
        <v>860</v>
      </c>
      <c r="L62" s="1458" t="s">
        <v>861</v>
      </c>
      <c r="M62" s="1459" t="s">
        <v>862</v>
      </c>
      <c r="O62" s="1413" t="s">
        <v>409</v>
      </c>
      <c r="P62" s="1414" t="s">
        <v>863</v>
      </c>
      <c r="Q62" s="1415">
        <f ca="1">Q56+Q57</f>
        <v>1707</v>
      </c>
      <c r="R62" s="1415" t="s">
        <v>410</v>
      </c>
    </row>
    <row r="63" spans="1:18" s="1379" customFormat="1" ht="13.5" thickBot="1">
      <c r="A63" s="325"/>
      <c r="B63" s="952"/>
      <c r="C63" s="26"/>
      <c r="D63" s="962"/>
      <c r="E63" s="946" t="s">
        <v>736</v>
      </c>
      <c r="F63" s="302">
        <f t="shared" ca="1" si="0"/>
        <v>540.65</v>
      </c>
      <c r="I63" s="1457" t="s">
        <v>864</v>
      </c>
      <c r="J63" s="1458">
        <v>70</v>
      </c>
      <c r="K63" s="1458">
        <v>50</v>
      </c>
      <c r="L63" s="1458">
        <v>80</v>
      </c>
      <c r="M63" s="1460">
        <v>0.02</v>
      </c>
      <c r="O63" s="1398" t="s">
        <v>865</v>
      </c>
      <c r="P63" s="1376"/>
      <c r="Q63" s="1376"/>
      <c r="R63" s="1376"/>
    </row>
    <row r="64" spans="1:18" s="1379" customFormat="1" ht="13.5" thickBot="1">
      <c r="A64" s="978" t="s">
        <v>402</v>
      </c>
      <c r="B64" s="946" t="s">
        <v>790</v>
      </c>
      <c r="C64" s="21">
        <f ca="1">ROUND(C57*F64,2)</f>
        <v>8.43</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1.26</v>
      </c>
      <c r="D65" s="960" t="s">
        <v>743</v>
      </c>
      <c r="E65" s="946" t="s">
        <v>744</v>
      </c>
      <c r="F65" s="329">
        <f t="shared" ca="1" si="0"/>
        <v>1.5E-3</v>
      </c>
      <c r="I65" s="1457" t="s">
        <v>867</v>
      </c>
      <c r="J65" s="1458">
        <v>40</v>
      </c>
      <c r="K65" s="1458">
        <v>30</v>
      </c>
      <c r="L65" s="1458">
        <v>50</v>
      </c>
      <c r="M65" s="1460">
        <v>0.02</v>
      </c>
      <c r="O65" s="1413" t="s">
        <v>403</v>
      </c>
      <c r="P65" s="1414" t="s">
        <v>868</v>
      </c>
      <c r="Q65" s="1415">
        <f ca="1">C40+J29</f>
        <v>1707</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-10</v>
      </c>
      <c r="D67" s="959" t="s">
        <v>753</v>
      </c>
      <c r="E67" s="964"/>
      <c r="F67" s="965"/>
      <c r="O67" s="1423" t="s">
        <v>405</v>
      </c>
      <c r="P67" s="1414" t="s">
        <v>850</v>
      </c>
      <c r="Q67" s="1461">
        <f ca="1">L51</f>
        <v>263</v>
      </c>
      <c r="R67" s="1415" t="s">
        <v>870</v>
      </c>
    </row>
    <row r="68" spans="1:18" s="1379" customFormat="1" ht="16.5" thickBot="1">
      <c r="A68" s="943" t="s">
        <v>395</v>
      </c>
      <c r="B68" s="944" t="s">
        <v>774</v>
      </c>
      <c r="C68" s="300">
        <f ca="1">ROUND(C67*(1-((1+F70)/(1+F68))^F69)/(F68-F70),0)</f>
        <v>-157</v>
      </c>
      <c r="D68" s="961" t="s">
        <v>758</v>
      </c>
      <c r="E68" s="946" t="s">
        <v>759</v>
      </c>
      <c r="F68" s="311">
        <f ca="1">F40</f>
        <v>5.5E-2</v>
      </c>
      <c r="O68" s="1423" t="s">
        <v>406</v>
      </c>
      <c r="P68" s="1462" t="s">
        <v>871</v>
      </c>
      <c r="Q68" s="1415">
        <f ca="1">ROUND(Q69-Q70*Q71,0)</f>
        <v>15</v>
      </c>
      <c r="R68" s="1415" t="s">
        <v>414</v>
      </c>
    </row>
    <row r="69" spans="1:18" s="1379" customFormat="1" ht="13.5" thickBot="1">
      <c r="A69" s="947"/>
      <c r="B69" s="948"/>
      <c r="C69" s="305"/>
      <c r="D69" s="966" t="s">
        <v>762</v>
      </c>
      <c r="E69" s="946" t="s">
        <v>763</v>
      </c>
      <c r="F69" s="332">
        <f ca="1">F41</f>
        <v>37.04</v>
      </c>
      <c r="O69" s="1423" t="s">
        <v>411</v>
      </c>
      <c r="P69" s="1462" t="s">
        <v>872</v>
      </c>
      <c r="Q69" s="1415">
        <f ca="1">C39</f>
        <v>78</v>
      </c>
      <c r="R69" s="1415" t="s">
        <v>818</v>
      </c>
    </row>
    <row r="70" spans="1:18" s="1379" customFormat="1" ht="13.5" thickBot="1">
      <c r="A70" s="950"/>
      <c r="B70" s="951"/>
      <c r="C70" s="309"/>
      <c r="D70" s="962"/>
      <c r="E70" s="946" t="s">
        <v>766</v>
      </c>
      <c r="F70" s="1050"/>
      <c r="O70" s="1423" t="s">
        <v>412</v>
      </c>
      <c r="P70" s="1462" t="s">
        <v>873</v>
      </c>
      <c r="Q70" s="1415">
        <f ca="1">C13</f>
        <v>843</v>
      </c>
      <c r="R70" s="1415" t="s">
        <v>818</v>
      </c>
    </row>
    <row r="71" spans="1:18" s="1379" customFormat="1" ht="13.5" thickBot="1">
      <c r="A71" s="967" t="s">
        <v>396</v>
      </c>
      <c r="B71" s="968" t="s">
        <v>776</v>
      </c>
      <c r="C71" s="335">
        <f ca="1">ROUND(C68*10000/F71,0)</f>
        <v>-1008</v>
      </c>
      <c r="D71" s="969" t="s">
        <v>777</v>
      </c>
      <c r="E71" s="970" t="s">
        <v>778</v>
      </c>
      <c r="F71" s="338">
        <f ca="1">F43</f>
        <v>1558.08</v>
      </c>
      <c r="O71" s="1423" t="s">
        <v>413</v>
      </c>
      <c r="P71" s="1462" t="s">
        <v>874</v>
      </c>
      <c r="Q71" s="1426">
        <f ca="1">C76</f>
        <v>7.4999999999999997E-2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f ca="1">L58</f>
        <v>0.97430000000000005</v>
      </c>
      <c r="R73" s="1415" t="s">
        <v>856</v>
      </c>
    </row>
    <row r="74" spans="1:18" ht="13.5" thickBot="1">
      <c r="A74" s="1379"/>
      <c r="B74" s="272" t="s">
        <v>875</v>
      </c>
      <c r="C74" s="1464"/>
      <c r="D74" s="1379"/>
      <c r="E74" s="1379"/>
      <c r="F74" s="1379"/>
      <c r="O74" s="1423" t="s">
        <v>415</v>
      </c>
      <c r="P74" s="1414" t="str">
        <f>K59</f>
        <v>建筑物剩余耐用年限下的土地年期修正系数Kn</v>
      </c>
      <c r="Q74" s="1415">
        <f ca="1">L59</f>
        <v>1.0358000000000001</v>
      </c>
      <c r="R74" s="1415" t="s">
        <v>857</v>
      </c>
    </row>
    <row r="75" spans="1:18" ht="13.5" thickBot="1">
      <c r="A75" s="1379"/>
      <c r="B75" s="339" t="s">
        <v>795</v>
      </c>
      <c r="C75" s="340">
        <f ca="1">ROUND(C13*C76,0)</f>
        <v>63</v>
      </c>
      <c r="D75" s="1379"/>
      <c r="E75" s="1379"/>
      <c r="F75" s="1379"/>
      <c r="K75" s="1397"/>
      <c r="L75" s="1379"/>
      <c r="O75" s="1413" t="s">
        <v>409</v>
      </c>
      <c r="P75" s="1414" t="s">
        <v>838</v>
      </c>
      <c r="Q75" s="1415">
        <f ca="1">Q65+Q66</f>
        <v>1707</v>
      </c>
      <c r="R75" s="1415" t="s">
        <v>410</v>
      </c>
    </row>
    <row r="76" spans="1:18">
      <c r="B76" s="341" t="s">
        <v>796</v>
      </c>
      <c r="C76" s="342">
        <f ca="1">INDIRECT("'数据-取费表'!j"&amp;$G$1)</f>
        <v>7.4999999999999997E-2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0.19199999999999995</v>
      </c>
    </row>
    <row r="80" spans="1:18">
      <c r="B80" s="339" t="s">
        <v>800</v>
      </c>
      <c r="C80" s="273">
        <f ca="1">ROUND(C75/C39,3)</f>
        <v>0.80800000000000005</v>
      </c>
    </row>
    <row r="81" spans="2:3">
      <c r="B81" s="269" t="s">
        <v>801</v>
      </c>
      <c r="C81" s="237"/>
    </row>
    <row r="82" spans="2:3">
      <c r="B82" s="272" t="s">
        <v>802</v>
      </c>
      <c r="C82" s="274">
        <f ca="1">1-C83</f>
        <v>0.50600000000000001</v>
      </c>
    </row>
    <row r="83" spans="2:3">
      <c r="B83" s="272" t="s">
        <v>803</v>
      </c>
      <c r="C83" s="273">
        <f ca="1">ROUND(C13/C40,3)</f>
        <v>0.49399999999999999</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12" customWidth="1"/>
    <col min="2" max="2" width="18.625" style="3212" customWidth="1"/>
    <col min="3" max="6" width="10.25" style="3212" customWidth="1"/>
    <col min="7" max="7" width="10.5" style="3212" bestFit="1" customWidth="1"/>
    <col min="8" max="8" width="8.875" style="3208"/>
    <col min="9" max="9" width="13.375" style="3208" customWidth="1"/>
    <col min="10" max="13" width="13.375" style="3212" customWidth="1"/>
    <col min="14" max="14" width="18.25" style="3212" customWidth="1"/>
    <col min="15" max="17" width="15.125" style="3212" customWidth="1"/>
    <col min="18" max="20" width="11.5" style="3212" customWidth="1"/>
    <col min="21" max="16384" width="8.875" style="3212"/>
  </cols>
  <sheetData>
    <row r="1" spans="1:20" ht="12" thickBot="1">
      <c r="A1" s="4015" t="s">
        <v>2842</v>
      </c>
      <c r="B1" s="4015"/>
      <c r="C1" s="4015"/>
      <c r="D1" s="4015"/>
      <c r="E1" s="4015"/>
      <c r="F1" s="4015"/>
      <c r="G1" s="4016"/>
      <c r="I1" s="3209" t="s">
        <v>2843</v>
      </c>
      <c r="J1" s="3210" t="s">
        <v>2844</v>
      </c>
      <c r="K1" s="3210" t="s">
        <v>2845</v>
      </c>
      <c r="L1" s="3210" t="s">
        <v>2846</v>
      </c>
      <c r="M1" s="3210" t="s">
        <v>2847</v>
      </c>
      <c r="N1" s="3210" t="s">
        <v>2848</v>
      </c>
      <c r="O1" s="3210" t="s">
        <v>2849</v>
      </c>
      <c r="P1" s="3210" t="s">
        <v>2850</v>
      </c>
      <c r="Q1" s="3210" t="s">
        <v>2851</v>
      </c>
      <c r="R1" s="3210" t="s">
        <v>2852</v>
      </c>
      <c r="S1" s="3210" t="s">
        <v>2853</v>
      </c>
      <c r="T1" s="3211" t="s">
        <v>2854</v>
      </c>
    </row>
    <row r="2" spans="1:20" ht="12" thickBot="1">
      <c r="A2" s="3213" t="s">
        <v>2855</v>
      </c>
      <c r="B2" s="3213"/>
      <c r="C2" s="3213"/>
      <c r="D2" s="3213"/>
      <c r="E2" s="3213"/>
      <c r="F2" s="3213"/>
      <c r="G2" s="3214" t="s">
        <v>2856</v>
      </c>
      <c r="I2" s="3215" t="s">
        <v>2857</v>
      </c>
      <c r="J2" s="3215" t="s">
        <v>2858</v>
      </c>
      <c r="K2" s="3215" t="s">
        <v>2859</v>
      </c>
      <c r="L2" s="3215" t="s">
        <v>2860</v>
      </c>
      <c r="M2" s="3215" t="s">
        <v>2861</v>
      </c>
      <c r="N2" s="3215" t="s">
        <v>2862</v>
      </c>
      <c r="O2" s="3215" t="s">
        <v>2863</v>
      </c>
      <c r="P2" s="3215" t="s">
        <v>2864</v>
      </c>
      <c r="Q2" s="3215" t="s">
        <v>2865</v>
      </c>
      <c r="R2" s="3215" t="s">
        <v>2866</v>
      </c>
      <c r="S2" s="3215" t="s">
        <v>2867</v>
      </c>
      <c r="T2" s="3215" t="s">
        <v>2868</v>
      </c>
    </row>
    <row r="3" spans="1:20" s="3221" customFormat="1">
      <c r="A3" s="4013" t="s">
        <v>2869</v>
      </c>
      <c r="B3" s="3216"/>
      <c r="C3" s="3217" t="s">
        <v>2810</v>
      </c>
      <c r="D3" s="3217" t="s">
        <v>2870</v>
      </c>
      <c r="E3" s="3217" t="s">
        <v>2812</v>
      </c>
      <c r="F3" s="3217" t="s">
        <v>2871</v>
      </c>
      <c r="G3" s="3217" t="s">
        <v>2630</v>
      </c>
      <c r="H3" s="3218"/>
      <c r="I3" s="3219" t="s">
        <v>2872</v>
      </c>
      <c r="J3" s="3220" t="s">
        <v>128</v>
      </c>
      <c r="K3" s="3220" t="s">
        <v>129</v>
      </c>
      <c r="L3" s="3219" t="s">
        <v>130</v>
      </c>
      <c r="M3" s="3219" t="s">
        <v>131</v>
      </c>
      <c r="N3" s="3219" t="s">
        <v>132</v>
      </c>
      <c r="O3" s="3219" t="s">
        <v>133</v>
      </c>
      <c r="P3" s="3219" t="s">
        <v>134</v>
      </c>
      <c r="Q3" s="3219" t="s">
        <v>135</v>
      </c>
      <c r="R3" s="3219" t="s">
        <v>136</v>
      </c>
      <c r="S3" s="3219" t="s">
        <v>2873</v>
      </c>
      <c r="T3" s="3219" t="s">
        <v>2874</v>
      </c>
    </row>
    <row r="4" spans="1:20" s="3221" customFormat="1" ht="12" thickBot="1">
      <c r="A4" s="4014"/>
      <c r="B4" s="3222" t="s">
        <v>2875</v>
      </c>
      <c r="C4" s="3222" t="s">
        <v>2876</v>
      </c>
      <c r="D4" s="3222" t="s">
        <v>2876</v>
      </c>
      <c r="E4" s="3222" t="s">
        <v>2876</v>
      </c>
      <c r="F4" s="3223" t="s">
        <v>2876</v>
      </c>
      <c r="G4" s="3223" t="s">
        <v>2876</v>
      </c>
      <c r="H4" s="3218"/>
      <c r="I4" s="3220" t="s">
        <v>137</v>
      </c>
      <c r="J4" s="3220" t="s">
        <v>111</v>
      </c>
      <c r="K4" s="3220" t="s">
        <v>138</v>
      </c>
      <c r="L4" s="3219" t="s">
        <v>139</v>
      </c>
      <c r="M4" s="3219" t="s">
        <v>140</v>
      </c>
      <c r="N4" s="3219" t="s">
        <v>141</v>
      </c>
      <c r="O4" s="3219" t="s">
        <v>142</v>
      </c>
      <c r="P4" s="3219" t="s">
        <v>143</v>
      </c>
      <c r="Q4" s="3219" t="s">
        <v>2877</v>
      </c>
      <c r="R4" s="3219" t="s">
        <v>2878</v>
      </c>
      <c r="S4" s="3219" t="s">
        <v>2879</v>
      </c>
      <c r="T4" s="3219" t="s">
        <v>2880</v>
      </c>
    </row>
    <row r="5" spans="1:20">
      <c r="A5" s="3224" t="s">
        <v>2843</v>
      </c>
      <c r="B5" s="3215" t="s">
        <v>2857</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2881</v>
      </c>
      <c r="R5" s="3219" t="s">
        <v>2882</v>
      </c>
      <c r="S5" s="3219" t="s">
        <v>153</v>
      </c>
      <c r="T5" s="3219" t="s">
        <v>2883</v>
      </c>
    </row>
    <row r="6" spans="1:20" ht="12" thickBot="1">
      <c r="A6" s="3219" t="s">
        <v>144</v>
      </c>
      <c r="B6" s="3219" t="s">
        <v>2872</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2884</v>
      </c>
      <c r="Q6" s="3219" t="s">
        <v>2885</v>
      </c>
      <c r="R6" s="3219" t="s">
        <v>161</v>
      </c>
      <c r="S6" s="3219" t="s">
        <v>2886</v>
      </c>
      <c r="T6" s="3219" t="s">
        <v>2887</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2888</v>
      </c>
      <c r="Q7" s="3219" t="s">
        <v>2889</v>
      </c>
      <c r="R7" s="3219" t="s">
        <v>2890</v>
      </c>
      <c r="S7" s="3219" t="s">
        <v>2891</v>
      </c>
      <c r="T7" s="3219" t="s">
        <v>2892</v>
      </c>
    </row>
    <row r="8" spans="1:20" ht="12"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2893</v>
      </c>
      <c r="Q8" s="3219" t="s">
        <v>174</v>
      </c>
      <c r="R8" s="3219" t="s">
        <v>2894</v>
      </c>
      <c r="S8" s="3219" t="s">
        <v>2895</v>
      </c>
      <c r="T8" s="3226" t="s">
        <v>2896</v>
      </c>
    </row>
    <row r="9" spans="1:20" ht="12"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2897</v>
      </c>
      <c r="Q9" s="3219" t="s">
        <v>182</v>
      </c>
      <c r="R9" s="3219" t="s">
        <v>183</v>
      </c>
      <c r="S9" s="3219" t="s">
        <v>200</v>
      </c>
    </row>
    <row r="10" spans="1:20">
      <c r="A10" s="3224" t="s">
        <v>184</v>
      </c>
      <c r="B10" s="3215" t="s">
        <v>2858</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2898</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2899</v>
      </c>
      <c r="P11" s="3219" t="s">
        <v>191</v>
      </c>
      <c r="Q11" s="3219" t="s">
        <v>199</v>
      </c>
      <c r="R11" s="3219" t="s">
        <v>2900</v>
      </c>
      <c r="S11" s="3219" t="s">
        <v>2901</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2902</v>
      </c>
      <c r="P12" s="3219" t="s">
        <v>2903</v>
      </c>
      <c r="Q12" s="3219" t="s">
        <v>2904</v>
      </c>
      <c r="R12" s="3219" t="s">
        <v>2905</v>
      </c>
      <c r="S12" s="3219" t="s">
        <v>2906</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2907</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2908</v>
      </c>
      <c r="K14" s="3220" t="s">
        <v>215</v>
      </c>
      <c r="L14" s="3219" t="s">
        <v>216</v>
      </c>
      <c r="M14" s="3219" t="s">
        <v>217</v>
      </c>
      <c r="N14" s="3219" t="s">
        <v>218</v>
      </c>
      <c r="O14" s="3219" t="s">
        <v>240</v>
      </c>
      <c r="P14" s="3219" t="s">
        <v>213</v>
      </c>
      <c r="Q14" s="3219" t="s">
        <v>2909</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2910</v>
      </c>
      <c r="P15" s="3219" t="s">
        <v>2911</v>
      </c>
      <c r="Q15" s="3219" t="s">
        <v>242</v>
      </c>
      <c r="R15" s="3219" t="s">
        <v>2912</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2913</v>
      </c>
      <c r="P16" s="3219" t="s">
        <v>227</v>
      </c>
      <c r="Q16" s="3219" t="s">
        <v>250</v>
      </c>
      <c r="R16" s="3219" t="s">
        <v>207</v>
      </c>
      <c r="S16" s="3219" t="s">
        <v>2914</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2915</v>
      </c>
      <c r="P17" s="3219" t="s">
        <v>2916</v>
      </c>
      <c r="Q17" s="3219" t="s">
        <v>256</v>
      </c>
      <c r="R17" s="3219" t="s">
        <v>2917</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2918</v>
      </c>
      <c r="P18" s="3219" t="s">
        <v>241</v>
      </c>
      <c r="Q18" s="3219" t="s">
        <v>2919</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2920</v>
      </c>
      <c r="P19" s="3219" t="s">
        <v>249</v>
      </c>
      <c r="Q19" s="3219" t="s">
        <v>2921</v>
      </c>
      <c r="R19" s="3219" t="s">
        <v>265</v>
      </c>
      <c r="S19" s="3219" t="s">
        <v>2922</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2923</v>
      </c>
      <c r="P20" s="3219" t="s">
        <v>2924</v>
      </c>
      <c r="Q20" s="3219" t="s">
        <v>290</v>
      </c>
      <c r="R20" s="3219" t="s">
        <v>2925</v>
      </c>
      <c r="S20" s="3219" t="s">
        <v>277</v>
      </c>
    </row>
    <row r="21" spans="1:19" ht="14.25" customHeight="1" thickBot="1">
      <c r="A21" s="3219" t="s">
        <v>184</v>
      </c>
      <c r="B21" s="3220" t="s">
        <v>208</v>
      </c>
      <c r="C21" s="3219">
        <v>32370</v>
      </c>
      <c r="D21" s="3219">
        <v>26730</v>
      </c>
      <c r="E21" s="3219">
        <v>26640</v>
      </c>
      <c r="F21" s="3219"/>
      <c r="G21" s="3219">
        <v>19440</v>
      </c>
      <c r="J21" s="3226" t="s">
        <v>2926</v>
      </c>
      <c r="K21" s="3220" t="s">
        <v>267</v>
      </c>
      <c r="L21" s="3219" t="s">
        <v>268</v>
      </c>
      <c r="M21" s="3219" t="s">
        <v>269</v>
      </c>
      <c r="N21" s="3219" t="s">
        <v>270</v>
      </c>
      <c r="O21" s="3219" t="s">
        <v>264</v>
      </c>
      <c r="P21" s="3219" t="s">
        <v>283</v>
      </c>
      <c r="Q21" s="3219" t="s">
        <v>293</v>
      </c>
      <c r="R21" s="3219" t="s">
        <v>2927</v>
      </c>
      <c r="S21" s="3226" t="s">
        <v>2928</v>
      </c>
    </row>
    <row r="22" spans="1:19" ht="14.25" customHeight="1">
      <c r="A22" s="3219" t="s">
        <v>184</v>
      </c>
      <c r="B22" s="3220" t="s">
        <v>2908</v>
      </c>
      <c r="C22" s="3219">
        <v>29830</v>
      </c>
      <c r="D22" s="3219">
        <v>27600</v>
      </c>
      <c r="E22" s="3219">
        <v>28150</v>
      </c>
      <c r="F22" s="3219"/>
      <c r="G22" s="3219">
        <v>20080</v>
      </c>
      <c r="K22" s="3220" t="s">
        <v>2929</v>
      </c>
      <c r="L22" s="3219" t="s">
        <v>272</v>
      </c>
      <c r="M22" s="3219" t="s">
        <v>273</v>
      </c>
      <c r="N22" s="3219" t="s">
        <v>274</v>
      </c>
      <c r="O22" s="3219" t="s">
        <v>2930</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2931</v>
      </c>
      <c r="L23" s="3219" t="s">
        <v>278</v>
      </c>
      <c r="M23" s="3219" t="s">
        <v>279</v>
      </c>
      <c r="N23" s="3219" t="s">
        <v>2932</v>
      </c>
      <c r="O23" s="3219" t="s">
        <v>2933</v>
      </c>
      <c r="P23" s="3219" t="s">
        <v>289</v>
      </c>
      <c r="Q23" s="3219" t="s">
        <v>298</v>
      </c>
      <c r="R23" s="3219" t="s">
        <v>2934</v>
      </c>
    </row>
    <row r="24" spans="1:19" ht="14.25" customHeight="1">
      <c r="A24" s="3219" t="s">
        <v>184</v>
      </c>
      <c r="B24" s="3220" t="s">
        <v>230</v>
      </c>
      <c r="C24" s="3219">
        <v>27930</v>
      </c>
      <c r="D24" s="3219">
        <v>32260</v>
      </c>
      <c r="E24" s="3219">
        <v>32120</v>
      </c>
      <c r="F24" s="3219"/>
      <c r="G24" s="3219">
        <v>23470</v>
      </c>
      <c r="K24" s="3220" t="s">
        <v>2935</v>
      </c>
      <c r="L24" s="3219" t="s">
        <v>281</v>
      </c>
      <c r="M24" s="3219" t="s">
        <v>282</v>
      </c>
      <c r="N24" s="3219" t="s">
        <v>2936</v>
      </c>
      <c r="O24" s="3219" t="s">
        <v>285</v>
      </c>
      <c r="P24" s="3219" t="s">
        <v>2937</v>
      </c>
      <c r="Q24" s="3228" t="s">
        <v>2938</v>
      </c>
      <c r="R24" s="3219" t="s">
        <v>2939</v>
      </c>
    </row>
    <row r="25" spans="1:19" ht="14.25" customHeight="1">
      <c r="A25" s="3219" t="s">
        <v>184</v>
      </c>
      <c r="B25" s="3220" t="s">
        <v>235</v>
      </c>
      <c r="C25" s="3219">
        <v>32230</v>
      </c>
      <c r="D25" s="3219">
        <v>29640</v>
      </c>
      <c r="E25" s="3219">
        <v>29510</v>
      </c>
      <c r="F25" s="3219"/>
      <c r="G25" s="3219">
        <v>21560</v>
      </c>
      <c r="K25" s="3220" t="s">
        <v>2940</v>
      </c>
      <c r="L25" s="3219" t="s">
        <v>2941</v>
      </c>
      <c r="M25" s="3219" t="s">
        <v>284</v>
      </c>
      <c r="N25" s="3219" t="s">
        <v>292</v>
      </c>
      <c r="O25" s="3219" t="s">
        <v>288</v>
      </c>
      <c r="P25" s="3219" t="s">
        <v>275</v>
      </c>
      <c r="Q25" s="3228" t="s">
        <v>271</v>
      </c>
      <c r="R25" s="3219" t="s">
        <v>2942</v>
      </c>
    </row>
    <row r="26" spans="1:19" ht="14.25" customHeight="1" thickBot="1">
      <c r="A26" s="3219" t="s">
        <v>184</v>
      </c>
      <c r="B26" s="3220" t="s">
        <v>244</v>
      </c>
      <c r="C26" s="3219">
        <v>31690</v>
      </c>
      <c r="D26" s="3219">
        <v>27650</v>
      </c>
      <c r="E26" s="3219">
        <v>28200</v>
      </c>
      <c r="F26" s="3219"/>
      <c r="G26" s="3219">
        <v>20110</v>
      </c>
      <c r="K26" s="3225" t="s">
        <v>2943</v>
      </c>
      <c r="L26" s="3219" t="s">
        <v>2944</v>
      </c>
      <c r="M26" s="3219" t="s">
        <v>287</v>
      </c>
      <c r="N26" s="3219" t="s">
        <v>294</v>
      </c>
      <c r="O26" s="3219" t="s">
        <v>2945</v>
      </c>
      <c r="P26" s="3219" t="s">
        <v>2946</v>
      </c>
      <c r="Q26" s="3228" t="s">
        <v>276</v>
      </c>
      <c r="R26" s="3219" t="s">
        <v>2947</v>
      </c>
    </row>
    <row r="27" spans="1:19" ht="14.25" customHeight="1">
      <c r="A27" s="3219" t="s">
        <v>184</v>
      </c>
      <c r="B27" s="3220" t="s">
        <v>251</v>
      </c>
      <c r="C27" s="3219">
        <v>29610</v>
      </c>
      <c r="D27" s="3219">
        <v>27770</v>
      </c>
      <c r="E27" s="3219">
        <v>28300</v>
      </c>
      <c r="F27" s="3219"/>
      <c r="G27" s="3219">
        <v>20210</v>
      </c>
      <c r="L27" s="3219" t="s">
        <v>2948</v>
      </c>
      <c r="M27" s="3219" t="s">
        <v>291</v>
      </c>
      <c r="N27" s="3219" t="s">
        <v>297</v>
      </c>
      <c r="O27" s="3219" t="s">
        <v>2949</v>
      </c>
      <c r="P27" s="3219" t="s">
        <v>2950</v>
      </c>
      <c r="Q27" s="3219" t="s">
        <v>2951</v>
      </c>
      <c r="R27" s="3219" t="s">
        <v>2952</v>
      </c>
    </row>
    <row r="28" spans="1:19" ht="14.25" customHeight="1">
      <c r="A28" s="3219" t="s">
        <v>184</v>
      </c>
      <c r="B28" s="3220" t="s">
        <v>259</v>
      </c>
      <c r="C28" s="3219"/>
      <c r="D28" s="3219">
        <v>31520</v>
      </c>
      <c r="E28" s="3219">
        <v>31410</v>
      </c>
      <c r="F28" s="3219"/>
      <c r="G28" s="3219">
        <v>22940</v>
      </c>
      <c r="L28" s="3219" t="s">
        <v>2953</v>
      </c>
      <c r="M28" s="3219" t="s">
        <v>2954</v>
      </c>
      <c r="N28" s="3219" t="s">
        <v>2955</v>
      </c>
      <c r="O28" s="3219" t="s">
        <v>2956</v>
      </c>
      <c r="P28" s="3219" t="s">
        <v>2957</v>
      </c>
      <c r="Q28" s="3219" t="s">
        <v>2958</v>
      </c>
      <c r="R28" s="3219" t="s">
        <v>2959</v>
      </c>
    </row>
    <row r="29" spans="1:19" ht="14.25" customHeight="1" thickBot="1">
      <c r="A29" s="3227" t="s">
        <v>184</v>
      </c>
      <c r="B29" s="3229" t="s">
        <v>2926</v>
      </c>
      <c r="C29" s="3230"/>
      <c r="D29" s="3230">
        <v>29460</v>
      </c>
      <c r="E29" s="3230">
        <v>28640</v>
      </c>
      <c r="F29" s="3230"/>
      <c r="G29" s="3230">
        <v>21430</v>
      </c>
      <c r="L29" s="3219" t="s">
        <v>2960</v>
      </c>
      <c r="M29" s="3219" t="s">
        <v>2961</v>
      </c>
      <c r="N29" s="3219" t="s">
        <v>2962</v>
      </c>
      <c r="O29" s="3219" t="s">
        <v>2963</v>
      </c>
      <c r="P29" s="3219" t="s">
        <v>2964</v>
      </c>
      <c r="Q29" s="3219" t="s">
        <v>2965</v>
      </c>
      <c r="R29" s="3219" t="s">
        <v>280</v>
      </c>
    </row>
    <row r="30" spans="1:19" ht="14.25" customHeight="1">
      <c r="A30" s="3224" t="s">
        <v>296</v>
      </c>
      <c r="B30" s="3215" t="s">
        <v>2859</v>
      </c>
      <c r="C30" s="3215">
        <v>26890</v>
      </c>
      <c r="D30" s="3215">
        <v>26770</v>
      </c>
      <c r="E30" s="3215">
        <v>25700</v>
      </c>
      <c r="F30" s="3215">
        <v>8180</v>
      </c>
      <c r="G30" s="3231">
        <v>18740</v>
      </c>
      <c r="L30" s="3219" t="s">
        <v>2966</v>
      </c>
      <c r="M30" s="3219" t="s">
        <v>2967</v>
      </c>
      <c r="N30" s="3219" t="s">
        <v>2968</v>
      </c>
      <c r="O30" s="3219" t="s">
        <v>2969</v>
      </c>
      <c r="P30" s="3219" t="s">
        <v>2970</v>
      </c>
      <c r="Q30" s="3219" t="s">
        <v>2971</v>
      </c>
      <c r="R30" s="3219" t="s">
        <v>2972</v>
      </c>
    </row>
    <row r="31" spans="1:19" ht="14.25" customHeight="1">
      <c r="A31" s="3219" t="s">
        <v>296</v>
      </c>
      <c r="B31" s="3220" t="s">
        <v>129</v>
      </c>
      <c r="C31" s="3219">
        <v>24550</v>
      </c>
      <c r="D31" s="3219">
        <v>23990</v>
      </c>
      <c r="E31" s="3219">
        <v>22930</v>
      </c>
      <c r="F31" s="3219">
        <v>7470</v>
      </c>
      <c r="G31" s="3232">
        <v>16790</v>
      </c>
      <c r="L31" s="3219" t="s">
        <v>2973</v>
      </c>
      <c r="M31" s="3219" t="s">
        <v>2974</v>
      </c>
      <c r="N31" s="3219" t="s">
        <v>2975</v>
      </c>
      <c r="O31" s="3219" t="s">
        <v>2976</v>
      </c>
      <c r="P31" s="3219" t="s">
        <v>2977</v>
      </c>
      <c r="Q31" s="3219" t="s">
        <v>2978</v>
      </c>
      <c r="R31" s="3219" t="s">
        <v>2979</v>
      </c>
    </row>
    <row r="32" spans="1:19" ht="14.25" customHeight="1" thickBot="1">
      <c r="A32" s="3219" t="s">
        <v>296</v>
      </c>
      <c r="B32" s="3220" t="s">
        <v>138</v>
      </c>
      <c r="C32" s="3219">
        <v>27210</v>
      </c>
      <c r="D32" s="3219">
        <v>23240</v>
      </c>
      <c r="E32" s="3219">
        <v>23260</v>
      </c>
      <c r="F32" s="3219">
        <v>7130</v>
      </c>
      <c r="G32" s="3232">
        <v>16270</v>
      </c>
      <c r="L32" s="3219" t="s">
        <v>2980</v>
      </c>
      <c r="M32" s="3219" t="s">
        <v>2981</v>
      </c>
      <c r="N32" s="3219" t="s">
        <v>300</v>
      </c>
      <c r="O32" s="3219" t="s">
        <v>2982</v>
      </c>
      <c r="P32" s="3219" t="s">
        <v>299</v>
      </c>
      <c r="Q32" s="3219" t="s">
        <v>2983</v>
      </c>
      <c r="R32" s="3226" t="s">
        <v>2984</v>
      </c>
    </row>
    <row r="33" spans="1:17" ht="14.25" customHeight="1" thickBot="1">
      <c r="A33" s="3219" t="s">
        <v>296</v>
      </c>
      <c r="B33" s="3220" t="s">
        <v>147</v>
      </c>
      <c r="C33" s="3219">
        <v>27300</v>
      </c>
      <c r="D33" s="3219">
        <v>22980</v>
      </c>
      <c r="E33" s="3219">
        <v>24260</v>
      </c>
      <c r="F33" s="3219">
        <v>5860</v>
      </c>
      <c r="G33" s="3232">
        <v>16090</v>
      </c>
      <c r="L33" s="3226" t="s">
        <v>2985</v>
      </c>
      <c r="M33" s="3219" t="s">
        <v>2986</v>
      </c>
      <c r="N33" s="3219" t="s">
        <v>301</v>
      </c>
      <c r="O33" s="3219" t="s">
        <v>2987</v>
      </c>
      <c r="P33" s="3219" t="s">
        <v>2988</v>
      </c>
      <c r="Q33" s="3219" t="s">
        <v>2989</v>
      </c>
    </row>
    <row r="34" spans="1:17" ht="14.25" customHeight="1">
      <c r="A34" s="3219" t="s">
        <v>296</v>
      </c>
      <c r="B34" s="3220" t="s">
        <v>156</v>
      </c>
      <c r="C34" s="3219">
        <v>23090</v>
      </c>
      <c r="D34" s="3219">
        <v>23390</v>
      </c>
      <c r="E34" s="3219">
        <v>23510</v>
      </c>
      <c r="F34" s="3219">
        <v>6700</v>
      </c>
      <c r="G34" s="3232">
        <v>16370</v>
      </c>
      <c r="M34" s="3219" t="s">
        <v>2990</v>
      </c>
      <c r="N34" s="3219" t="s">
        <v>302</v>
      </c>
      <c r="O34" s="3219" t="s">
        <v>2991</v>
      </c>
      <c r="P34" s="3219" t="s">
        <v>2992</v>
      </c>
      <c r="Q34" s="3219" t="s">
        <v>2993</v>
      </c>
    </row>
    <row r="35" spans="1:17" ht="14.25" customHeight="1">
      <c r="A35" s="3219" t="s">
        <v>296</v>
      </c>
      <c r="B35" s="3220" t="s">
        <v>163</v>
      </c>
      <c r="C35" s="3219">
        <v>27270</v>
      </c>
      <c r="D35" s="3219">
        <v>24270</v>
      </c>
      <c r="E35" s="3219">
        <v>24950</v>
      </c>
      <c r="F35" s="3219">
        <v>6600</v>
      </c>
      <c r="G35" s="3232">
        <v>16990</v>
      </c>
      <c r="M35" s="3219" t="s">
        <v>2994</v>
      </c>
      <c r="N35" s="3219" t="s">
        <v>2995</v>
      </c>
      <c r="O35" s="3219" t="s">
        <v>2996</v>
      </c>
      <c r="P35" s="3219" t="s">
        <v>2997</v>
      </c>
      <c r="Q35" s="3219" t="s">
        <v>2998</v>
      </c>
    </row>
    <row r="36" spans="1:17" ht="14.25" customHeight="1">
      <c r="A36" s="3219" t="s">
        <v>296</v>
      </c>
      <c r="B36" s="3220" t="s">
        <v>169</v>
      </c>
      <c r="C36" s="3219">
        <v>23490</v>
      </c>
      <c r="D36" s="3219">
        <v>23020</v>
      </c>
      <c r="E36" s="3219">
        <v>25230</v>
      </c>
      <c r="F36" s="3219">
        <v>6780</v>
      </c>
      <c r="G36" s="3232">
        <v>16120</v>
      </c>
      <c r="M36" s="3219" t="s">
        <v>2999</v>
      </c>
      <c r="N36" s="3219" t="s">
        <v>3000</v>
      </c>
      <c r="O36" s="3219" t="s">
        <v>3001</v>
      </c>
      <c r="P36" s="3219" t="s">
        <v>3002</v>
      </c>
      <c r="Q36" s="3219" t="s">
        <v>3003</v>
      </c>
    </row>
    <row r="37" spans="1:17" ht="14.25" customHeight="1">
      <c r="A37" s="3219" t="s">
        <v>296</v>
      </c>
      <c r="B37" s="3220" t="s">
        <v>176</v>
      </c>
      <c r="C37" s="3219">
        <v>24380</v>
      </c>
      <c r="D37" s="3219">
        <v>22240</v>
      </c>
      <c r="E37" s="3219">
        <v>25980</v>
      </c>
      <c r="F37" s="3219">
        <v>8160</v>
      </c>
      <c r="G37" s="3232">
        <v>15570</v>
      </c>
      <c r="M37" s="3219" t="s">
        <v>3004</v>
      </c>
      <c r="N37" s="3219" t="s">
        <v>3005</v>
      </c>
      <c r="O37" s="3219" t="s">
        <v>3006</v>
      </c>
      <c r="P37" s="3219" t="s">
        <v>3007</v>
      </c>
      <c r="Q37" s="3219" t="s">
        <v>3008</v>
      </c>
    </row>
    <row r="38" spans="1:17" ht="14.25" customHeight="1">
      <c r="A38" s="3219" t="s">
        <v>296</v>
      </c>
      <c r="B38" s="3220" t="s">
        <v>186</v>
      </c>
      <c r="C38" s="3219">
        <v>23120</v>
      </c>
      <c r="D38" s="3219">
        <v>24630</v>
      </c>
      <c r="E38" s="3219">
        <v>25030</v>
      </c>
      <c r="F38" s="3219">
        <v>7710</v>
      </c>
      <c r="G38" s="3232">
        <v>17240</v>
      </c>
      <c r="M38" s="3219" t="s">
        <v>3009</v>
      </c>
      <c r="N38" s="3219" t="s">
        <v>3010</v>
      </c>
      <c r="O38" s="3219" t="s">
        <v>3011</v>
      </c>
      <c r="P38" s="3219" t="s">
        <v>3012</v>
      </c>
      <c r="Q38" s="3219" t="s">
        <v>3013</v>
      </c>
    </row>
    <row r="39" spans="1:17" ht="14.25" customHeight="1">
      <c r="A39" s="3219" t="s">
        <v>296</v>
      </c>
      <c r="B39" s="3220" t="s">
        <v>195</v>
      </c>
      <c r="C39" s="3219">
        <v>22330</v>
      </c>
      <c r="D39" s="3219">
        <v>21140</v>
      </c>
      <c r="E39" s="3219">
        <v>23970</v>
      </c>
      <c r="F39" s="3219">
        <v>7940</v>
      </c>
      <c r="G39" s="3232">
        <v>14790</v>
      </c>
      <c r="M39" s="3219" t="s">
        <v>3014</v>
      </c>
      <c r="N39" s="3219" t="s">
        <v>3015</v>
      </c>
      <c r="O39" s="3219" t="s">
        <v>3016</v>
      </c>
      <c r="P39" s="3219" t="s">
        <v>3017</v>
      </c>
      <c r="Q39" s="3219" t="s">
        <v>3018</v>
      </c>
    </row>
    <row r="40" spans="1:17" ht="14.25" customHeight="1">
      <c r="A40" s="3219" t="s">
        <v>296</v>
      </c>
      <c r="B40" s="3220" t="s">
        <v>202</v>
      </c>
      <c r="C40" s="3219">
        <v>24740</v>
      </c>
      <c r="D40" s="3219">
        <v>24690</v>
      </c>
      <c r="E40" s="3219">
        <v>22610</v>
      </c>
      <c r="F40" s="3219"/>
      <c r="G40" s="3232">
        <v>17280</v>
      </c>
      <c r="M40" s="3219" t="s">
        <v>3019</v>
      </c>
      <c r="N40" s="3219" t="s">
        <v>3020</v>
      </c>
      <c r="O40" s="3219" t="s">
        <v>3021</v>
      </c>
      <c r="P40" s="3219" t="s">
        <v>3022</v>
      </c>
      <c r="Q40" s="3219" t="s">
        <v>3023</v>
      </c>
    </row>
    <row r="41" spans="1:17" ht="14.25" customHeight="1" thickBot="1">
      <c r="A41" s="3219" t="s">
        <v>296</v>
      </c>
      <c r="B41" s="3220" t="s">
        <v>209</v>
      </c>
      <c r="C41" s="3219">
        <v>21220</v>
      </c>
      <c r="D41" s="3219">
        <v>21120</v>
      </c>
      <c r="E41" s="3219">
        <v>22590</v>
      </c>
      <c r="F41" s="3219"/>
      <c r="G41" s="3232">
        <v>14780</v>
      </c>
      <c r="M41" s="3226" t="s">
        <v>3024</v>
      </c>
      <c r="N41" s="3219" t="s">
        <v>3025</v>
      </c>
      <c r="O41" s="3219" t="s">
        <v>3026</v>
      </c>
      <c r="P41" s="3219" t="s">
        <v>3027</v>
      </c>
      <c r="Q41" s="3219" t="s">
        <v>3028</v>
      </c>
    </row>
    <row r="42" spans="1:17" ht="14.25" customHeight="1">
      <c r="A42" s="3219" t="s">
        <v>296</v>
      </c>
      <c r="B42" s="3220" t="s">
        <v>215</v>
      </c>
      <c r="C42" s="3219">
        <v>24800</v>
      </c>
      <c r="D42" s="3219">
        <v>22280</v>
      </c>
      <c r="E42" s="3219">
        <v>24350</v>
      </c>
      <c r="F42" s="3219"/>
      <c r="G42" s="3232">
        <v>15590</v>
      </c>
      <c r="N42" s="3219" t="s">
        <v>3029</v>
      </c>
      <c r="O42" s="3219" t="s">
        <v>3030</v>
      </c>
      <c r="P42" s="3219" t="s">
        <v>3031</v>
      </c>
      <c r="Q42" s="3219" t="s">
        <v>3032</v>
      </c>
    </row>
    <row r="43" spans="1:17" ht="14.25" customHeight="1">
      <c r="A43" s="3219" t="s">
        <v>3033</v>
      </c>
      <c r="B43" s="3220" t="s">
        <v>223</v>
      </c>
      <c r="C43" s="3219">
        <v>21210</v>
      </c>
      <c r="D43" s="3219">
        <v>21160</v>
      </c>
      <c r="E43" s="3219">
        <v>22650</v>
      </c>
      <c r="F43" s="3219"/>
      <c r="G43" s="3232">
        <v>14800</v>
      </c>
      <c r="N43" s="3219" t="s">
        <v>3034</v>
      </c>
      <c r="O43" s="3219" t="s">
        <v>3035</v>
      </c>
      <c r="P43" s="3219" t="s">
        <v>3036</v>
      </c>
      <c r="Q43" s="3219" t="s">
        <v>3037</v>
      </c>
    </row>
    <row r="44" spans="1:17" ht="14.25" customHeight="1" thickBot="1">
      <c r="A44" s="3219" t="s">
        <v>296</v>
      </c>
      <c r="B44" s="3220" t="s">
        <v>231</v>
      </c>
      <c r="C44" s="3219">
        <v>22370</v>
      </c>
      <c r="D44" s="3219">
        <v>23140</v>
      </c>
      <c r="E44" s="3219">
        <v>25090</v>
      </c>
      <c r="F44" s="3219"/>
      <c r="G44" s="3232">
        <v>16190</v>
      </c>
      <c r="N44" s="3219" t="s">
        <v>3038</v>
      </c>
      <c r="O44" s="3219" t="s">
        <v>3039</v>
      </c>
      <c r="P44" s="3226" t="s">
        <v>3040</v>
      </c>
      <c r="Q44" s="3219" t="s">
        <v>3041</v>
      </c>
    </row>
    <row r="45" spans="1:17" ht="14.25" customHeight="1" thickBot="1">
      <c r="A45" s="3219" t="s">
        <v>296</v>
      </c>
      <c r="B45" s="3220" t="s">
        <v>236</v>
      </c>
      <c r="C45" s="3219">
        <v>21240</v>
      </c>
      <c r="D45" s="3219">
        <v>27050</v>
      </c>
      <c r="E45" s="3219">
        <v>28000</v>
      </c>
      <c r="F45" s="3219"/>
      <c r="G45" s="3232">
        <v>18940</v>
      </c>
      <c r="N45" s="3219" t="s">
        <v>3042</v>
      </c>
      <c r="O45" s="3226" t="s">
        <v>3043</v>
      </c>
      <c r="Q45" s="3219" t="s">
        <v>3044</v>
      </c>
    </row>
    <row r="46" spans="1:17" ht="14.25" customHeight="1">
      <c r="A46" s="3219" t="s">
        <v>296</v>
      </c>
      <c r="B46" s="3220" t="s">
        <v>245</v>
      </c>
      <c r="C46" s="3219">
        <v>23240</v>
      </c>
      <c r="D46" s="3219">
        <v>23000</v>
      </c>
      <c r="E46" s="3219">
        <v>24980</v>
      </c>
      <c r="F46" s="3219"/>
      <c r="G46" s="3232">
        <v>16100</v>
      </c>
      <c r="N46" s="3219" t="s">
        <v>3045</v>
      </c>
      <c r="Q46" s="3219" t="s">
        <v>3046</v>
      </c>
    </row>
    <row r="47" spans="1:17" ht="14.25" customHeight="1">
      <c r="A47" s="3219" t="s">
        <v>296</v>
      </c>
      <c r="B47" s="3220" t="s">
        <v>252</v>
      </c>
      <c r="C47" s="3219">
        <v>27150</v>
      </c>
      <c r="D47" s="3219">
        <v>23310</v>
      </c>
      <c r="E47" s="3219">
        <v>25150</v>
      </c>
      <c r="F47" s="3219"/>
      <c r="G47" s="3232">
        <v>16310</v>
      </c>
      <c r="N47" s="3219" t="s">
        <v>3047</v>
      </c>
      <c r="Q47" s="3219" t="s">
        <v>3048</v>
      </c>
    </row>
    <row r="48" spans="1:17" ht="14.25" customHeight="1">
      <c r="A48" s="3219" t="s">
        <v>296</v>
      </c>
      <c r="B48" s="3220" t="s">
        <v>260</v>
      </c>
      <c r="C48" s="3219">
        <v>23100</v>
      </c>
      <c r="D48" s="3219">
        <v>21110</v>
      </c>
      <c r="E48" s="3219">
        <v>23080</v>
      </c>
      <c r="F48" s="3219"/>
      <c r="G48" s="3232">
        <v>14780</v>
      </c>
      <c r="N48" s="3219" t="s">
        <v>3049</v>
      </c>
      <c r="Q48" s="3219" t="s">
        <v>3050</v>
      </c>
    </row>
    <row r="49" spans="1:17" ht="14.25" customHeight="1">
      <c r="A49" s="3219" t="s">
        <v>296</v>
      </c>
      <c r="B49" s="3220" t="s">
        <v>267</v>
      </c>
      <c r="C49" s="3219">
        <v>23400</v>
      </c>
      <c r="D49" s="3219">
        <v>22920</v>
      </c>
      <c r="E49" s="3219">
        <v>24900</v>
      </c>
      <c r="F49" s="3219"/>
      <c r="G49" s="3232">
        <v>16040</v>
      </c>
      <c r="N49" s="3219" t="s">
        <v>3051</v>
      </c>
      <c r="Q49" s="3219" t="s">
        <v>3052</v>
      </c>
    </row>
    <row r="50" spans="1:17" ht="14.25" customHeight="1">
      <c r="A50" s="3219" t="s">
        <v>296</v>
      </c>
      <c r="B50" s="3220" t="s">
        <v>2929</v>
      </c>
      <c r="C50" s="3219">
        <v>21200</v>
      </c>
      <c r="D50" s="3219">
        <v>26540</v>
      </c>
      <c r="E50" s="3219">
        <v>23200</v>
      </c>
      <c r="F50" s="3219"/>
      <c r="G50" s="3232">
        <v>18580</v>
      </c>
      <c r="N50" s="3219" t="s">
        <v>3053</v>
      </c>
      <c r="Q50" s="3220" t="s">
        <v>3054</v>
      </c>
    </row>
    <row r="51" spans="1:17" ht="14.25" customHeight="1" thickBot="1">
      <c r="A51" s="3219" t="s">
        <v>296</v>
      </c>
      <c r="B51" s="3220" t="s">
        <v>2931</v>
      </c>
      <c r="C51" s="3219">
        <v>23000</v>
      </c>
      <c r="D51" s="3219">
        <v>23460</v>
      </c>
      <c r="E51" s="3219">
        <v>25290</v>
      </c>
      <c r="F51" s="3219"/>
      <c r="G51" s="3232">
        <v>16420</v>
      </c>
      <c r="N51" s="3219" t="s">
        <v>3055</v>
      </c>
      <c r="Q51" s="3226" t="s">
        <v>3056</v>
      </c>
    </row>
    <row r="52" spans="1:17" ht="14.25" customHeight="1">
      <c r="A52" s="3219" t="s">
        <v>296</v>
      </c>
      <c r="B52" s="3220" t="s">
        <v>2935</v>
      </c>
      <c r="C52" s="3219">
        <v>26660</v>
      </c>
      <c r="D52" s="3219">
        <v>22350</v>
      </c>
      <c r="E52" s="3219">
        <v>22920</v>
      </c>
      <c r="F52" s="3219"/>
      <c r="G52" s="3232">
        <v>15640</v>
      </c>
      <c r="N52" s="3219" t="s">
        <v>3057</v>
      </c>
    </row>
    <row r="53" spans="1:17" ht="14.25" customHeight="1">
      <c r="A53" s="3219" t="s">
        <v>296</v>
      </c>
      <c r="B53" s="3220" t="s">
        <v>2940</v>
      </c>
      <c r="C53" s="3219">
        <v>23580</v>
      </c>
      <c r="D53" s="3219"/>
      <c r="E53" s="3219">
        <v>24280</v>
      </c>
      <c r="F53" s="3219"/>
      <c r="G53" s="3232"/>
      <c r="N53" s="3219" t="s">
        <v>3058</v>
      </c>
    </row>
    <row r="54" spans="1:17" ht="14.25" customHeight="1" thickBot="1">
      <c r="A54" s="3233" t="s">
        <v>296</v>
      </c>
      <c r="B54" s="3225" t="s">
        <v>2943</v>
      </c>
      <c r="C54" s="3226">
        <v>22460</v>
      </c>
      <c r="D54" s="3226"/>
      <c r="E54" s="3226"/>
      <c r="F54" s="3226"/>
      <c r="G54" s="3234"/>
      <c r="N54" s="3219" t="s">
        <v>3059</v>
      </c>
    </row>
    <row r="55" spans="1:17" ht="14.25" customHeight="1">
      <c r="A55" s="3224" t="s">
        <v>110</v>
      </c>
      <c r="B55" s="3215" t="s">
        <v>3060</v>
      </c>
      <c r="C55" s="3219">
        <v>21970</v>
      </c>
      <c r="D55" s="3219">
        <v>20370</v>
      </c>
      <c r="E55" s="3219">
        <v>20180</v>
      </c>
      <c r="F55" s="3219">
        <v>5730</v>
      </c>
      <c r="G55" s="3219">
        <v>13820</v>
      </c>
      <c r="N55" s="3219" t="s">
        <v>3061</v>
      </c>
    </row>
    <row r="56" spans="1:17" ht="14.25" customHeight="1">
      <c r="A56" s="3219" t="s">
        <v>110</v>
      </c>
      <c r="B56" s="3219" t="s">
        <v>130</v>
      </c>
      <c r="C56" s="3219">
        <v>20470</v>
      </c>
      <c r="D56" s="3219">
        <v>20700</v>
      </c>
      <c r="E56" s="3219">
        <v>20380</v>
      </c>
      <c r="F56" s="3219">
        <v>4760</v>
      </c>
      <c r="G56" s="3219">
        <v>14050</v>
      </c>
      <c r="N56" s="3219" t="s">
        <v>3062</v>
      </c>
    </row>
    <row r="57" spans="1:17" ht="14.25" customHeight="1">
      <c r="A57" s="3219" t="s">
        <v>110</v>
      </c>
      <c r="B57" s="3219" t="s">
        <v>139</v>
      </c>
      <c r="C57" s="3219">
        <v>20790</v>
      </c>
      <c r="D57" s="3219">
        <v>21370</v>
      </c>
      <c r="E57" s="3219">
        <v>20890</v>
      </c>
      <c r="F57" s="3219">
        <v>4910</v>
      </c>
      <c r="G57" s="3219">
        <v>14510</v>
      </c>
      <c r="N57" s="3219" t="s">
        <v>3063</v>
      </c>
    </row>
    <row r="58" spans="1:17" ht="14.25" customHeight="1">
      <c r="A58" s="3219" t="s">
        <v>110</v>
      </c>
      <c r="B58" s="3219" t="s">
        <v>148</v>
      </c>
      <c r="C58" s="3219">
        <v>21460</v>
      </c>
      <c r="D58" s="3219">
        <v>20920</v>
      </c>
      <c r="E58" s="3219">
        <v>23410</v>
      </c>
      <c r="F58" s="3219">
        <v>5100</v>
      </c>
      <c r="G58" s="3219">
        <v>14200</v>
      </c>
      <c r="N58" s="3219" t="s">
        <v>3064</v>
      </c>
    </row>
    <row r="59" spans="1:17" ht="14.25" customHeight="1">
      <c r="A59" s="3219" t="s">
        <v>110</v>
      </c>
      <c r="B59" s="3219" t="s">
        <v>157</v>
      </c>
      <c r="C59" s="3219">
        <v>21000</v>
      </c>
      <c r="D59" s="3219">
        <v>21550</v>
      </c>
      <c r="E59" s="3219">
        <v>21150</v>
      </c>
      <c r="F59" s="3219">
        <v>5250</v>
      </c>
      <c r="G59" s="3219">
        <v>14630</v>
      </c>
      <c r="N59" s="3219" t="s">
        <v>3065</v>
      </c>
    </row>
    <row r="60" spans="1:17" ht="14.25" customHeight="1">
      <c r="A60" s="3219" t="s">
        <v>110</v>
      </c>
      <c r="B60" s="3219" t="s">
        <v>164</v>
      </c>
      <c r="C60" s="3219">
        <v>21640</v>
      </c>
      <c r="D60" s="3219">
        <v>21260</v>
      </c>
      <c r="E60" s="3219">
        <v>24040</v>
      </c>
      <c r="F60" s="3219">
        <v>4470</v>
      </c>
      <c r="G60" s="3219">
        <v>14430</v>
      </c>
      <c r="N60" s="3219" t="s">
        <v>3066</v>
      </c>
    </row>
    <row r="61" spans="1:17" ht="14.25" customHeight="1">
      <c r="A61" s="3219" t="s">
        <v>110</v>
      </c>
      <c r="B61" s="3219" t="s">
        <v>170</v>
      </c>
      <c r="C61" s="3219">
        <v>21330</v>
      </c>
      <c r="D61" s="3219">
        <v>18640</v>
      </c>
      <c r="E61" s="3219">
        <v>21190</v>
      </c>
      <c r="F61" s="3219">
        <v>4180</v>
      </c>
      <c r="G61" s="3219">
        <v>12650</v>
      </c>
      <c r="N61" s="3219" t="s">
        <v>3067</v>
      </c>
    </row>
    <row r="62" spans="1:17" ht="14.25" customHeight="1">
      <c r="A62" s="3219" t="s">
        <v>110</v>
      </c>
      <c r="B62" s="3219" t="s">
        <v>177</v>
      </c>
      <c r="C62" s="3219">
        <v>18710</v>
      </c>
      <c r="D62" s="3219">
        <v>19400</v>
      </c>
      <c r="E62" s="3219">
        <v>23750</v>
      </c>
      <c r="F62" s="3219">
        <v>4860</v>
      </c>
      <c r="G62" s="3219">
        <v>13170</v>
      </c>
      <c r="N62" s="3219" t="s">
        <v>3068</v>
      </c>
    </row>
    <row r="63" spans="1:17" ht="14.25" customHeight="1">
      <c r="A63" s="3219" t="s">
        <v>110</v>
      </c>
      <c r="B63" s="3219" t="s">
        <v>187</v>
      </c>
      <c r="C63" s="3219">
        <v>19480</v>
      </c>
      <c r="D63" s="3219">
        <v>16830</v>
      </c>
      <c r="E63" s="3219">
        <v>21590</v>
      </c>
      <c r="F63" s="3219">
        <v>4560</v>
      </c>
      <c r="G63" s="3219">
        <v>11420</v>
      </c>
      <c r="N63" s="3219" t="s">
        <v>3069</v>
      </c>
    </row>
    <row r="64" spans="1:17" ht="14.25" customHeight="1" thickBot="1">
      <c r="A64" s="3219" t="s">
        <v>110</v>
      </c>
      <c r="B64" s="3219" t="s">
        <v>196</v>
      </c>
      <c r="C64" s="3219">
        <v>16920</v>
      </c>
      <c r="D64" s="3219">
        <v>19190</v>
      </c>
      <c r="E64" s="3219">
        <v>22200</v>
      </c>
      <c r="F64" s="3219">
        <v>4390</v>
      </c>
      <c r="G64" s="3219">
        <v>13030</v>
      </c>
      <c r="N64" s="3226" t="s">
        <v>3070</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2941</v>
      </c>
      <c r="C78" s="3219">
        <v>19820</v>
      </c>
      <c r="D78" s="3219">
        <v>19780</v>
      </c>
      <c r="E78" s="3219">
        <v>18560</v>
      </c>
      <c r="F78" s="3219"/>
      <c r="G78" s="3219">
        <v>13430</v>
      </c>
    </row>
    <row r="79" spans="1:7" s="3208" customFormat="1" ht="14.25" customHeight="1">
      <c r="A79" s="3219" t="s">
        <v>110</v>
      </c>
      <c r="B79" s="3219" t="s">
        <v>2944</v>
      </c>
      <c r="C79" s="3219">
        <v>21660</v>
      </c>
      <c r="D79" s="3219">
        <v>18000</v>
      </c>
      <c r="E79" s="3219">
        <v>22570</v>
      </c>
      <c r="F79" s="3219"/>
      <c r="G79" s="3219">
        <v>12220</v>
      </c>
    </row>
    <row r="80" spans="1:7" s="3208" customFormat="1" ht="14.25" customHeight="1">
      <c r="A80" s="3219" t="s">
        <v>110</v>
      </c>
      <c r="B80" s="3219" t="s">
        <v>2948</v>
      </c>
      <c r="C80" s="3219">
        <v>19850</v>
      </c>
      <c r="D80" s="3219"/>
      <c r="E80" s="3219">
        <v>21700</v>
      </c>
      <c r="F80" s="3219"/>
      <c r="G80" s="3219"/>
    </row>
    <row r="81" spans="1:7" s="3208" customFormat="1" ht="14.25" customHeight="1">
      <c r="A81" s="3219" t="s">
        <v>110</v>
      </c>
      <c r="B81" s="3219" t="s">
        <v>2953</v>
      </c>
      <c r="C81" s="3219">
        <v>18080</v>
      </c>
      <c r="D81" s="3219"/>
      <c r="E81" s="3219">
        <v>20900</v>
      </c>
      <c r="F81" s="3219"/>
      <c r="G81" s="3219"/>
    </row>
    <row r="82" spans="1:7" s="3208" customFormat="1" ht="14.25" customHeight="1">
      <c r="A82" s="3219" t="s">
        <v>110</v>
      </c>
      <c r="B82" s="3219" t="s">
        <v>2960</v>
      </c>
      <c r="C82" s="3219"/>
      <c r="D82" s="3219"/>
      <c r="E82" s="3219">
        <v>20840</v>
      </c>
      <c r="F82" s="3219"/>
      <c r="G82" s="3219"/>
    </row>
    <row r="83" spans="1:7" s="3208" customFormat="1" ht="14.25" customHeight="1">
      <c r="A83" s="3219" t="s">
        <v>110</v>
      </c>
      <c r="B83" s="3219" t="s">
        <v>3071</v>
      </c>
      <c r="C83" s="3219"/>
      <c r="D83" s="3219"/>
      <c r="E83" s="3219"/>
      <c r="F83" s="3219">
        <v>4770</v>
      </c>
      <c r="G83" s="3219"/>
    </row>
    <row r="84" spans="1:7" s="3208" customFormat="1" ht="14.25" customHeight="1">
      <c r="A84" s="3219" t="s">
        <v>110</v>
      </c>
      <c r="B84" s="3219" t="s">
        <v>3072</v>
      </c>
      <c r="C84" s="3219"/>
      <c r="D84" s="3219"/>
      <c r="E84" s="3219"/>
      <c r="F84" s="3219">
        <v>4600</v>
      </c>
      <c r="G84" s="3219"/>
    </row>
    <row r="85" spans="1:7" s="3208" customFormat="1" ht="14.25" customHeight="1">
      <c r="A85" s="3219" t="s">
        <v>110</v>
      </c>
      <c r="B85" s="3219" t="s">
        <v>3073</v>
      </c>
      <c r="C85" s="3219"/>
      <c r="D85" s="3219"/>
      <c r="E85" s="3219"/>
      <c r="F85" s="3219">
        <v>4680</v>
      </c>
      <c r="G85" s="3219"/>
    </row>
    <row r="86" spans="1:7" s="3208" customFormat="1" ht="14.25" customHeight="1" thickBot="1">
      <c r="A86" s="3227" t="s">
        <v>110</v>
      </c>
      <c r="B86" s="3229" t="s">
        <v>3074</v>
      </c>
      <c r="C86" s="3230">
        <v>16610</v>
      </c>
      <c r="D86" s="3230">
        <v>16540</v>
      </c>
      <c r="E86" s="3230">
        <v>18850</v>
      </c>
      <c r="F86" s="3230"/>
      <c r="G86" s="3230">
        <v>11220</v>
      </c>
    </row>
    <row r="87" spans="1:7" s="3208" customFormat="1" ht="14.25" customHeight="1">
      <c r="A87" s="3224" t="s">
        <v>303</v>
      </c>
      <c r="B87" s="3215" t="s">
        <v>3075</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2954</v>
      </c>
      <c r="C113" s="3219">
        <v>15520</v>
      </c>
      <c r="D113" s="3219">
        <v>15450</v>
      </c>
      <c r="E113" s="3219"/>
      <c r="F113" s="3219"/>
      <c r="G113" s="3232">
        <v>10210</v>
      </c>
    </row>
    <row r="114" spans="1:7" s="3208" customFormat="1" ht="14.25" customHeight="1">
      <c r="A114" s="3219" t="s">
        <v>303</v>
      </c>
      <c r="B114" s="3219" t="s">
        <v>2961</v>
      </c>
      <c r="C114" s="3219">
        <v>13110</v>
      </c>
      <c r="D114" s="3219">
        <v>13050</v>
      </c>
      <c r="E114" s="3219"/>
      <c r="F114" s="3219"/>
      <c r="G114" s="3232">
        <v>8620</v>
      </c>
    </row>
    <row r="115" spans="1:7" s="3208" customFormat="1" ht="14.25" customHeight="1">
      <c r="A115" s="3219" t="s">
        <v>303</v>
      </c>
      <c r="B115" s="3219" t="s">
        <v>2967</v>
      </c>
      <c r="C115" s="3219">
        <v>12460</v>
      </c>
      <c r="D115" s="3219">
        <v>12390</v>
      </c>
      <c r="E115" s="3219"/>
      <c r="F115" s="3219"/>
      <c r="G115" s="3232">
        <v>8190</v>
      </c>
    </row>
    <row r="116" spans="1:7" s="3208" customFormat="1" ht="14.25" customHeight="1">
      <c r="A116" s="3219" t="s">
        <v>303</v>
      </c>
      <c r="B116" s="3219" t="s">
        <v>2974</v>
      </c>
      <c r="C116" s="3219">
        <v>13580</v>
      </c>
      <c r="D116" s="3219">
        <v>13520</v>
      </c>
      <c r="E116" s="3219"/>
      <c r="F116" s="3219"/>
      <c r="G116" s="3232">
        <v>8930</v>
      </c>
    </row>
    <row r="117" spans="1:7" s="3208" customFormat="1" ht="14.25" customHeight="1">
      <c r="A117" s="3219" t="s">
        <v>303</v>
      </c>
      <c r="B117" s="3219" t="s">
        <v>2981</v>
      </c>
      <c r="C117" s="3219">
        <v>17120</v>
      </c>
      <c r="D117" s="3219">
        <v>17040</v>
      </c>
      <c r="E117" s="3219"/>
      <c r="F117" s="3219"/>
      <c r="G117" s="3232">
        <v>11260</v>
      </c>
    </row>
    <row r="118" spans="1:7" s="3208" customFormat="1" ht="14.25" customHeight="1">
      <c r="A118" s="3219" t="s">
        <v>303</v>
      </c>
      <c r="B118" s="3219" t="s">
        <v>2986</v>
      </c>
      <c r="C118" s="3219">
        <v>14860</v>
      </c>
      <c r="D118" s="3219">
        <v>14790</v>
      </c>
      <c r="E118" s="3219"/>
      <c r="F118" s="3219"/>
      <c r="G118" s="3232">
        <v>9780</v>
      </c>
    </row>
    <row r="119" spans="1:7" s="3208" customFormat="1" ht="14.25" customHeight="1">
      <c r="A119" s="3219" t="s">
        <v>303</v>
      </c>
      <c r="B119" s="3219" t="s">
        <v>2990</v>
      </c>
      <c r="C119" s="3219">
        <v>16470</v>
      </c>
      <c r="D119" s="3219">
        <v>16400</v>
      </c>
      <c r="E119" s="3219"/>
      <c r="F119" s="3219"/>
      <c r="G119" s="3232">
        <v>10840</v>
      </c>
    </row>
    <row r="120" spans="1:7" s="3208" customFormat="1" ht="14.25" customHeight="1">
      <c r="A120" s="3219" t="s">
        <v>303</v>
      </c>
      <c r="B120" s="3219" t="s">
        <v>3076</v>
      </c>
      <c r="C120" s="3219"/>
      <c r="D120" s="3219"/>
      <c r="E120" s="3219"/>
      <c r="F120" s="3219">
        <v>4160</v>
      </c>
      <c r="G120" s="3232"/>
    </row>
    <row r="121" spans="1:7" s="3208" customFormat="1" ht="14.25" customHeight="1">
      <c r="A121" s="3219" t="s">
        <v>303</v>
      </c>
      <c r="B121" s="3219" t="s">
        <v>3077</v>
      </c>
      <c r="C121" s="3219"/>
      <c r="D121" s="3219"/>
      <c r="E121" s="3219"/>
      <c r="F121" s="3219">
        <v>3880</v>
      </c>
      <c r="G121" s="3232"/>
    </row>
    <row r="122" spans="1:7" s="3208" customFormat="1" ht="14.25" customHeight="1">
      <c r="A122" s="3219" t="s">
        <v>303</v>
      </c>
      <c r="B122" s="3219" t="s">
        <v>3078</v>
      </c>
      <c r="C122" s="3219">
        <v>13750</v>
      </c>
      <c r="D122" s="3219">
        <v>13680</v>
      </c>
      <c r="E122" s="3219">
        <v>16460</v>
      </c>
      <c r="F122" s="3219">
        <v>2880</v>
      </c>
      <c r="G122" s="3232">
        <v>9040</v>
      </c>
    </row>
    <row r="123" spans="1:7" s="3208" customFormat="1" ht="14.25" customHeight="1">
      <c r="A123" s="3219" t="s">
        <v>303</v>
      </c>
      <c r="B123" s="3219" t="s">
        <v>3009</v>
      </c>
      <c r="C123" s="3219">
        <v>13590</v>
      </c>
      <c r="D123" s="3219">
        <v>13520</v>
      </c>
      <c r="E123" s="3219">
        <v>16290</v>
      </c>
      <c r="F123" s="3219">
        <v>2790</v>
      </c>
      <c r="G123" s="3232">
        <v>8930</v>
      </c>
    </row>
    <row r="124" spans="1:7" s="3208" customFormat="1" ht="14.25" customHeight="1">
      <c r="A124" s="3219" t="s">
        <v>303</v>
      </c>
      <c r="B124" s="3219" t="s">
        <v>3014</v>
      </c>
      <c r="C124" s="3219">
        <v>13400</v>
      </c>
      <c r="D124" s="3219">
        <v>13320</v>
      </c>
      <c r="E124" s="3219">
        <v>16100</v>
      </c>
      <c r="F124" s="3219">
        <v>2320</v>
      </c>
      <c r="G124" s="3232">
        <v>8800</v>
      </c>
    </row>
    <row r="125" spans="1:7" s="3208" customFormat="1" ht="14.25" customHeight="1">
      <c r="A125" s="3219" t="s">
        <v>303</v>
      </c>
      <c r="B125" s="3219" t="s">
        <v>3019</v>
      </c>
      <c r="C125" s="3219">
        <v>12860</v>
      </c>
      <c r="D125" s="3219">
        <v>12790</v>
      </c>
      <c r="E125" s="3219">
        <v>15370</v>
      </c>
      <c r="F125" s="3219">
        <v>2280</v>
      </c>
      <c r="G125" s="3232">
        <v>8450</v>
      </c>
    </row>
    <row r="126" spans="1:7" s="3208" customFormat="1" ht="14.25" customHeight="1" thickBot="1">
      <c r="A126" s="3233" t="s">
        <v>303</v>
      </c>
      <c r="B126" s="3226" t="s">
        <v>3024</v>
      </c>
      <c r="C126" s="3226">
        <v>12960</v>
      </c>
      <c r="D126" s="3226">
        <v>12890</v>
      </c>
      <c r="E126" s="3226">
        <v>15530</v>
      </c>
      <c r="F126" s="3226">
        <v>2910</v>
      </c>
      <c r="G126" s="3234">
        <v>8520</v>
      </c>
    </row>
    <row r="127" spans="1:7" s="3208" customFormat="1" ht="14.25" customHeight="1">
      <c r="A127" s="3224" t="s">
        <v>29</v>
      </c>
      <c r="B127" s="3215" t="s">
        <v>3079</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3080</v>
      </c>
      <c r="C148" s="3219">
        <v>10370</v>
      </c>
      <c r="D148" s="3219">
        <v>10310</v>
      </c>
      <c r="E148" s="3219">
        <v>12970</v>
      </c>
      <c r="F148" s="3219"/>
      <c r="G148" s="3219">
        <v>6630</v>
      </c>
    </row>
    <row r="149" spans="1:7" s="3208" customFormat="1" ht="14.25" customHeight="1">
      <c r="A149" s="3219" t="s">
        <v>29</v>
      </c>
      <c r="B149" s="3219" t="s">
        <v>3081</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2955</v>
      </c>
      <c r="C153" s="3219">
        <v>10880</v>
      </c>
      <c r="D153" s="3219">
        <v>10820</v>
      </c>
      <c r="E153" s="3219">
        <v>13660</v>
      </c>
      <c r="F153" s="3219">
        <v>2260</v>
      </c>
      <c r="G153" s="3219">
        <v>6970</v>
      </c>
    </row>
    <row r="154" spans="1:7" s="3208" customFormat="1" ht="14.25" customHeight="1">
      <c r="A154" s="3219" t="s">
        <v>29</v>
      </c>
      <c r="B154" s="3219" t="s">
        <v>3082</v>
      </c>
      <c r="C154" s="3219">
        <v>11220</v>
      </c>
      <c r="D154" s="3219">
        <v>11160</v>
      </c>
      <c r="E154" s="3219">
        <v>14130</v>
      </c>
      <c r="F154" s="3219">
        <v>2230</v>
      </c>
      <c r="G154" s="3219">
        <v>7180</v>
      </c>
    </row>
    <row r="155" spans="1:7" s="3208" customFormat="1" ht="14.25" customHeight="1">
      <c r="A155" s="3219" t="s">
        <v>29</v>
      </c>
      <c r="B155" s="3219" t="s">
        <v>2968</v>
      </c>
      <c r="C155" s="3219">
        <v>10430</v>
      </c>
      <c r="D155" s="3219">
        <v>10380</v>
      </c>
      <c r="E155" s="3219">
        <v>13140</v>
      </c>
      <c r="F155" s="3219">
        <v>2080</v>
      </c>
      <c r="G155" s="3219">
        <v>6650</v>
      </c>
    </row>
    <row r="156" spans="1:7" s="3208" customFormat="1" ht="14.25" customHeight="1">
      <c r="A156" s="3219" t="s">
        <v>29</v>
      </c>
      <c r="B156" s="3219" t="s">
        <v>3083</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3084</v>
      </c>
      <c r="C160" s="3219">
        <v>11180</v>
      </c>
      <c r="D160" s="3219">
        <v>11140</v>
      </c>
      <c r="E160" s="3219">
        <v>14050</v>
      </c>
      <c r="F160" s="3219">
        <v>2270</v>
      </c>
      <c r="G160" s="3219">
        <v>7170</v>
      </c>
    </row>
    <row r="161" spans="1:7" s="3208" customFormat="1" ht="14.25" customHeight="1">
      <c r="A161" s="3219" t="s">
        <v>29</v>
      </c>
      <c r="B161" s="3219" t="s">
        <v>3000</v>
      </c>
      <c r="C161" s="3219">
        <v>11160</v>
      </c>
      <c r="D161" s="3219">
        <v>11120</v>
      </c>
      <c r="E161" s="3219">
        <v>14020</v>
      </c>
      <c r="F161" s="3219">
        <v>2150</v>
      </c>
      <c r="G161" s="3219">
        <v>7160</v>
      </c>
    </row>
    <row r="162" spans="1:7" s="3208" customFormat="1" ht="14.25" customHeight="1">
      <c r="A162" s="3219" t="s">
        <v>29</v>
      </c>
      <c r="B162" s="3219" t="s">
        <v>3005</v>
      </c>
      <c r="C162" s="3219">
        <v>9620</v>
      </c>
      <c r="D162" s="3219">
        <v>9570</v>
      </c>
      <c r="E162" s="3219">
        <v>12320</v>
      </c>
      <c r="F162" s="3219">
        <v>2010</v>
      </c>
      <c r="G162" s="3219">
        <v>6160</v>
      </c>
    </row>
    <row r="163" spans="1:7" s="3208" customFormat="1" ht="14.25" customHeight="1">
      <c r="A163" s="3219" t="s">
        <v>29</v>
      </c>
      <c r="B163" s="3219" t="s">
        <v>3010</v>
      </c>
      <c r="C163" s="3219">
        <v>9320</v>
      </c>
      <c r="D163" s="3219">
        <v>9270</v>
      </c>
      <c r="E163" s="3219">
        <v>11790</v>
      </c>
      <c r="F163" s="3219">
        <v>1920</v>
      </c>
      <c r="G163" s="3219">
        <v>5960</v>
      </c>
    </row>
    <row r="164" spans="1:7" s="3208" customFormat="1" ht="14.25" customHeight="1">
      <c r="A164" s="3219" t="s">
        <v>29</v>
      </c>
      <c r="B164" s="3219" t="s">
        <v>3015</v>
      </c>
      <c r="C164" s="3219"/>
      <c r="D164" s="3219"/>
      <c r="E164" s="3219"/>
      <c r="F164" s="3219">
        <v>1980</v>
      </c>
      <c r="G164" s="3219"/>
    </row>
    <row r="165" spans="1:7" s="3208" customFormat="1" ht="14.25" customHeight="1">
      <c r="A165" s="3219" t="s">
        <v>29</v>
      </c>
      <c r="B165" s="3219" t="s">
        <v>3085</v>
      </c>
      <c r="C165" s="3219">
        <v>11060</v>
      </c>
      <c r="D165" s="3219">
        <v>11030</v>
      </c>
      <c r="E165" s="3219">
        <v>13850</v>
      </c>
      <c r="F165" s="3219">
        <v>2170</v>
      </c>
      <c r="G165" s="3219">
        <v>7090</v>
      </c>
    </row>
    <row r="166" spans="1:7" s="3208" customFormat="1" ht="14.25" customHeight="1">
      <c r="A166" s="3219" t="s">
        <v>29</v>
      </c>
      <c r="B166" s="3219" t="s">
        <v>3025</v>
      </c>
      <c r="C166" s="3219">
        <v>11050</v>
      </c>
      <c r="D166" s="3219">
        <v>11010</v>
      </c>
      <c r="E166" s="3219">
        <v>13920</v>
      </c>
      <c r="F166" s="3219">
        <v>2140</v>
      </c>
      <c r="G166" s="3219">
        <v>7080</v>
      </c>
    </row>
    <row r="167" spans="1:7" s="3208" customFormat="1" ht="14.25" customHeight="1">
      <c r="A167" s="3219" t="s">
        <v>29</v>
      </c>
      <c r="B167" s="3219" t="s">
        <v>3029</v>
      </c>
      <c r="C167" s="3219">
        <v>10930</v>
      </c>
      <c r="D167" s="3219">
        <v>10890</v>
      </c>
      <c r="E167" s="3219">
        <v>13790</v>
      </c>
      <c r="F167" s="3219">
        <v>2010</v>
      </c>
      <c r="G167" s="3219">
        <v>7000</v>
      </c>
    </row>
    <row r="168" spans="1:7" s="3208" customFormat="1" ht="14.25" customHeight="1">
      <c r="A168" s="3219" t="s">
        <v>29</v>
      </c>
      <c r="B168" s="3219" t="s">
        <v>3034</v>
      </c>
      <c r="C168" s="3219">
        <v>9420</v>
      </c>
      <c r="D168" s="3219">
        <v>9380</v>
      </c>
      <c r="E168" s="3219">
        <v>11970</v>
      </c>
      <c r="F168" s="3219"/>
      <c r="G168" s="3219">
        <v>6040</v>
      </c>
    </row>
    <row r="169" spans="1:7" s="3208" customFormat="1" ht="14.25" customHeight="1">
      <c r="A169" s="3219" t="s">
        <v>29</v>
      </c>
      <c r="B169" s="3219" t="s">
        <v>3086</v>
      </c>
      <c r="C169" s="3219"/>
      <c r="D169" s="3219"/>
      <c r="E169" s="3219"/>
      <c r="F169" s="3219">
        <v>2880</v>
      </c>
      <c r="G169" s="3219"/>
    </row>
    <row r="170" spans="1:7" s="3208" customFormat="1" ht="14.25" customHeight="1">
      <c r="A170" s="3219" t="s">
        <v>29</v>
      </c>
      <c r="B170" s="3219" t="s">
        <v>3042</v>
      </c>
      <c r="C170" s="3219"/>
      <c r="D170" s="3219"/>
      <c r="E170" s="3219"/>
      <c r="F170" s="3219">
        <v>2880</v>
      </c>
      <c r="G170" s="3219"/>
    </row>
    <row r="171" spans="1:7" s="3208" customFormat="1" ht="14.25" customHeight="1">
      <c r="A171" s="3219" t="s">
        <v>29</v>
      </c>
      <c r="B171" s="3219" t="s">
        <v>3045</v>
      </c>
      <c r="C171" s="3219"/>
      <c r="D171" s="3219"/>
      <c r="E171" s="3219"/>
      <c r="F171" s="3219">
        <v>2880</v>
      </c>
      <c r="G171" s="3219"/>
    </row>
    <row r="172" spans="1:7" s="3208" customFormat="1" ht="14.25" customHeight="1">
      <c r="A172" s="3219" t="s">
        <v>29</v>
      </c>
      <c r="B172" s="3219" t="s">
        <v>3047</v>
      </c>
      <c r="C172" s="3219"/>
      <c r="D172" s="3219"/>
      <c r="E172" s="3219"/>
      <c r="F172" s="3219">
        <v>2880</v>
      </c>
      <c r="G172" s="3219"/>
    </row>
    <row r="173" spans="1:7" s="3208" customFormat="1" ht="14.25" customHeight="1">
      <c r="A173" s="3219" t="s">
        <v>29</v>
      </c>
      <c r="B173" s="3219" t="s">
        <v>3049</v>
      </c>
      <c r="C173" s="3219"/>
      <c r="D173" s="3219"/>
      <c r="E173" s="3219"/>
      <c r="F173" s="3219">
        <v>2150</v>
      </c>
      <c r="G173" s="3219"/>
    </row>
    <row r="174" spans="1:7" s="3208" customFormat="1" ht="14.25" customHeight="1">
      <c r="A174" s="3219" t="s">
        <v>29</v>
      </c>
      <c r="B174" s="3219" t="s">
        <v>3051</v>
      </c>
      <c r="C174" s="3219"/>
      <c r="D174" s="3219"/>
      <c r="E174" s="3219"/>
      <c r="F174" s="3219">
        <v>2030</v>
      </c>
      <c r="G174" s="3219"/>
    </row>
    <row r="175" spans="1:7" s="3208" customFormat="1" ht="14.25" customHeight="1">
      <c r="A175" s="3219" t="s">
        <v>29</v>
      </c>
      <c r="B175" s="3219" t="s">
        <v>3053</v>
      </c>
      <c r="C175" s="3219"/>
      <c r="D175" s="3219"/>
      <c r="E175" s="3219"/>
      <c r="F175" s="3219">
        <v>2780</v>
      </c>
      <c r="G175" s="3219"/>
    </row>
    <row r="176" spans="1:7" s="3208" customFormat="1" ht="14.25" customHeight="1">
      <c r="A176" s="3219" t="s">
        <v>29</v>
      </c>
      <c r="B176" s="3219" t="s">
        <v>3055</v>
      </c>
      <c r="C176" s="3219"/>
      <c r="D176" s="3219"/>
      <c r="E176" s="3219"/>
      <c r="F176" s="3219">
        <v>2780</v>
      </c>
      <c r="G176" s="3219"/>
    </row>
    <row r="177" spans="1:7" s="3208" customFormat="1" ht="14.25" customHeight="1">
      <c r="A177" s="3219" t="s">
        <v>29</v>
      </c>
      <c r="B177" s="3219" t="s">
        <v>3087</v>
      </c>
      <c r="C177" s="3219"/>
      <c r="D177" s="3219"/>
      <c r="E177" s="3219"/>
      <c r="F177" s="3219">
        <v>2780</v>
      </c>
      <c r="G177" s="3219"/>
    </row>
    <row r="178" spans="1:7" s="3208" customFormat="1" ht="14.25" customHeight="1">
      <c r="A178" s="3219" t="s">
        <v>29</v>
      </c>
      <c r="B178" s="3219" t="s">
        <v>3088</v>
      </c>
      <c r="C178" s="3219"/>
      <c r="D178" s="3219"/>
      <c r="E178" s="3219"/>
      <c r="F178" s="3219">
        <v>2060</v>
      </c>
      <c r="G178" s="3219"/>
    </row>
    <row r="179" spans="1:7" s="3208" customFormat="1" ht="14.25" customHeight="1">
      <c r="A179" s="3219" t="s">
        <v>29</v>
      </c>
      <c r="B179" s="3219" t="s">
        <v>3089</v>
      </c>
      <c r="C179" s="3219"/>
      <c r="D179" s="3219"/>
      <c r="E179" s="3219"/>
      <c r="F179" s="3219">
        <v>2120</v>
      </c>
      <c r="G179" s="3219"/>
    </row>
    <row r="180" spans="1:7" s="3208" customFormat="1" ht="14.25" customHeight="1">
      <c r="A180" s="3219" t="s">
        <v>29</v>
      </c>
      <c r="B180" s="3219" t="s">
        <v>3061</v>
      </c>
      <c r="C180" s="3219"/>
      <c r="D180" s="3219"/>
      <c r="E180" s="3219"/>
      <c r="F180" s="3219">
        <v>2340</v>
      </c>
      <c r="G180" s="3219"/>
    </row>
    <row r="181" spans="1:7" s="3208" customFormat="1" ht="14.25" customHeight="1">
      <c r="A181" s="3219" t="s">
        <v>29</v>
      </c>
      <c r="B181" s="3219" t="s">
        <v>3062</v>
      </c>
      <c r="C181" s="3219"/>
      <c r="D181" s="3219"/>
      <c r="E181" s="3219"/>
      <c r="F181" s="3219">
        <v>2340</v>
      </c>
      <c r="G181" s="3219"/>
    </row>
    <row r="182" spans="1:7" s="3208" customFormat="1" ht="14.25" customHeight="1">
      <c r="A182" s="3219" t="s">
        <v>29</v>
      </c>
      <c r="B182" s="3219" t="s">
        <v>3063</v>
      </c>
      <c r="C182" s="3219"/>
      <c r="D182" s="3219"/>
      <c r="E182" s="3219"/>
      <c r="F182" s="3219">
        <v>2340</v>
      </c>
      <c r="G182" s="3219"/>
    </row>
    <row r="183" spans="1:7" s="3208" customFormat="1" ht="14.25" customHeight="1">
      <c r="A183" s="3219" t="s">
        <v>29</v>
      </c>
      <c r="B183" s="3219" t="s">
        <v>3064</v>
      </c>
      <c r="C183" s="3219"/>
      <c r="D183" s="3219"/>
      <c r="E183" s="3219"/>
      <c r="F183" s="3219">
        <v>2340</v>
      </c>
      <c r="G183" s="3219"/>
    </row>
    <row r="184" spans="1:7" s="3208" customFormat="1" ht="14.25" customHeight="1">
      <c r="A184" s="3219" t="s">
        <v>29</v>
      </c>
      <c r="B184" s="3219" t="s">
        <v>3065</v>
      </c>
      <c r="C184" s="3219"/>
      <c r="D184" s="3219"/>
      <c r="E184" s="3219"/>
      <c r="F184" s="3219">
        <v>2340</v>
      </c>
      <c r="G184" s="3219"/>
    </row>
    <row r="185" spans="1:7" s="3208" customFormat="1" ht="14.25" customHeight="1">
      <c r="A185" s="3219" t="s">
        <v>29</v>
      </c>
      <c r="B185" s="3219" t="s">
        <v>3066</v>
      </c>
      <c r="C185" s="3219"/>
      <c r="D185" s="3219"/>
      <c r="E185" s="3219"/>
      <c r="F185" s="3219">
        <v>2530</v>
      </c>
      <c r="G185" s="3219"/>
    </row>
    <row r="186" spans="1:7" s="3208" customFormat="1" ht="14.25" customHeight="1">
      <c r="A186" s="3219" t="s">
        <v>29</v>
      </c>
      <c r="B186" s="3219" t="s">
        <v>3067</v>
      </c>
      <c r="C186" s="3219"/>
      <c r="D186" s="3219"/>
      <c r="E186" s="3219"/>
      <c r="F186" s="3219">
        <v>2550</v>
      </c>
      <c r="G186" s="3219"/>
    </row>
    <row r="187" spans="1:7" s="3208" customFormat="1" ht="14.25" customHeight="1">
      <c r="A187" s="3219" t="s">
        <v>29</v>
      </c>
      <c r="B187" s="3219" t="s">
        <v>3068</v>
      </c>
      <c r="C187" s="3219"/>
      <c r="D187" s="3219"/>
      <c r="E187" s="3219"/>
      <c r="F187" s="3219">
        <v>2070</v>
      </c>
      <c r="G187" s="3219"/>
    </row>
    <row r="188" spans="1:7" s="3208" customFormat="1" ht="14.25" customHeight="1">
      <c r="A188" s="3219" t="s">
        <v>29</v>
      </c>
      <c r="B188" s="3219" t="s">
        <v>3069</v>
      </c>
      <c r="C188" s="3219"/>
      <c r="D188" s="3219"/>
      <c r="E188" s="3219"/>
      <c r="F188" s="3219">
        <v>2340</v>
      </c>
      <c r="G188" s="3219"/>
    </row>
    <row r="189" spans="1:7" s="3208" customFormat="1" ht="14.25" customHeight="1" thickBot="1">
      <c r="A189" s="3227" t="s">
        <v>29</v>
      </c>
      <c r="B189" s="3230" t="s">
        <v>3070</v>
      </c>
      <c r="C189" s="3230"/>
      <c r="D189" s="3230"/>
      <c r="E189" s="3230"/>
      <c r="F189" s="3230">
        <v>2050</v>
      </c>
      <c r="G189" s="3230"/>
    </row>
    <row r="190" spans="1:7" s="3208" customFormat="1" ht="14.25" customHeight="1">
      <c r="A190" s="3224" t="s">
        <v>304</v>
      </c>
      <c r="B190" s="3215" t="s">
        <v>3090</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3091</v>
      </c>
      <c r="C199" s="3219">
        <v>8690</v>
      </c>
      <c r="D199" s="3219">
        <v>8630</v>
      </c>
      <c r="E199" s="3219">
        <v>11350</v>
      </c>
      <c r="F199" s="3219">
        <v>1600</v>
      </c>
      <c r="G199" s="3232">
        <v>5450</v>
      </c>
    </row>
    <row r="200" spans="1:7" s="3208" customFormat="1" ht="14.25" customHeight="1">
      <c r="A200" s="3219" t="s">
        <v>304</v>
      </c>
      <c r="B200" s="3219" t="s">
        <v>2902</v>
      </c>
      <c r="C200" s="3219"/>
      <c r="D200" s="3219"/>
      <c r="E200" s="3219"/>
      <c r="F200" s="3219">
        <v>1510</v>
      </c>
      <c r="G200" s="3232"/>
    </row>
    <row r="201" spans="1:7" s="3208" customFormat="1" ht="14.25" customHeight="1">
      <c r="A201" s="3219" t="s">
        <v>304</v>
      </c>
      <c r="B201" s="3219" t="s">
        <v>3092</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3093</v>
      </c>
      <c r="C203" s="3219">
        <v>8130</v>
      </c>
      <c r="D203" s="3219">
        <v>8070</v>
      </c>
      <c r="E203" s="3219">
        <v>10820</v>
      </c>
      <c r="F203" s="3219">
        <v>1690</v>
      </c>
      <c r="G203" s="3232">
        <v>5100</v>
      </c>
    </row>
    <row r="204" spans="1:7" s="3208" customFormat="1" ht="14.25" customHeight="1">
      <c r="A204" s="3219" t="s">
        <v>304</v>
      </c>
      <c r="B204" s="3219" t="s">
        <v>2913</v>
      </c>
      <c r="C204" s="3219">
        <v>8350</v>
      </c>
      <c r="D204" s="3219">
        <v>8290</v>
      </c>
      <c r="E204" s="3219">
        <v>11080</v>
      </c>
      <c r="F204" s="3219">
        <v>1450</v>
      </c>
      <c r="G204" s="3232">
        <v>5240</v>
      </c>
    </row>
    <row r="205" spans="1:7" s="3208" customFormat="1" ht="14.25" customHeight="1">
      <c r="A205" s="3219" t="s">
        <v>304</v>
      </c>
      <c r="B205" s="3219" t="s">
        <v>2915</v>
      </c>
      <c r="C205" s="3219">
        <v>7190</v>
      </c>
      <c r="D205" s="3219">
        <v>7130</v>
      </c>
      <c r="E205" s="3219">
        <v>9490</v>
      </c>
      <c r="F205" s="3219">
        <v>1470</v>
      </c>
      <c r="G205" s="3232">
        <v>4510</v>
      </c>
    </row>
    <row r="206" spans="1:7" s="3208" customFormat="1" ht="14.25" customHeight="1">
      <c r="A206" s="3219" t="s">
        <v>304</v>
      </c>
      <c r="B206" s="3219" t="s">
        <v>2918</v>
      </c>
      <c r="C206" s="3219">
        <v>7000</v>
      </c>
      <c r="D206" s="3219">
        <v>6950</v>
      </c>
      <c r="E206" s="3219">
        <v>9170</v>
      </c>
      <c r="F206" s="3219">
        <v>1400</v>
      </c>
      <c r="G206" s="3232">
        <v>4380</v>
      </c>
    </row>
    <row r="207" spans="1:7" s="3208" customFormat="1" ht="14.25" customHeight="1">
      <c r="A207" s="3219" t="s">
        <v>304</v>
      </c>
      <c r="B207" s="3219" t="s">
        <v>2920</v>
      </c>
      <c r="C207" s="3219">
        <v>6950</v>
      </c>
      <c r="D207" s="3219">
        <v>6900</v>
      </c>
      <c r="E207" s="3219">
        <v>9110</v>
      </c>
      <c r="F207" s="3219">
        <v>1790</v>
      </c>
      <c r="G207" s="3232">
        <v>4360</v>
      </c>
    </row>
    <row r="208" spans="1:7" s="3208" customFormat="1" ht="14.25" customHeight="1">
      <c r="A208" s="3219" t="s">
        <v>304</v>
      </c>
      <c r="B208" s="3219" t="s">
        <v>3094</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2930</v>
      </c>
      <c r="C210" s="3219">
        <v>8710</v>
      </c>
      <c r="D210" s="3219">
        <v>8660</v>
      </c>
      <c r="E210" s="3219">
        <v>11440</v>
      </c>
      <c r="F210" s="3219">
        <v>1740</v>
      </c>
      <c r="G210" s="3232">
        <v>5470</v>
      </c>
    </row>
    <row r="211" spans="1:7" s="3208" customFormat="1" ht="14.25" customHeight="1">
      <c r="A211" s="3219" t="s">
        <v>304</v>
      </c>
      <c r="B211" s="3219" t="s">
        <v>3095</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3096</v>
      </c>
      <c r="C214" s="3219">
        <v>8090</v>
      </c>
      <c r="D214" s="3219">
        <v>8030</v>
      </c>
      <c r="E214" s="3219">
        <v>10780</v>
      </c>
      <c r="F214" s="3219">
        <v>1570</v>
      </c>
      <c r="G214" s="3232">
        <v>5070</v>
      </c>
    </row>
    <row r="215" spans="1:7" s="3208" customFormat="1" ht="14.25" customHeight="1">
      <c r="A215" s="3219" t="s">
        <v>304</v>
      </c>
      <c r="B215" s="3219" t="s">
        <v>3097</v>
      </c>
      <c r="C215" s="3219">
        <v>7950</v>
      </c>
      <c r="D215" s="3219">
        <v>7900</v>
      </c>
      <c r="E215" s="3219">
        <v>10560</v>
      </c>
      <c r="F215" s="3219">
        <v>1630</v>
      </c>
      <c r="G215" s="3232">
        <v>4990</v>
      </c>
    </row>
    <row r="216" spans="1:7" s="3208" customFormat="1" ht="14.25" customHeight="1">
      <c r="A216" s="3219" t="s">
        <v>304</v>
      </c>
      <c r="B216" s="3219" t="s">
        <v>3098</v>
      </c>
      <c r="C216" s="3219">
        <v>8490</v>
      </c>
      <c r="D216" s="3219">
        <v>8440</v>
      </c>
      <c r="E216" s="3219">
        <v>11260</v>
      </c>
      <c r="F216" s="3219">
        <v>1690</v>
      </c>
      <c r="G216" s="3232">
        <v>5330</v>
      </c>
    </row>
    <row r="217" spans="1:7" s="3208" customFormat="1" ht="14.25" customHeight="1">
      <c r="A217" s="3219" t="s">
        <v>304</v>
      </c>
      <c r="B217" s="3219" t="s">
        <v>2963</v>
      </c>
      <c r="C217" s="3219">
        <v>8200</v>
      </c>
      <c r="D217" s="3219">
        <v>8150</v>
      </c>
      <c r="E217" s="3219">
        <v>10910</v>
      </c>
      <c r="F217" s="3219">
        <v>1670</v>
      </c>
      <c r="G217" s="3232">
        <v>5150</v>
      </c>
    </row>
    <row r="218" spans="1:7" s="3208" customFormat="1" ht="14.25" customHeight="1">
      <c r="A218" s="3219" t="s">
        <v>304</v>
      </c>
      <c r="B218" s="3219" t="s">
        <v>3099</v>
      </c>
      <c r="C218" s="3219"/>
      <c r="D218" s="3219"/>
      <c r="E218" s="3219"/>
      <c r="F218" s="3219">
        <v>2040</v>
      </c>
      <c r="G218" s="3232"/>
    </row>
    <row r="219" spans="1:7" s="3208" customFormat="1" ht="14.25" customHeight="1">
      <c r="A219" s="3219" t="s">
        <v>304</v>
      </c>
      <c r="B219" s="3219" t="s">
        <v>3100</v>
      </c>
      <c r="C219" s="3219"/>
      <c r="D219" s="3219"/>
      <c r="E219" s="3219"/>
      <c r="F219" s="3219">
        <v>2040</v>
      </c>
      <c r="G219" s="3232"/>
    </row>
    <row r="220" spans="1:7" s="3208" customFormat="1" ht="14.25" customHeight="1">
      <c r="A220" s="3219" t="s">
        <v>304</v>
      </c>
      <c r="B220" s="3219" t="s">
        <v>3101</v>
      </c>
      <c r="C220" s="3219"/>
      <c r="D220" s="3219"/>
      <c r="E220" s="3219"/>
      <c r="F220" s="3219">
        <v>2040</v>
      </c>
      <c r="G220" s="3232"/>
    </row>
    <row r="221" spans="1:7" s="3208" customFormat="1" ht="14.25" customHeight="1">
      <c r="A221" s="3219" t="s">
        <v>304</v>
      </c>
      <c r="B221" s="3219" t="s">
        <v>3102</v>
      </c>
      <c r="C221" s="3219"/>
      <c r="D221" s="3219"/>
      <c r="E221" s="3219"/>
      <c r="F221" s="3219">
        <v>2040</v>
      </c>
      <c r="G221" s="3232"/>
    </row>
    <row r="222" spans="1:7" s="3208" customFormat="1" ht="14.25" customHeight="1">
      <c r="A222" s="3219" t="s">
        <v>304</v>
      </c>
      <c r="B222" s="3219" t="s">
        <v>3103</v>
      </c>
      <c r="C222" s="3219"/>
      <c r="D222" s="3219"/>
      <c r="E222" s="3219"/>
      <c r="F222" s="3219">
        <v>2040</v>
      </c>
      <c r="G222" s="3232"/>
    </row>
    <row r="223" spans="1:7" s="3208" customFormat="1" ht="14.25" customHeight="1">
      <c r="A223" s="3219" t="s">
        <v>304</v>
      </c>
      <c r="B223" s="3219" t="s">
        <v>3104</v>
      </c>
      <c r="C223" s="3219"/>
      <c r="D223" s="3219"/>
      <c r="E223" s="3219"/>
      <c r="F223" s="3219">
        <v>1930</v>
      </c>
      <c r="G223" s="3232"/>
    </row>
    <row r="224" spans="1:7" s="3208" customFormat="1" ht="14.25" customHeight="1">
      <c r="A224" s="3219" t="s">
        <v>304</v>
      </c>
      <c r="B224" s="3219" t="s">
        <v>3105</v>
      </c>
      <c r="C224" s="3219"/>
      <c r="D224" s="3219"/>
      <c r="E224" s="3219"/>
      <c r="F224" s="3219">
        <v>1930</v>
      </c>
      <c r="G224" s="3232"/>
    </row>
    <row r="225" spans="1:7" s="3208" customFormat="1" ht="14.25" customHeight="1">
      <c r="A225" s="3219" t="s">
        <v>304</v>
      </c>
      <c r="B225" s="3219" t="s">
        <v>3106</v>
      </c>
      <c r="C225" s="3219"/>
      <c r="D225" s="3219"/>
      <c r="E225" s="3219"/>
      <c r="F225" s="3219">
        <v>1930</v>
      </c>
      <c r="G225" s="3232"/>
    </row>
    <row r="226" spans="1:7" s="3208" customFormat="1" ht="14.25" customHeight="1">
      <c r="A226" s="3219" t="s">
        <v>304</v>
      </c>
      <c r="B226" s="3219" t="s">
        <v>3107</v>
      </c>
      <c r="C226" s="3219"/>
      <c r="D226" s="3219"/>
      <c r="E226" s="3219"/>
      <c r="F226" s="3219">
        <v>1700</v>
      </c>
      <c r="G226" s="3232"/>
    </row>
    <row r="227" spans="1:7" s="3208" customFormat="1" ht="14.25" customHeight="1">
      <c r="A227" s="3219" t="s">
        <v>304</v>
      </c>
      <c r="B227" s="3219" t="s">
        <v>3108</v>
      </c>
      <c r="C227" s="3219"/>
      <c r="D227" s="3219"/>
      <c r="E227" s="3219"/>
      <c r="F227" s="3219">
        <v>1520</v>
      </c>
      <c r="G227" s="3232"/>
    </row>
    <row r="228" spans="1:7" s="3208" customFormat="1" ht="14.25" customHeight="1">
      <c r="A228" s="3219" t="s">
        <v>304</v>
      </c>
      <c r="B228" s="3219" t="s">
        <v>3109</v>
      </c>
      <c r="C228" s="3219"/>
      <c r="D228" s="3219"/>
      <c r="E228" s="3219"/>
      <c r="F228" s="3219">
        <v>1520</v>
      </c>
      <c r="G228" s="3232"/>
    </row>
    <row r="229" spans="1:7" s="3208" customFormat="1" ht="14.25" customHeight="1">
      <c r="A229" s="3219" t="s">
        <v>304</v>
      </c>
      <c r="B229" s="3219" t="s">
        <v>3026</v>
      </c>
      <c r="C229" s="3219"/>
      <c r="D229" s="3219"/>
      <c r="E229" s="3219"/>
      <c r="F229" s="3219">
        <v>1520</v>
      </c>
      <c r="G229" s="3232"/>
    </row>
    <row r="230" spans="1:7" s="3208" customFormat="1" ht="14.25" customHeight="1">
      <c r="A230" s="3219" t="s">
        <v>304</v>
      </c>
      <c r="B230" s="3219" t="s">
        <v>3110</v>
      </c>
      <c r="C230" s="3219"/>
      <c r="D230" s="3219"/>
      <c r="E230" s="3219"/>
      <c r="F230" s="3219">
        <v>1820</v>
      </c>
      <c r="G230" s="3232"/>
    </row>
    <row r="231" spans="1:7" s="3208" customFormat="1" ht="14.25" customHeight="1">
      <c r="A231" s="3219" t="s">
        <v>304</v>
      </c>
      <c r="B231" s="3219" t="s">
        <v>3111</v>
      </c>
      <c r="C231" s="3219"/>
      <c r="D231" s="3219"/>
      <c r="E231" s="3219"/>
      <c r="F231" s="3219">
        <v>1760</v>
      </c>
      <c r="G231" s="3232"/>
    </row>
    <row r="232" spans="1:7" s="3208" customFormat="1" ht="14.25" customHeight="1">
      <c r="A232" s="3219" t="s">
        <v>304</v>
      </c>
      <c r="B232" s="3219" t="s">
        <v>3112</v>
      </c>
      <c r="C232" s="3219"/>
      <c r="D232" s="3219"/>
      <c r="E232" s="3219"/>
      <c r="F232" s="3219">
        <v>1840</v>
      </c>
      <c r="G232" s="3232"/>
    </row>
    <row r="233" spans="1:7" s="3208" customFormat="1" ht="14.25" customHeight="1" thickBot="1">
      <c r="A233" s="3233" t="s">
        <v>304</v>
      </c>
      <c r="B233" s="3226" t="s">
        <v>3043</v>
      </c>
      <c r="C233" s="3226"/>
      <c r="D233" s="3226"/>
      <c r="E233" s="3226"/>
      <c r="F233" s="3226">
        <v>1770</v>
      </c>
      <c r="G233" s="3234"/>
    </row>
    <row r="234" spans="1:7" s="3208" customFormat="1" ht="14.25" customHeight="1">
      <c r="A234" s="3224" t="s">
        <v>305</v>
      </c>
      <c r="B234" s="3215" t="s">
        <v>3113</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2884</v>
      </c>
      <c r="C238" s="3219">
        <v>6920</v>
      </c>
      <c r="D238" s="3219">
        <v>6890</v>
      </c>
      <c r="E238" s="3219">
        <v>8640</v>
      </c>
      <c r="F238" s="3219">
        <v>1310</v>
      </c>
      <c r="G238" s="3219">
        <v>4230</v>
      </c>
    </row>
    <row r="239" spans="1:7" s="3208" customFormat="1" ht="14.25" customHeight="1">
      <c r="A239" s="3219" t="s">
        <v>305</v>
      </c>
      <c r="B239" s="3219" t="s">
        <v>3114</v>
      </c>
      <c r="C239" s="3219">
        <v>6780</v>
      </c>
      <c r="D239" s="3219">
        <v>6750</v>
      </c>
      <c r="E239" s="3219">
        <v>8440</v>
      </c>
      <c r="F239" s="3219">
        <v>1160</v>
      </c>
      <c r="G239" s="3219">
        <v>4140</v>
      </c>
    </row>
    <row r="240" spans="1:7" s="3208" customFormat="1" ht="14.25" customHeight="1">
      <c r="A240" s="3219" t="s">
        <v>305</v>
      </c>
      <c r="B240" s="3219" t="s">
        <v>3115</v>
      </c>
      <c r="C240" s="3219">
        <v>5420</v>
      </c>
      <c r="D240" s="3219">
        <v>5380</v>
      </c>
      <c r="E240" s="3219">
        <v>6640</v>
      </c>
      <c r="F240" s="3219">
        <v>1020</v>
      </c>
      <c r="G240" s="3219">
        <v>3300</v>
      </c>
    </row>
    <row r="241" spans="1:7" s="3208" customFormat="1" ht="14.25" customHeight="1">
      <c r="A241" s="3219" t="s">
        <v>305</v>
      </c>
      <c r="B241" s="3219" t="s">
        <v>3116</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3117</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3118</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3119</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3120</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3121</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2946</v>
      </c>
      <c r="C258" s="3219">
        <v>6190</v>
      </c>
      <c r="D258" s="3219">
        <v>6160</v>
      </c>
      <c r="E258" s="3219">
        <v>7680</v>
      </c>
      <c r="F258" s="3219">
        <v>1170</v>
      </c>
      <c r="G258" s="3219">
        <v>3780</v>
      </c>
    </row>
    <row r="259" spans="1:7" s="3208" customFormat="1" ht="14.25" customHeight="1">
      <c r="A259" s="3219" t="s">
        <v>305</v>
      </c>
      <c r="B259" s="3219" t="s">
        <v>3122</v>
      </c>
      <c r="C259" s="3219">
        <v>7610</v>
      </c>
      <c r="D259" s="3219">
        <v>7570</v>
      </c>
      <c r="E259" s="3219">
        <v>9350</v>
      </c>
      <c r="F259" s="3219">
        <v>1350</v>
      </c>
      <c r="G259" s="3219">
        <v>4650</v>
      </c>
    </row>
    <row r="260" spans="1:7" s="3208" customFormat="1" ht="14.25" customHeight="1">
      <c r="A260" s="3219" t="s">
        <v>305</v>
      </c>
      <c r="B260" s="3219" t="s">
        <v>3123</v>
      </c>
      <c r="C260" s="3219">
        <v>6920</v>
      </c>
      <c r="D260" s="3219">
        <v>6880</v>
      </c>
      <c r="E260" s="3219">
        <v>8380</v>
      </c>
      <c r="F260" s="3219">
        <v>1160</v>
      </c>
      <c r="G260" s="3219">
        <v>4220</v>
      </c>
    </row>
    <row r="261" spans="1:7" s="3208" customFormat="1" ht="14.25" customHeight="1">
      <c r="A261" s="3219" t="s">
        <v>305</v>
      </c>
      <c r="B261" s="3219" t="s">
        <v>3124</v>
      </c>
      <c r="C261" s="3219">
        <v>6850</v>
      </c>
      <c r="D261" s="3219">
        <v>6810</v>
      </c>
      <c r="E261" s="3219">
        <v>8290</v>
      </c>
      <c r="F261" s="3219">
        <v>1130</v>
      </c>
      <c r="G261" s="3219">
        <v>4180</v>
      </c>
    </row>
    <row r="262" spans="1:7" s="3208" customFormat="1" ht="14.25" customHeight="1">
      <c r="A262" s="3219" t="s">
        <v>305</v>
      </c>
      <c r="B262" s="3219" t="s">
        <v>3125</v>
      </c>
      <c r="C262" s="3219">
        <v>5860</v>
      </c>
      <c r="D262" s="3219">
        <v>5820</v>
      </c>
      <c r="E262" s="3219">
        <v>7640</v>
      </c>
      <c r="F262" s="3219">
        <v>1070</v>
      </c>
      <c r="G262" s="3219">
        <v>3570</v>
      </c>
    </row>
    <row r="263" spans="1:7" s="3208" customFormat="1" ht="14.25" customHeight="1">
      <c r="A263" s="3219" t="s">
        <v>305</v>
      </c>
      <c r="B263" s="3219" t="s">
        <v>3126</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3127</v>
      </c>
      <c r="C265" s="3219"/>
      <c r="D265" s="3219"/>
      <c r="E265" s="3219"/>
      <c r="F265" s="3219">
        <v>1500</v>
      </c>
      <c r="G265" s="3219"/>
    </row>
    <row r="266" spans="1:7" s="3208" customFormat="1" ht="14.25" customHeight="1">
      <c r="A266" s="3219" t="s">
        <v>305</v>
      </c>
      <c r="B266" s="3219" t="s">
        <v>3128</v>
      </c>
      <c r="C266" s="3219"/>
      <c r="D266" s="3219"/>
      <c r="E266" s="3219"/>
      <c r="F266" s="3219">
        <v>1500</v>
      </c>
      <c r="G266" s="3219"/>
    </row>
    <row r="267" spans="1:7" s="3208" customFormat="1" ht="14.25" customHeight="1">
      <c r="A267" s="3219" t="s">
        <v>305</v>
      </c>
      <c r="B267" s="3219" t="s">
        <v>3129</v>
      </c>
      <c r="C267" s="3219"/>
      <c r="D267" s="3219"/>
      <c r="E267" s="3219"/>
      <c r="F267" s="3219">
        <v>1500</v>
      </c>
      <c r="G267" s="3219"/>
    </row>
    <row r="268" spans="1:7" s="3208" customFormat="1" ht="14.25" customHeight="1">
      <c r="A268" s="3219" t="s">
        <v>305</v>
      </c>
      <c r="B268" s="3219" t="s">
        <v>3130</v>
      </c>
      <c r="C268" s="3219"/>
      <c r="D268" s="3219"/>
      <c r="E268" s="3219"/>
      <c r="F268" s="3219">
        <v>1290</v>
      </c>
      <c r="G268" s="3219"/>
    </row>
    <row r="269" spans="1:7" s="3208" customFormat="1" ht="14.25" customHeight="1">
      <c r="A269" s="3219" t="s">
        <v>305</v>
      </c>
      <c r="B269" s="3219" t="s">
        <v>3131</v>
      </c>
      <c r="C269" s="3219"/>
      <c r="D269" s="3219"/>
      <c r="E269" s="3219"/>
      <c r="F269" s="3219">
        <v>1150</v>
      </c>
      <c r="G269" s="3219"/>
    </row>
    <row r="270" spans="1:7" s="3208" customFormat="1" ht="14.25" customHeight="1">
      <c r="A270" s="3219" t="s">
        <v>305</v>
      </c>
      <c r="B270" s="3219" t="s">
        <v>3132</v>
      </c>
      <c r="C270" s="3219"/>
      <c r="D270" s="3219"/>
      <c r="E270" s="3219"/>
      <c r="F270" s="3219">
        <v>1380</v>
      </c>
      <c r="G270" s="3219"/>
    </row>
    <row r="271" spans="1:7" s="3208" customFormat="1" ht="14.25" customHeight="1">
      <c r="A271" s="3219" t="s">
        <v>305</v>
      </c>
      <c r="B271" s="3219" t="s">
        <v>3133</v>
      </c>
      <c r="C271" s="3219"/>
      <c r="D271" s="3219"/>
      <c r="E271" s="3219"/>
      <c r="F271" s="3219">
        <v>1460</v>
      </c>
      <c r="G271" s="3219"/>
    </row>
    <row r="272" spans="1:7" s="3208" customFormat="1" ht="14.25" customHeight="1">
      <c r="A272" s="3219" t="s">
        <v>305</v>
      </c>
      <c r="B272" s="3219" t="s">
        <v>3134</v>
      </c>
      <c r="C272" s="3219"/>
      <c r="D272" s="3219"/>
      <c r="E272" s="3219"/>
      <c r="F272" s="3219">
        <v>1460</v>
      </c>
      <c r="G272" s="3219"/>
    </row>
    <row r="273" spans="1:7" s="3208" customFormat="1" ht="14.25" customHeight="1">
      <c r="A273" s="3219" t="s">
        <v>305</v>
      </c>
      <c r="B273" s="3219" t="s">
        <v>3027</v>
      </c>
      <c r="C273" s="3219"/>
      <c r="D273" s="3219"/>
      <c r="E273" s="3219"/>
      <c r="F273" s="3219">
        <v>1490</v>
      </c>
      <c r="G273" s="3219"/>
    </row>
    <row r="274" spans="1:7" s="3208" customFormat="1" ht="14.25" customHeight="1">
      <c r="A274" s="3219" t="s">
        <v>305</v>
      </c>
      <c r="B274" s="3219" t="s">
        <v>3135</v>
      </c>
      <c r="C274" s="3219"/>
      <c r="D274" s="3219"/>
      <c r="E274" s="3219"/>
      <c r="F274" s="3219">
        <v>1490</v>
      </c>
      <c r="G274" s="3219"/>
    </row>
    <row r="275" spans="1:7" s="3208" customFormat="1" ht="14.25" customHeight="1">
      <c r="A275" s="3219" t="s">
        <v>305</v>
      </c>
      <c r="B275" s="3219" t="s">
        <v>3136</v>
      </c>
      <c r="C275" s="3219"/>
      <c r="D275" s="3219"/>
      <c r="E275" s="3219"/>
      <c r="F275" s="3219">
        <v>1220</v>
      </c>
      <c r="G275" s="3219"/>
    </row>
    <row r="276" spans="1:7" s="3208" customFormat="1" ht="14.25" customHeight="1" thickBot="1">
      <c r="A276" s="3227" t="s">
        <v>305</v>
      </c>
      <c r="B276" s="3229" t="s">
        <v>3137</v>
      </c>
      <c r="C276" s="3230"/>
      <c r="D276" s="3230"/>
      <c r="E276" s="3230"/>
      <c r="F276" s="3230">
        <v>1380</v>
      </c>
      <c r="G276" s="3230"/>
    </row>
    <row r="277" spans="1:7" s="3208" customFormat="1" ht="14.25" customHeight="1">
      <c r="A277" s="3224" t="s">
        <v>306</v>
      </c>
      <c r="B277" s="3215" t="s">
        <v>3138</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3139</v>
      </c>
      <c r="C279" s="3219">
        <v>4760</v>
      </c>
      <c r="D279" s="3219">
        <v>4720</v>
      </c>
      <c r="E279" s="3219">
        <v>5540</v>
      </c>
      <c r="F279" s="3219">
        <v>810</v>
      </c>
      <c r="G279" s="3232">
        <v>2850</v>
      </c>
    </row>
    <row r="280" spans="1:7" s="3208" customFormat="1" ht="14.25" customHeight="1">
      <c r="A280" s="3219" t="s">
        <v>306</v>
      </c>
      <c r="B280" s="3219" t="s">
        <v>3140</v>
      </c>
      <c r="C280" s="3219">
        <v>4010</v>
      </c>
      <c r="D280" s="3219">
        <v>3950</v>
      </c>
      <c r="E280" s="3219">
        <v>4710</v>
      </c>
      <c r="F280" s="3219">
        <v>800</v>
      </c>
      <c r="G280" s="3232">
        <v>2390</v>
      </c>
    </row>
    <row r="281" spans="1:7" s="3208" customFormat="1" ht="14.25" customHeight="1">
      <c r="A281" s="3219" t="s">
        <v>306</v>
      </c>
      <c r="B281" s="3219" t="s">
        <v>3141</v>
      </c>
      <c r="C281" s="3219">
        <v>4480</v>
      </c>
      <c r="D281" s="3219">
        <v>4420</v>
      </c>
      <c r="E281" s="3219">
        <v>5230</v>
      </c>
      <c r="F281" s="3219">
        <v>870</v>
      </c>
      <c r="G281" s="3232">
        <v>2660</v>
      </c>
    </row>
    <row r="282" spans="1:7" s="3208" customFormat="1" ht="14.25" customHeight="1">
      <c r="A282" s="3219" t="s">
        <v>306</v>
      </c>
      <c r="B282" s="3219" t="s">
        <v>3142</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3143</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3144</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2919</v>
      </c>
      <c r="C293" s="3219">
        <v>5320</v>
      </c>
      <c r="D293" s="3219">
        <v>5270</v>
      </c>
      <c r="E293" s="3219">
        <v>6160</v>
      </c>
      <c r="F293" s="3219">
        <v>990</v>
      </c>
      <c r="G293" s="3232">
        <v>3170</v>
      </c>
    </row>
    <row r="294" spans="1:7" s="3208" customFormat="1" ht="14.25" customHeight="1">
      <c r="A294" s="3219" t="s">
        <v>306</v>
      </c>
      <c r="B294" s="3219" t="s">
        <v>3145</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2938</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3146</v>
      </c>
      <c r="C302" s="3219">
        <v>5520</v>
      </c>
      <c r="D302" s="3219">
        <v>5470</v>
      </c>
      <c r="E302" s="3219">
        <v>6410</v>
      </c>
      <c r="F302" s="3219">
        <v>950</v>
      </c>
      <c r="G302" s="3232">
        <v>3300</v>
      </c>
    </row>
    <row r="303" spans="1:7" s="3208" customFormat="1" ht="14.25" customHeight="1">
      <c r="A303" s="3219" t="s">
        <v>306</v>
      </c>
      <c r="B303" s="3219" t="s">
        <v>2958</v>
      </c>
      <c r="C303" s="3219">
        <v>5630</v>
      </c>
      <c r="D303" s="3219">
        <v>5590</v>
      </c>
      <c r="E303" s="3219">
        <v>6550</v>
      </c>
      <c r="F303" s="3219">
        <v>1010</v>
      </c>
      <c r="G303" s="3232">
        <v>3370</v>
      </c>
    </row>
    <row r="304" spans="1:7" s="3208" customFormat="1" ht="14.25" customHeight="1">
      <c r="A304" s="3219" t="s">
        <v>306</v>
      </c>
      <c r="B304" s="3219" t="s">
        <v>2965</v>
      </c>
      <c r="C304" s="3219">
        <v>5680</v>
      </c>
      <c r="D304" s="3219">
        <v>5620</v>
      </c>
      <c r="E304" s="3219">
        <v>6620</v>
      </c>
      <c r="F304" s="3219">
        <v>1050</v>
      </c>
      <c r="G304" s="3232">
        <v>3390</v>
      </c>
    </row>
    <row r="305" spans="1:7" s="3208" customFormat="1" ht="14.25" customHeight="1">
      <c r="A305" s="3219" t="s">
        <v>306</v>
      </c>
      <c r="B305" s="3219" t="s">
        <v>2971</v>
      </c>
      <c r="C305" s="3219">
        <v>5590</v>
      </c>
      <c r="D305" s="3219">
        <v>5530</v>
      </c>
      <c r="E305" s="3219">
        <v>6460</v>
      </c>
      <c r="F305" s="3219">
        <v>900</v>
      </c>
      <c r="G305" s="3232">
        <v>3340</v>
      </c>
    </row>
    <row r="306" spans="1:7" s="3208" customFormat="1" ht="14.25" customHeight="1">
      <c r="A306" s="3219" t="s">
        <v>306</v>
      </c>
      <c r="B306" s="3219" t="s">
        <v>3147</v>
      </c>
      <c r="C306" s="3219">
        <v>5560</v>
      </c>
      <c r="D306" s="3219">
        <v>5510</v>
      </c>
      <c r="E306" s="3219">
        <v>6440</v>
      </c>
      <c r="F306" s="3219">
        <v>900</v>
      </c>
      <c r="G306" s="3232">
        <v>3320</v>
      </c>
    </row>
    <row r="307" spans="1:7" s="3208" customFormat="1" ht="14.25" customHeight="1">
      <c r="A307" s="3219" t="s">
        <v>306</v>
      </c>
      <c r="B307" s="3219" t="s">
        <v>2983</v>
      </c>
      <c r="C307" s="3219">
        <v>5650</v>
      </c>
      <c r="D307" s="3219">
        <v>5600</v>
      </c>
      <c r="E307" s="3219">
        <v>6590</v>
      </c>
      <c r="F307" s="3219">
        <v>930</v>
      </c>
      <c r="G307" s="3232">
        <v>3380</v>
      </c>
    </row>
    <row r="308" spans="1:7" s="3208" customFormat="1" ht="14.25" customHeight="1">
      <c r="A308" s="3219" t="s">
        <v>306</v>
      </c>
      <c r="B308" s="3219" t="s">
        <v>3148</v>
      </c>
      <c r="C308" s="3219">
        <v>5620</v>
      </c>
      <c r="D308" s="3219">
        <v>5580</v>
      </c>
      <c r="E308" s="3219">
        <v>6540</v>
      </c>
      <c r="F308" s="3219">
        <v>910</v>
      </c>
      <c r="G308" s="3232">
        <v>3370</v>
      </c>
    </row>
    <row r="309" spans="1:7" s="3208" customFormat="1" ht="14.25" customHeight="1">
      <c r="A309" s="3219" t="s">
        <v>306</v>
      </c>
      <c r="B309" s="3219" t="s">
        <v>3149</v>
      </c>
      <c r="C309" s="3219">
        <v>5060</v>
      </c>
      <c r="D309" s="3219">
        <v>5020</v>
      </c>
      <c r="E309" s="3219">
        <v>6370</v>
      </c>
      <c r="F309" s="3219">
        <v>800</v>
      </c>
      <c r="G309" s="3232">
        <v>3020</v>
      </c>
    </row>
    <row r="310" spans="1:7" s="3208" customFormat="1" ht="14.25" customHeight="1">
      <c r="A310" s="3219" t="s">
        <v>306</v>
      </c>
      <c r="B310" s="3219" t="s">
        <v>2998</v>
      </c>
      <c r="C310" s="3219">
        <v>5150</v>
      </c>
      <c r="D310" s="3219">
        <v>5110</v>
      </c>
      <c r="E310" s="3219">
        <v>6500</v>
      </c>
      <c r="F310" s="3219">
        <v>880</v>
      </c>
      <c r="G310" s="3232">
        <v>3080</v>
      </c>
    </row>
    <row r="311" spans="1:7" s="3208" customFormat="1" ht="14.25" customHeight="1">
      <c r="A311" s="3219" t="s">
        <v>306</v>
      </c>
      <c r="B311" s="3219" t="s">
        <v>3150</v>
      </c>
      <c r="C311" s="3219">
        <v>4750</v>
      </c>
      <c r="D311" s="3219">
        <v>4710</v>
      </c>
      <c r="E311" s="3219">
        <v>5510</v>
      </c>
      <c r="F311" s="3219">
        <v>880</v>
      </c>
      <c r="G311" s="3232">
        <v>2840</v>
      </c>
    </row>
    <row r="312" spans="1:7" s="3208" customFormat="1" ht="14.25" customHeight="1">
      <c r="A312" s="3219" t="s">
        <v>306</v>
      </c>
      <c r="B312" s="3219" t="s">
        <v>3008</v>
      </c>
      <c r="C312" s="3219">
        <v>4690</v>
      </c>
      <c r="D312" s="3219">
        <v>4640</v>
      </c>
      <c r="E312" s="3219">
        <v>5420</v>
      </c>
      <c r="F312" s="3219">
        <v>800</v>
      </c>
      <c r="G312" s="3232">
        <v>2800</v>
      </c>
    </row>
    <row r="313" spans="1:7" s="3208" customFormat="1" ht="14.25" customHeight="1">
      <c r="A313" s="3219" t="s">
        <v>306</v>
      </c>
      <c r="B313" s="3219" t="s">
        <v>3013</v>
      </c>
      <c r="C313" s="3219">
        <v>4810</v>
      </c>
      <c r="D313" s="3219">
        <v>4760</v>
      </c>
      <c r="E313" s="3219">
        <v>5550</v>
      </c>
      <c r="F313" s="3219">
        <v>920</v>
      </c>
      <c r="G313" s="3232">
        <v>2870</v>
      </c>
    </row>
    <row r="314" spans="1:7" s="3208" customFormat="1" ht="14.25" customHeight="1">
      <c r="A314" s="3219" t="s">
        <v>306</v>
      </c>
      <c r="B314" s="3219" t="s">
        <v>3151</v>
      </c>
      <c r="C314" s="3219"/>
      <c r="D314" s="3219"/>
      <c r="E314" s="3219"/>
      <c r="F314" s="3219">
        <v>1020</v>
      </c>
      <c r="G314" s="3232"/>
    </row>
    <row r="315" spans="1:7" s="3208" customFormat="1" ht="14.25" customHeight="1">
      <c r="A315" s="3219" t="s">
        <v>306</v>
      </c>
      <c r="B315" s="3219" t="s">
        <v>3152</v>
      </c>
      <c r="C315" s="3219"/>
      <c r="D315" s="3219"/>
      <c r="E315" s="3219"/>
      <c r="F315" s="3219">
        <v>1050</v>
      </c>
      <c r="G315" s="3232"/>
    </row>
    <row r="316" spans="1:7" s="3208" customFormat="1" ht="14.25" customHeight="1">
      <c r="A316" s="3219" t="s">
        <v>306</v>
      </c>
      <c r="B316" s="3219" t="s">
        <v>3028</v>
      </c>
      <c r="C316" s="3219"/>
      <c r="D316" s="3219"/>
      <c r="E316" s="3219"/>
      <c r="F316" s="3219">
        <v>900</v>
      </c>
      <c r="G316" s="3232"/>
    </row>
    <row r="317" spans="1:7" s="3208" customFormat="1" ht="14.25" customHeight="1">
      <c r="A317" s="3219" t="s">
        <v>306</v>
      </c>
      <c r="B317" s="3219" t="s">
        <v>3153</v>
      </c>
      <c r="C317" s="3219"/>
      <c r="D317" s="3219"/>
      <c r="E317" s="3219"/>
      <c r="F317" s="3219">
        <v>920</v>
      </c>
      <c r="G317" s="3232"/>
    </row>
    <row r="318" spans="1:7" s="3208" customFormat="1" ht="14.25" customHeight="1">
      <c r="A318" s="3219" t="s">
        <v>306</v>
      </c>
      <c r="B318" s="3219" t="s">
        <v>3154</v>
      </c>
      <c r="C318" s="3219"/>
      <c r="D318" s="3219"/>
      <c r="E318" s="3219"/>
      <c r="F318" s="3219">
        <v>1080</v>
      </c>
      <c r="G318" s="3232"/>
    </row>
    <row r="319" spans="1:7" s="3208" customFormat="1" ht="14.25" customHeight="1">
      <c r="A319" s="3219" t="s">
        <v>306</v>
      </c>
      <c r="B319" s="3219" t="s">
        <v>3041</v>
      </c>
      <c r="C319" s="3219"/>
      <c r="D319" s="3219"/>
      <c r="E319" s="3219"/>
      <c r="F319" s="3219">
        <v>1020</v>
      </c>
      <c r="G319" s="3232"/>
    </row>
    <row r="320" spans="1:7" s="3208" customFormat="1" ht="14.25" customHeight="1">
      <c r="A320" s="3219" t="s">
        <v>306</v>
      </c>
      <c r="B320" s="3219" t="s">
        <v>3044</v>
      </c>
      <c r="C320" s="3219"/>
      <c r="D320" s="3219"/>
      <c r="E320" s="3219"/>
      <c r="F320" s="3219">
        <v>1050</v>
      </c>
      <c r="G320" s="3232"/>
    </row>
    <row r="321" spans="1:7" s="3208" customFormat="1" ht="14.25" customHeight="1">
      <c r="A321" s="3219" t="s">
        <v>306</v>
      </c>
      <c r="B321" s="3219" t="s">
        <v>3046</v>
      </c>
      <c r="C321" s="3219"/>
      <c r="D321" s="3219"/>
      <c r="E321" s="3219"/>
      <c r="F321" s="3219">
        <v>960</v>
      </c>
      <c r="G321" s="3232"/>
    </row>
    <row r="322" spans="1:7" s="3208" customFormat="1" ht="14.25" customHeight="1">
      <c r="A322" s="3219" t="s">
        <v>306</v>
      </c>
      <c r="B322" s="3219" t="s">
        <v>3048</v>
      </c>
      <c r="C322" s="3219"/>
      <c r="D322" s="3219"/>
      <c r="E322" s="3219"/>
      <c r="F322" s="3219">
        <v>960</v>
      </c>
      <c r="G322" s="3232"/>
    </row>
    <row r="323" spans="1:7" s="3208" customFormat="1" ht="14.25" customHeight="1">
      <c r="A323" s="3219" t="s">
        <v>306</v>
      </c>
      <c r="B323" s="3219" t="s">
        <v>3050</v>
      </c>
      <c r="C323" s="3219"/>
      <c r="D323" s="3219"/>
      <c r="E323" s="3219"/>
      <c r="F323" s="3219">
        <v>880</v>
      </c>
      <c r="G323" s="3232"/>
    </row>
    <row r="324" spans="1:7" s="3208" customFormat="1" ht="14.25" customHeight="1">
      <c r="A324" s="3219" t="s">
        <v>306</v>
      </c>
      <c r="B324" s="3219" t="s">
        <v>3052</v>
      </c>
      <c r="C324" s="3219"/>
      <c r="D324" s="3219"/>
      <c r="E324" s="3219"/>
      <c r="F324" s="3219">
        <v>930</v>
      </c>
      <c r="G324" s="3232"/>
    </row>
    <row r="325" spans="1:7" s="3208" customFormat="1" ht="14.25" customHeight="1">
      <c r="A325" s="3219" t="s">
        <v>306</v>
      </c>
      <c r="B325" s="3220" t="s">
        <v>3054</v>
      </c>
      <c r="C325" s="3219"/>
      <c r="D325" s="3219"/>
      <c r="E325" s="3219"/>
      <c r="F325" s="3219">
        <v>900</v>
      </c>
      <c r="G325" s="3232"/>
    </row>
    <row r="326" spans="1:7" s="3208" customFormat="1" ht="14.25" customHeight="1" thickBot="1">
      <c r="A326" s="3233" t="s">
        <v>306</v>
      </c>
      <c r="B326" s="3226" t="s">
        <v>3056</v>
      </c>
      <c r="C326" s="3226"/>
      <c r="D326" s="3226"/>
      <c r="E326" s="3226"/>
      <c r="F326" s="3226">
        <v>790</v>
      </c>
      <c r="G326" s="3234"/>
    </row>
    <row r="327" spans="1:7" s="3208" customFormat="1" ht="14.25" customHeight="1">
      <c r="A327" s="3224" t="s">
        <v>307</v>
      </c>
      <c r="B327" s="3215" t="s">
        <v>3155</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3156</v>
      </c>
      <c r="C329" s="3219">
        <v>2730</v>
      </c>
      <c r="D329" s="3219">
        <v>2690</v>
      </c>
      <c r="E329" s="3219">
        <v>3100</v>
      </c>
      <c r="F329" s="3219">
        <v>660</v>
      </c>
      <c r="G329" s="3219">
        <v>1610</v>
      </c>
    </row>
    <row r="330" spans="1:7" s="3208" customFormat="1" ht="14.25" customHeight="1">
      <c r="A330" s="3219" t="s">
        <v>307</v>
      </c>
      <c r="B330" s="3219" t="s">
        <v>3157</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2890</v>
      </c>
      <c r="C332" s="3219">
        <v>3520</v>
      </c>
      <c r="D332" s="3219">
        <v>3480</v>
      </c>
      <c r="E332" s="3219">
        <v>3830</v>
      </c>
      <c r="F332" s="3219">
        <v>720</v>
      </c>
      <c r="G332" s="3219">
        <v>2090</v>
      </c>
    </row>
    <row r="333" spans="1:7" s="3208" customFormat="1" ht="14.25" customHeight="1">
      <c r="A333" s="3219" t="s">
        <v>307</v>
      </c>
      <c r="B333" s="3219" t="s">
        <v>3158</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2900</v>
      </c>
      <c r="C336" s="3219">
        <v>3570</v>
      </c>
      <c r="D336" s="3219">
        <v>3530</v>
      </c>
      <c r="E336" s="3219">
        <v>3880</v>
      </c>
      <c r="F336" s="3219">
        <v>770</v>
      </c>
      <c r="G336" s="3219">
        <v>2110</v>
      </c>
    </row>
    <row r="337" spans="1:10" s="3208" customFormat="1" ht="14.25" customHeight="1">
      <c r="A337" s="3219" t="s">
        <v>307</v>
      </c>
      <c r="B337" s="3219" t="s">
        <v>3159</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3160</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3161</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2925</v>
      </c>
      <c r="C345" s="3219">
        <v>3190</v>
      </c>
      <c r="D345" s="3219">
        <v>3140</v>
      </c>
      <c r="E345" s="3219">
        <v>3450</v>
      </c>
      <c r="F345" s="3219">
        <v>720</v>
      </c>
      <c r="G345" s="3219">
        <v>1880</v>
      </c>
      <c r="J345" s="3208"/>
    </row>
    <row r="346" spans="1:10">
      <c r="A346" s="3219" t="s">
        <v>307</v>
      </c>
      <c r="B346" s="3219" t="s">
        <v>3162</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2934</v>
      </c>
      <c r="C348" s="3219">
        <v>4000</v>
      </c>
      <c r="D348" s="3219">
        <v>3950</v>
      </c>
      <c r="E348" s="3219">
        <v>4430</v>
      </c>
      <c r="F348" s="3219">
        <v>760</v>
      </c>
      <c r="G348" s="3219">
        <v>2360</v>
      </c>
      <c r="J348" s="3208"/>
    </row>
    <row r="349" spans="1:10">
      <c r="A349" s="3219" t="s">
        <v>307</v>
      </c>
      <c r="B349" s="3219" t="s">
        <v>2939</v>
      </c>
      <c r="C349" s="3219">
        <v>3820</v>
      </c>
      <c r="D349" s="3219">
        <v>3780</v>
      </c>
      <c r="E349" s="3219">
        <v>4170</v>
      </c>
      <c r="F349" s="3219">
        <v>710</v>
      </c>
      <c r="G349" s="3219">
        <v>2260</v>
      </c>
      <c r="J349" s="3208"/>
    </row>
    <row r="350" spans="1:10">
      <c r="A350" s="3219" t="s">
        <v>307</v>
      </c>
      <c r="B350" s="3219" t="s">
        <v>3163</v>
      </c>
      <c r="C350" s="3219">
        <v>3760</v>
      </c>
      <c r="D350" s="3219">
        <v>3730</v>
      </c>
      <c r="E350" s="3219">
        <v>4100</v>
      </c>
      <c r="F350" s="3219">
        <v>800</v>
      </c>
      <c r="G350" s="3219">
        <v>2230</v>
      </c>
      <c r="J350" s="3208"/>
    </row>
    <row r="351" spans="1:10">
      <c r="A351" s="3219" t="s">
        <v>307</v>
      </c>
      <c r="B351" s="3219" t="s">
        <v>2947</v>
      </c>
      <c r="C351" s="3219">
        <v>3610</v>
      </c>
      <c r="D351" s="3219">
        <v>3580</v>
      </c>
      <c r="E351" s="3219">
        <v>3930</v>
      </c>
      <c r="F351" s="3219">
        <v>700</v>
      </c>
      <c r="G351" s="3219">
        <v>2140</v>
      </c>
      <c r="J351" s="3208"/>
    </row>
    <row r="352" spans="1:10">
      <c r="A352" s="3219" t="s">
        <v>307</v>
      </c>
      <c r="B352" s="3219" t="s">
        <v>2952</v>
      </c>
      <c r="C352" s="3219">
        <v>3670</v>
      </c>
      <c r="D352" s="3219">
        <v>3630</v>
      </c>
      <c r="E352" s="3219">
        <v>4000</v>
      </c>
      <c r="F352" s="3219">
        <v>750</v>
      </c>
      <c r="G352" s="3219">
        <v>2180</v>
      </c>
    </row>
    <row r="353" spans="1:7" s="3212" customFormat="1">
      <c r="A353" s="3219" t="s">
        <v>307</v>
      </c>
      <c r="B353" s="3219" t="s">
        <v>3164</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2972</v>
      </c>
      <c r="C355" s="3219">
        <v>3650</v>
      </c>
      <c r="D355" s="3219">
        <v>3610</v>
      </c>
      <c r="E355" s="3219">
        <v>4200</v>
      </c>
      <c r="F355" s="3219">
        <v>640</v>
      </c>
      <c r="G355" s="3219">
        <v>2160</v>
      </c>
    </row>
    <row r="356" spans="1:7" s="3212" customFormat="1">
      <c r="A356" s="3219" t="s">
        <v>307</v>
      </c>
      <c r="B356" s="3219" t="s">
        <v>2979</v>
      </c>
      <c r="C356" s="3219">
        <v>3260</v>
      </c>
      <c r="D356" s="3219">
        <v>3230</v>
      </c>
      <c r="E356" s="3219">
        <v>3740</v>
      </c>
      <c r="F356" s="3219">
        <v>600</v>
      </c>
      <c r="G356" s="3219">
        <v>1930</v>
      </c>
    </row>
    <row r="357" spans="1:7" s="3212" customFormat="1" ht="12" thickBot="1">
      <c r="A357" s="3227" t="s">
        <v>307</v>
      </c>
      <c r="B357" s="3230" t="s">
        <v>3165</v>
      </c>
      <c r="C357" s="3230">
        <v>3690</v>
      </c>
      <c r="D357" s="3230">
        <v>3650</v>
      </c>
      <c r="E357" s="3230">
        <v>4020</v>
      </c>
      <c r="F357" s="3230">
        <v>700</v>
      </c>
      <c r="G357" s="3230">
        <v>2190</v>
      </c>
    </row>
    <row r="358" spans="1:7" s="3212" customFormat="1">
      <c r="A358" s="3224" t="s">
        <v>3166</v>
      </c>
      <c r="B358" s="3215" t="s">
        <v>3167</v>
      </c>
      <c r="C358" s="3215">
        <v>2080</v>
      </c>
      <c r="D358" s="3215">
        <v>2040</v>
      </c>
      <c r="E358" s="3215">
        <v>2010</v>
      </c>
      <c r="F358" s="3215">
        <v>530</v>
      </c>
      <c r="G358" s="3231">
        <v>1230</v>
      </c>
    </row>
    <row r="359" spans="1:7" s="3212" customFormat="1">
      <c r="A359" s="3219" t="s">
        <v>3166</v>
      </c>
      <c r="B359" s="3219" t="s">
        <v>3168</v>
      </c>
      <c r="C359" s="3219">
        <v>1850</v>
      </c>
      <c r="D359" s="3219">
        <v>1820</v>
      </c>
      <c r="E359" s="3219">
        <v>1780</v>
      </c>
      <c r="F359" s="3219">
        <v>520</v>
      </c>
      <c r="G359" s="3232">
        <v>1100</v>
      </c>
    </row>
    <row r="360" spans="1:7" s="3212" customFormat="1">
      <c r="A360" s="3219" t="s">
        <v>3166</v>
      </c>
      <c r="B360" s="3219" t="s">
        <v>3169</v>
      </c>
      <c r="C360" s="3219">
        <v>2020</v>
      </c>
      <c r="D360" s="3219">
        <v>1990</v>
      </c>
      <c r="E360" s="3219">
        <v>1950</v>
      </c>
      <c r="F360" s="3219">
        <v>500</v>
      </c>
      <c r="G360" s="3232">
        <v>1200</v>
      </c>
    </row>
    <row r="361" spans="1:7" s="3212" customFormat="1">
      <c r="A361" s="3219" t="s">
        <v>3166</v>
      </c>
      <c r="B361" s="3219" t="s">
        <v>153</v>
      </c>
      <c r="C361" s="3219">
        <v>2260</v>
      </c>
      <c r="D361" s="3219">
        <v>2220</v>
      </c>
      <c r="E361" s="3219">
        <v>2180</v>
      </c>
      <c r="F361" s="3219">
        <v>580</v>
      </c>
      <c r="G361" s="3232">
        <v>1340</v>
      </c>
    </row>
    <row r="362" spans="1:7" s="3212" customFormat="1">
      <c r="A362" s="3219" t="s">
        <v>3166</v>
      </c>
      <c r="B362" s="3219" t="s">
        <v>3170</v>
      </c>
      <c r="C362" s="3219">
        <v>2650</v>
      </c>
      <c r="D362" s="3219">
        <v>2610</v>
      </c>
      <c r="E362" s="3219">
        <v>2570</v>
      </c>
      <c r="F362" s="3219">
        <v>630</v>
      </c>
      <c r="G362" s="3232">
        <v>1570</v>
      </c>
    </row>
    <row r="363" spans="1:7" s="3212" customFormat="1">
      <c r="A363" s="3219" t="s">
        <v>3166</v>
      </c>
      <c r="B363" s="3219" t="s">
        <v>2891</v>
      </c>
      <c r="C363" s="3219">
        <v>2390</v>
      </c>
      <c r="D363" s="3219">
        <v>2360</v>
      </c>
      <c r="E363" s="3219">
        <v>2320</v>
      </c>
      <c r="F363" s="3219">
        <v>600</v>
      </c>
      <c r="G363" s="3232">
        <v>1420</v>
      </c>
    </row>
    <row r="364" spans="1:7" s="3212" customFormat="1">
      <c r="A364" s="3219" t="s">
        <v>3166</v>
      </c>
      <c r="B364" s="3219" t="s">
        <v>3171</v>
      </c>
      <c r="C364" s="3219">
        <v>2050</v>
      </c>
      <c r="D364" s="3219">
        <v>2030</v>
      </c>
      <c r="E364" s="3219">
        <v>1990</v>
      </c>
      <c r="F364" s="3219">
        <v>550</v>
      </c>
      <c r="G364" s="3232">
        <v>1220</v>
      </c>
    </row>
    <row r="365" spans="1:7" s="3212" customFormat="1">
      <c r="A365" s="3219" t="s">
        <v>3166</v>
      </c>
      <c r="B365" s="3219" t="s">
        <v>200</v>
      </c>
      <c r="C365" s="3219">
        <v>2140</v>
      </c>
      <c r="D365" s="3219">
        <v>2100</v>
      </c>
      <c r="E365" s="3219">
        <v>2060</v>
      </c>
      <c r="F365" s="3219">
        <v>540</v>
      </c>
      <c r="G365" s="3232">
        <v>1270</v>
      </c>
    </row>
    <row r="366" spans="1:7" s="3212" customFormat="1">
      <c r="A366" s="3219" t="s">
        <v>3166</v>
      </c>
      <c r="B366" s="3219" t="s">
        <v>2898</v>
      </c>
      <c r="C366" s="3219">
        <v>2410</v>
      </c>
      <c r="D366" s="3219">
        <v>2370</v>
      </c>
      <c r="E366" s="3219">
        <v>2330</v>
      </c>
      <c r="F366" s="3219">
        <v>570</v>
      </c>
      <c r="G366" s="3232">
        <v>1440</v>
      </c>
    </row>
    <row r="367" spans="1:7" s="3212" customFormat="1">
      <c r="A367" s="3219" t="s">
        <v>3166</v>
      </c>
      <c r="B367" s="3219" t="s">
        <v>3172</v>
      </c>
      <c r="C367" s="3219">
        <v>2300</v>
      </c>
      <c r="D367" s="3219">
        <v>2260</v>
      </c>
      <c r="E367" s="3219">
        <v>2220</v>
      </c>
      <c r="F367" s="3219">
        <v>560</v>
      </c>
      <c r="G367" s="3232">
        <v>1370</v>
      </c>
    </row>
    <row r="368" spans="1:7" s="3212" customFormat="1">
      <c r="A368" s="3219" t="s">
        <v>3166</v>
      </c>
      <c r="B368" s="3219" t="s">
        <v>3173</v>
      </c>
      <c r="C368" s="3219">
        <v>2430</v>
      </c>
      <c r="D368" s="3219">
        <v>2390</v>
      </c>
      <c r="E368" s="3219">
        <v>2350</v>
      </c>
      <c r="F368" s="3219">
        <v>570</v>
      </c>
      <c r="G368" s="3232">
        <v>1450</v>
      </c>
    </row>
    <row r="369" spans="1:7" s="3212" customFormat="1">
      <c r="A369" s="3219" t="s">
        <v>3166</v>
      </c>
      <c r="B369" s="3219" t="s">
        <v>214</v>
      </c>
      <c r="C369" s="3219">
        <v>2320</v>
      </c>
      <c r="D369" s="3219">
        <v>2290</v>
      </c>
      <c r="E369" s="3219">
        <v>2250</v>
      </c>
      <c r="F369" s="3219">
        <v>550</v>
      </c>
      <c r="G369" s="3232">
        <v>1380</v>
      </c>
    </row>
    <row r="370" spans="1:7" s="3212" customFormat="1">
      <c r="A370" s="3219" t="s">
        <v>3166</v>
      </c>
      <c r="B370" s="3219" t="s">
        <v>221</v>
      </c>
      <c r="C370" s="3219">
        <v>2190</v>
      </c>
      <c r="D370" s="3219">
        <v>2170</v>
      </c>
      <c r="E370" s="3219">
        <v>2130</v>
      </c>
      <c r="F370" s="3219">
        <v>530</v>
      </c>
      <c r="G370" s="3232">
        <v>1310</v>
      </c>
    </row>
    <row r="371" spans="1:7" s="3212" customFormat="1">
      <c r="A371" s="3219" t="s">
        <v>3166</v>
      </c>
      <c r="B371" s="3219" t="s">
        <v>229</v>
      </c>
      <c r="C371" s="3219">
        <v>2460</v>
      </c>
      <c r="D371" s="3219">
        <v>2420</v>
      </c>
      <c r="E371" s="3219">
        <v>2370</v>
      </c>
      <c r="F371" s="3219">
        <v>560</v>
      </c>
      <c r="G371" s="3232">
        <v>1470</v>
      </c>
    </row>
    <row r="372" spans="1:7" s="3212" customFormat="1">
      <c r="A372" s="3219" t="s">
        <v>3166</v>
      </c>
      <c r="B372" s="3219" t="s">
        <v>3174</v>
      </c>
      <c r="C372" s="3219">
        <v>2250</v>
      </c>
      <c r="D372" s="3219">
        <v>2210</v>
      </c>
      <c r="E372" s="3219">
        <v>2180</v>
      </c>
      <c r="F372" s="3219">
        <v>550</v>
      </c>
      <c r="G372" s="3232">
        <v>1340</v>
      </c>
    </row>
    <row r="373" spans="1:7" s="3212" customFormat="1">
      <c r="A373" s="3219" t="s">
        <v>3166</v>
      </c>
      <c r="B373" s="3219" t="s">
        <v>258</v>
      </c>
      <c r="C373" s="3219">
        <v>2210</v>
      </c>
      <c r="D373" s="3219">
        <v>2190</v>
      </c>
      <c r="E373" s="3219">
        <v>2150</v>
      </c>
      <c r="F373" s="3219">
        <v>530</v>
      </c>
      <c r="G373" s="3232">
        <v>1320</v>
      </c>
    </row>
    <row r="374" spans="1:7" s="3212" customFormat="1">
      <c r="A374" s="3219" t="s">
        <v>3166</v>
      </c>
      <c r="B374" s="3219" t="s">
        <v>266</v>
      </c>
      <c r="C374" s="3219">
        <v>2320</v>
      </c>
      <c r="D374" s="3219">
        <v>2280</v>
      </c>
      <c r="E374" s="3219">
        <v>2230</v>
      </c>
      <c r="F374" s="3219">
        <v>580</v>
      </c>
      <c r="G374" s="3232">
        <v>1380</v>
      </c>
    </row>
    <row r="375" spans="1:7" s="3212" customFormat="1">
      <c r="A375" s="3219" t="s">
        <v>3166</v>
      </c>
      <c r="B375" s="3219" t="s">
        <v>3175</v>
      </c>
      <c r="C375" s="3219">
        <v>2090</v>
      </c>
      <c r="D375" s="3219">
        <v>2050</v>
      </c>
      <c r="E375" s="3219">
        <v>2020</v>
      </c>
      <c r="F375" s="3219">
        <v>520</v>
      </c>
      <c r="G375" s="3232">
        <v>1240</v>
      </c>
    </row>
    <row r="376" spans="1:7" s="3212" customFormat="1">
      <c r="A376" s="3219" t="s">
        <v>3166</v>
      </c>
      <c r="B376" s="3219" t="s">
        <v>277</v>
      </c>
      <c r="C376" s="3219">
        <v>2010</v>
      </c>
      <c r="D376" s="3219">
        <v>1980</v>
      </c>
      <c r="E376" s="3219">
        <v>1940</v>
      </c>
      <c r="F376" s="3219">
        <v>540</v>
      </c>
      <c r="G376" s="3232">
        <v>1190</v>
      </c>
    </row>
    <row r="377" spans="1:7" s="3212" customFormat="1" ht="12" thickBot="1">
      <c r="A377" s="3227" t="s">
        <v>3166</v>
      </c>
      <c r="B377" s="3230" t="s">
        <v>2928</v>
      </c>
      <c r="C377" s="3230">
        <v>1930</v>
      </c>
      <c r="D377" s="3230">
        <v>1890</v>
      </c>
      <c r="E377" s="3230">
        <v>1860</v>
      </c>
      <c r="F377" s="3230">
        <v>530</v>
      </c>
      <c r="G377" s="3235">
        <v>1150</v>
      </c>
    </row>
    <row r="378" spans="1:7" s="3212" customFormat="1">
      <c r="A378" s="3236" t="s">
        <v>3176</v>
      </c>
      <c r="B378" s="3215" t="s">
        <v>3177</v>
      </c>
      <c r="C378" s="3215">
        <v>1520</v>
      </c>
      <c r="D378" s="3215">
        <v>1490</v>
      </c>
      <c r="E378" s="3215">
        <v>1460</v>
      </c>
      <c r="F378" s="3215">
        <v>460</v>
      </c>
      <c r="G378" s="3231">
        <v>940</v>
      </c>
    </row>
    <row r="379" spans="1:7" s="3212" customFormat="1">
      <c r="A379" s="3237" t="s">
        <v>3176</v>
      </c>
      <c r="B379" s="3219" t="s">
        <v>3178</v>
      </c>
      <c r="C379" s="3219">
        <v>1500</v>
      </c>
      <c r="D379" s="3219">
        <v>1470</v>
      </c>
      <c r="E379" s="3219">
        <v>1430</v>
      </c>
      <c r="F379" s="3219">
        <v>460</v>
      </c>
      <c r="G379" s="3232">
        <v>920</v>
      </c>
    </row>
    <row r="380" spans="1:7" s="3212" customFormat="1">
      <c r="A380" s="3237" t="s">
        <v>3176</v>
      </c>
      <c r="B380" s="3219" t="s">
        <v>3179</v>
      </c>
      <c r="C380" s="3219">
        <v>1620</v>
      </c>
      <c r="D380" s="3219">
        <v>1590</v>
      </c>
      <c r="E380" s="3219">
        <v>1560</v>
      </c>
      <c r="F380" s="3219">
        <v>480</v>
      </c>
      <c r="G380" s="3232">
        <v>1000</v>
      </c>
    </row>
    <row r="381" spans="1:7" s="3212" customFormat="1">
      <c r="A381" s="3237" t="s">
        <v>3176</v>
      </c>
      <c r="B381" s="3219" t="s">
        <v>3180</v>
      </c>
      <c r="C381" s="3219">
        <v>1460</v>
      </c>
      <c r="D381" s="3219">
        <v>1430</v>
      </c>
      <c r="E381" s="3219">
        <v>1390</v>
      </c>
      <c r="F381" s="3219">
        <v>450</v>
      </c>
      <c r="G381" s="3232">
        <v>900</v>
      </c>
    </row>
    <row r="382" spans="1:7" s="3212" customFormat="1">
      <c r="A382" s="3237" t="s">
        <v>3176</v>
      </c>
      <c r="B382" s="3219" t="s">
        <v>3181</v>
      </c>
      <c r="C382" s="3219">
        <v>1310</v>
      </c>
      <c r="D382" s="3219">
        <v>1280</v>
      </c>
      <c r="E382" s="3219">
        <v>1250</v>
      </c>
      <c r="F382" s="3219">
        <v>440</v>
      </c>
      <c r="G382" s="3232">
        <v>800</v>
      </c>
    </row>
    <row r="383" spans="1:7" s="3212" customFormat="1">
      <c r="A383" s="3237" t="s">
        <v>3176</v>
      </c>
      <c r="B383" s="3219" t="s">
        <v>3182</v>
      </c>
      <c r="C383" s="3219">
        <v>1260</v>
      </c>
      <c r="D383" s="3219">
        <v>1230</v>
      </c>
      <c r="E383" s="3219">
        <v>1200</v>
      </c>
      <c r="F383" s="3219">
        <v>420</v>
      </c>
      <c r="G383" s="3232">
        <v>770</v>
      </c>
    </row>
    <row r="384" spans="1:7" s="3212" customFormat="1" ht="12" thickBot="1">
      <c r="A384" s="3238" t="s">
        <v>3176</v>
      </c>
      <c r="B384" s="3226" t="s">
        <v>3183</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5" customWidth="1"/>
    <col min="2" max="2" width="20" style="3275" customWidth="1"/>
    <col min="3" max="7" width="8.875" style="3239"/>
    <col min="8" max="16384" width="8.875" style="3240"/>
  </cols>
  <sheetData>
    <row r="1" spans="1:7">
      <c r="A1" s="4017" t="s">
        <v>3184</v>
      </c>
      <c r="B1" s="4017"/>
    </row>
    <row r="2" spans="1:7" ht="14.25" thickBot="1">
      <c r="A2" s="3241"/>
      <c r="B2" s="3241"/>
    </row>
    <row r="3" spans="1:7" ht="14.25" thickBot="1">
      <c r="A3" s="3241"/>
      <c r="B3" s="3241"/>
      <c r="C3" s="3242" t="s">
        <v>2810</v>
      </c>
      <c r="D3" s="3242" t="s">
        <v>2870</v>
      </c>
      <c r="E3" s="3242" t="s">
        <v>2812</v>
      </c>
      <c r="F3" s="3242" t="s">
        <v>2871</v>
      </c>
      <c r="G3" s="3242" t="s">
        <v>2630</v>
      </c>
    </row>
    <row r="4" spans="1:7" ht="14.25" thickBot="1">
      <c r="A4" s="3243" t="s">
        <v>2869</v>
      </c>
      <c r="B4" s="3244" t="s">
        <v>2875</v>
      </c>
      <c r="C4" s="3242"/>
      <c r="D4" s="3242"/>
      <c r="E4" s="3242"/>
      <c r="F4" s="3242"/>
      <c r="G4" s="3242"/>
    </row>
    <row r="5" spans="1:7">
      <c r="A5" s="3245" t="s">
        <v>2843</v>
      </c>
      <c r="B5" s="3246" t="s">
        <v>2857</v>
      </c>
      <c r="C5" s="3247">
        <v>9.8000000000000004E-2</v>
      </c>
      <c r="D5" s="3247">
        <v>8.6999999999999994E-2</v>
      </c>
      <c r="E5" s="3247">
        <v>8.6999999999999994E-2</v>
      </c>
      <c r="F5" s="3247">
        <v>9.8000000000000004E-2</v>
      </c>
      <c r="G5" s="3248">
        <v>9.5000000000000001E-2</v>
      </c>
    </row>
    <row r="6" spans="1:7">
      <c r="A6" s="3249" t="s">
        <v>144</v>
      </c>
      <c r="B6" s="3250" t="s">
        <v>2872</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4.25" thickBot="1">
      <c r="A9" s="3253" t="s">
        <v>144</v>
      </c>
      <c r="B9" s="3254" t="s">
        <v>154</v>
      </c>
      <c r="C9" s="3255">
        <v>0.1</v>
      </c>
      <c r="D9" s="3255">
        <v>0.1</v>
      </c>
      <c r="E9" s="3255">
        <v>0.1</v>
      </c>
      <c r="F9" s="3256"/>
      <c r="G9" s="3257">
        <v>0.1</v>
      </c>
    </row>
    <row r="10" spans="1:7">
      <c r="A10" s="3245" t="s">
        <v>184</v>
      </c>
      <c r="B10" s="3246" t="s">
        <v>2858</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2908</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4.25" thickBot="1">
      <c r="A29" s="3253" t="s">
        <v>184</v>
      </c>
      <c r="B29" s="3254" t="s">
        <v>2926</v>
      </c>
      <c r="C29" s="3259"/>
      <c r="D29" s="3255">
        <v>5.1999999999999998E-2</v>
      </c>
      <c r="E29" s="3255">
        <v>7.0000000000000007E-2</v>
      </c>
      <c r="F29" s="3259"/>
      <c r="G29" s="3257">
        <v>7.0999999999999994E-2</v>
      </c>
    </row>
    <row r="30" spans="1:7">
      <c r="A30" s="3260" t="s">
        <v>296</v>
      </c>
      <c r="B30" s="3246" t="s">
        <v>2859</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2845</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2929</v>
      </c>
      <c r="C50" s="3251">
        <v>9.8000000000000004E-2</v>
      </c>
      <c r="D50" s="3251">
        <v>7.2999999999999995E-2</v>
      </c>
      <c r="E50" s="3251">
        <v>7.0999999999999994E-2</v>
      </c>
      <c r="F50" s="3262"/>
      <c r="G50" s="3252">
        <v>7.2999999999999995E-2</v>
      </c>
    </row>
    <row r="51" spans="1:7">
      <c r="A51" s="3261" t="s">
        <v>296</v>
      </c>
      <c r="B51" s="3250" t="s">
        <v>2931</v>
      </c>
      <c r="C51" s="3251">
        <v>9.9000000000000005E-2</v>
      </c>
      <c r="D51" s="3251">
        <v>8.5000000000000006E-2</v>
      </c>
      <c r="E51" s="3251">
        <v>6.3E-2</v>
      </c>
      <c r="F51" s="3262"/>
      <c r="G51" s="3252">
        <v>9.6000000000000002E-2</v>
      </c>
    </row>
    <row r="52" spans="1:7">
      <c r="A52" s="3261" t="s">
        <v>296</v>
      </c>
      <c r="B52" s="3250" t="s">
        <v>2935</v>
      </c>
      <c r="C52" s="3251">
        <v>7.3999999999999996E-2</v>
      </c>
      <c r="D52" s="3251">
        <v>9.6000000000000002E-2</v>
      </c>
      <c r="E52" s="3251">
        <v>0.05</v>
      </c>
      <c r="F52" s="3262"/>
      <c r="G52" s="3252">
        <v>9.8000000000000004E-2</v>
      </c>
    </row>
    <row r="53" spans="1:7">
      <c r="A53" s="3261" t="s">
        <v>296</v>
      </c>
      <c r="B53" s="3250" t="s">
        <v>2940</v>
      </c>
      <c r="C53" s="3251">
        <v>8.5999999999999993E-2</v>
      </c>
      <c r="D53" s="3262"/>
      <c r="E53" s="3251">
        <v>9.1999999999999998E-2</v>
      </c>
      <c r="F53" s="3262"/>
      <c r="G53" s="3263"/>
    </row>
    <row r="54" spans="1:7" ht="14.25" thickBot="1">
      <c r="A54" s="3264" t="s">
        <v>296</v>
      </c>
      <c r="B54" s="3254" t="s">
        <v>2943</v>
      </c>
      <c r="C54" s="3255">
        <v>9.6000000000000002E-2</v>
      </c>
      <c r="D54" s="3256"/>
      <c r="E54" s="3265"/>
      <c r="F54" s="3256"/>
      <c r="G54" s="3266"/>
    </row>
    <row r="55" spans="1:7">
      <c r="A55" s="3260" t="s">
        <v>110</v>
      </c>
      <c r="B55" s="3246" t="s">
        <v>2860</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2941</v>
      </c>
      <c r="C78" s="3251">
        <v>0.1</v>
      </c>
      <c r="D78" s="3251">
        <v>8.5000000000000006E-2</v>
      </c>
      <c r="E78" s="3251">
        <v>9.6000000000000002E-2</v>
      </c>
      <c r="F78" s="3262"/>
      <c r="G78" s="3252">
        <v>9.6000000000000002E-2</v>
      </c>
    </row>
    <row r="79" spans="1:7">
      <c r="A79" s="3261" t="s">
        <v>110</v>
      </c>
      <c r="B79" s="3250" t="s">
        <v>2944</v>
      </c>
      <c r="C79" s="3251">
        <v>0.05</v>
      </c>
      <c r="D79" s="3251">
        <v>9.6000000000000002E-2</v>
      </c>
      <c r="E79" s="3251">
        <v>9.5000000000000001E-2</v>
      </c>
      <c r="F79" s="3262"/>
      <c r="G79" s="3252">
        <v>9.8000000000000004E-2</v>
      </c>
    </row>
    <row r="80" spans="1:7">
      <c r="A80" s="3261" t="s">
        <v>110</v>
      </c>
      <c r="B80" s="3250" t="s">
        <v>2948</v>
      </c>
      <c r="C80" s="3251">
        <v>8.5999999999999993E-2</v>
      </c>
      <c r="D80" s="3267"/>
      <c r="E80" s="3251">
        <v>0.1</v>
      </c>
      <c r="F80" s="3262"/>
      <c r="G80" s="3263"/>
    </row>
    <row r="81" spans="1:7">
      <c r="A81" s="3261" t="s">
        <v>110</v>
      </c>
      <c r="B81" s="3250" t="s">
        <v>2953</v>
      </c>
      <c r="C81" s="3251">
        <v>9.6000000000000002E-2</v>
      </c>
      <c r="D81" s="3262"/>
      <c r="E81" s="3251">
        <v>9.8000000000000004E-2</v>
      </c>
      <c r="F81" s="3262"/>
      <c r="G81" s="3263"/>
    </row>
    <row r="82" spans="1:7">
      <c r="A82" s="3261" t="s">
        <v>110</v>
      </c>
      <c r="B82" s="3250" t="s">
        <v>2960</v>
      </c>
      <c r="C82" s="3267"/>
      <c r="D82" s="3262"/>
      <c r="E82" s="3251">
        <v>7.6999999999999999E-2</v>
      </c>
      <c r="F82" s="3262"/>
      <c r="G82" s="3263"/>
    </row>
    <row r="83" spans="1:7">
      <c r="A83" s="3261" t="s">
        <v>110</v>
      </c>
      <c r="B83" s="3250" t="s">
        <v>2966</v>
      </c>
      <c r="C83" s="3262"/>
      <c r="D83" s="3262"/>
      <c r="E83" s="3262"/>
      <c r="F83" s="3251">
        <v>0.1</v>
      </c>
      <c r="G83" s="3268"/>
    </row>
    <row r="84" spans="1:7">
      <c r="A84" s="3261" t="s">
        <v>110</v>
      </c>
      <c r="B84" s="3250" t="s">
        <v>2973</v>
      </c>
      <c r="C84" s="3262"/>
      <c r="D84" s="3262"/>
      <c r="E84" s="3262"/>
      <c r="F84" s="3251">
        <v>0.1</v>
      </c>
      <c r="G84" s="3268"/>
    </row>
    <row r="85" spans="1:7">
      <c r="A85" s="3261" t="s">
        <v>110</v>
      </c>
      <c r="B85" s="3250" t="s">
        <v>2980</v>
      </c>
      <c r="C85" s="3262"/>
      <c r="D85" s="3262"/>
      <c r="E85" s="3262"/>
      <c r="F85" s="3251">
        <v>0.1</v>
      </c>
      <c r="G85" s="3268"/>
    </row>
    <row r="86" spans="1:7" ht="14.25" thickBot="1">
      <c r="A86" s="3264" t="s">
        <v>110</v>
      </c>
      <c r="B86" s="3254" t="s">
        <v>2985</v>
      </c>
      <c r="C86" s="3255">
        <v>9.8000000000000004E-2</v>
      </c>
      <c r="D86" s="3255">
        <v>9.8000000000000004E-2</v>
      </c>
      <c r="E86" s="3255">
        <v>9.6000000000000002E-2</v>
      </c>
      <c r="F86" s="3265"/>
      <c r="G86" s="3257">
        <v>0.1</v>
      </c>
    </row>
    <row r="87" spans="1:7">
      <c r="A87" s="3260" t="s">
        <v>303</v>
      </c>
      <c r="B87" s="3246" t="s">
        <v>2861</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2954</v>
      </c>
      <c r="C113" s="3251">
        <v>0.1</v>
      </c>
      <c r="D113" s="3251">
        <v>0.1</v>
      </c>
      <c r="E113" s="3262"/>
      <c r="F113" s="3262"/>
      <c r="G113" s="3252">
        <v>0.1</v>
      </c>
    </row>
    <row r="114" spans="1:7">
      <c r="A114" s="3261" t="s">
        <v>303</v>
      </c>
      <c r="B114" s="3250" t="s">
        <v>2961</v>
      </c>
      <c r="C114" s="3251">
        <v>9.7000000000000003E-2</v>
      </c>
      <c r="D114" s="3251">
        <v>9.7000000000000003E-2</v>
      </c>
      <c r="E114" s="3262"/>
      <c r="F114" s="3262"/>
      <c r="G114" s="3252">
        <v>9.9000000000000005E-2</v>
      </c>
    </row>
    <row r="115" spans="1:7">
      <c r="A115" s="3261" t="s">
        <v>303</v>
      </c>
      <c r="B115" s="3250" t="s">
        <v>2967</v>
      </c>
      <c r="C115" s="3251">
        <v>0.1</v>
      </c>
      <c r="D115" s="3251">
        <v>0.1</v>
      </c>
      <c r="E115" s="3262"/>
      <c r="F115" s="3262"/>
      <c r="G115" s="3252">
        <v>0.1</v>
      </c>
    </row>
    <row r="116" spans="1:7">
      <c r="A116" s="3261" t="s">
        <v>303</v>
      </c>
      <c r="B116" s="3250" t="s">
        <v>2974</v>
      </c>
      <c r="C116" s="3251">
        <v>0.1</v>
      </c>
      <c r="D116" s="3251">
        <v>0.1</v>
      </c>
      <c r="E116" s="3262"/>
      <c r="F116" s="3262"/>
      <c r="G116" s="3252">
        <v>0.1</v>
      </c>
    </row>
    <row r="117" spans="1:7">
      <c r="A117" s="3261" t="s">
        <v>303</v>
      </c>
      <c r="B117" s="3250" t="s">
        <v>2981</v>
      </c>
      <c r="C117" s="3251">
        <v>9.7000000000000003E-2</v>
      </c>
      <c r="D117" s="3251">
        <v>9.7000000000000003E-2</v>
      </c>
      <c r="E117" s="3262"/>
      <c r="F117" s="3262"/>
      <c r="G117" s="3252">
        <v>9.7000000000000003E-2</v>
      </c>
    </row>
    <row r="118" spans="1:7">
      <c r="A118" s="3261" t="s">
        <v>303</v>
      </c>
      <c r="B118" s="3250" t="s">
        <v>2986</v>
      </c>
      <c r="C118" s="3251">
        <v>0.1</v>
      </c>
      <c r="D118" s="3251">
        <v>0.1</v>
      </c>
      <c r="E118" s="3262"/>
      <c r="F118" s="3262"/>
      <c r="G118" s="3252">
        <v>0.1</v>
      </c>
    </row>
    <row r="119" spans="1:7">
      <c r="A119" s="3261" t="s">
        <v>303</v>
      </c>
      <c r="B119" s="3250" t="s">
        <v>2990</v>
      </c>
      <c r="C119" s="3251">
        <v>5.0999999999999997E-2</v>
      </c>
      <c r="D119" s="3251">
        <v>5.1999999999999998E-2</v>
      </c>
      <c r="E119" s="3262"/>
      <c r="F119" s="3267"/>
      <c r="G119" s="3252">
        <v>0.06</v>
      </c>
    </row>
    <row r="120" spans="1:7">
      <c r="A120" s="3261" t="s">
        <v>303</v>
      </c>
      <c r="B120" s="3250" t="s">
        <v>2994</v>
      </c>
      <c r="C120" s="3262"/>
      <c r="D120" s="3262"/>
      <c r="E120" s="3262"/>
      <c r="F120" s="3251">
        <v>0.1</v>
      </c>
      <c r="G120" s="3268"/>
    </row>
    <row r="121" spans="1:7">
      <c r="A121" s="3261" t="s">
        <v>303</v>
      </c>
      <c r="B121" s="3250" t="s">
        <v>2999</v>
      </c>
      <c r="C121" s="3262"/>
      <c r="D121" s="3262"/>
      <c r="E121" s="3262"/>
      <c r="F121" s="3251">
        <v>0.1</v>
      </c>
      <c r="G121" s="3268"/>
    </row>
    <row r="122" spans="1:7">
      <c r="A122" s="3261" t="s">
        <v>303</v>
      </c>
      <c r="B122" s="3250" t="s">
        <v>3004</v>
      </c>
      <c r="C122" s="3251">
        <v>0.1</v>
      </c>
      <c r="D122" s="3251">
        <v>0.1</v>
      </c>
      <c r="E122" s="3251">
        <v>9.8000000000000004E-2</v>
      </c>
      <c r="F122" s="3251">
        <v>0.1</v>
      </c>
      <c r="G122" s="3252">
        <v>0.1</v>
      </c>
    </row>
    <row r="123" spans="1:7">
      <c r="A123" s="3261" t="s">
        <v>303</v>
      </c>
      <c r="B123" s="3250" t="s">
        <v>3009</v>
      </c>
      <c r="C123" s="3251">
        <v>0.1</v>
      </c>
      <c r="D123" s="3251">
        <v>0.1</v>
      </c>
      <c r="E123" s="3251">
        <v>9.8000000000000004E-2</v>
      </c>
      <c r="F123" s="3251">
        <v>0.1</v>
      </c>
      <c r="G123" s="3252">
        <v>0.1</v>
      </c>
    </row>
    <row r="124" spans="1:7">
      <c r="A124" s="3261" t="s">
        <v>303</v>
      </c>
      <c r="B124" s="3250" t="s">
        <v>3014</v>
      </c>
      <c r="C124" s="3251">
        <v>0.1</v>
      </c>
      <c r="D124" s="3251">
        <v>0.1</v>
      </c>
      <c r="E124" s="3251">
        <v>9.8000000000000004E-2</v>
      </c>
      <c r="F124" s="3267"/>
      <c r="G124" s="3252">
        <v>0.1</v>
      </c>
    </row>
    <row r="125" spans="1:7">
      <c r="A125" s="3261" t="s">
        <v>303</v>
      </c>
      <c r="B125" s="3250" t="s">
        <v>3019</v>
      </c>
      <c r="C125" s="3251">
        <v>9.8000000000000004E-2</v>
      </c>
      <c r="D125" s="3251">
        <v>9.8000000000000004E-2</v>
      </c>
      <c r="E125" s="3251">
        <v>9.6000000000000002E-2</v>
      </c>
      <c r="F125" s="3267"/>
      <c r="G125" s="3252">
        <v>0.1</v>
      </c>
    </row>
    <row r="126" spans="1:7" ht="14.25" thickBot="1">
      <c r="A126" s="3264" t="s">
        <v>303</v>
      </c>
      <c r="B126" s="3254" t="s">
        <v>3185</v>
      </c>
      <c r="C126" s="3255">
        <v>0.1</v>
      </c>
      <c r="D126" s="3255">
        <v>0.1</v>
      </c>
      <c r="E126" s="3255">
        <v>9.8000000000000004E-2</v>
      </c>
      <c r="F126" s="3255">
        <v>0.1</v>
      </c>
      <c r="G126" s="3257">
        <v>0.1</v>
      </c>
    </row>
    <row r="127" spans="1:7">
      <c r="A127" s="3260" t="s">
        <v>29</v>
      </c>
      <c r="B127" s="3246" t="s">
        <v>2862</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2932</v>
      </c>
      <c r="C148" s="3251">
        <v>0.13</v>
      </c>
      <c r="D148" s="3251">
        <v>0.13</v>
      </c>
      <c r="E148" s="3251">
        <v>0.13</v>
      </c>
      <c r="F148" s="3262"/>
      <c r="G148" s="3252">
        <v>0.13</v>
      </c>
    </row>
    <row r="149" spans="1:7">
      <c r="A149" s="3261" t="s">
        <v>29</v>
      </c>
      <c r="B149" s="3250" t="s">
        <v>2936</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2955</v>
      </c>
      <c r="C153" s="3251">
        <v>0.13</v>
      </c>
      <c r="D153" s="3251">
        <v>0.13</v>
      </c>
      <c r="E153" s="3251">
        <v>0.13</v>
      </c>
      <c r="F153" s="3251">
        <v>0.13</v>
      </c>
      <c r="G153" s="3252">
        <v>0.13</v>
      </c>
    </row>
    <row r="154" spans="1:7">
      <c r="A154" s="3261" t="s">
        <v>29</v>
      </c>
      <c r="B154" s="3250" t="s">
        <v>2962</v>
      </c>
      <c r="C154" s="3251">
        <v>0.121</v>
      </c>
      <c r="D154" s="3251">
        <v>0.121</v>
      </c>
      <c r="E154" s="3251">
        <v>0.105</v>
      </c>
      <c r="F154" s="3251">
        <v>0.121</v>
      </c>
      <c r="G154" s="3252">
        <v>0.123</v>
      </c>
    </row>
    <row r="155" spans="1:7">
      <c r="A155" s="3261" t="s">
        <v>29</v>
      </c>
      <c r="B155" s="3250" t="s">
        <v>2968</v>
      </c>
      <c r="C155" s="3251">
        <v>0.1</v>
      </c>
      <c r="D155" s="3251">
        <v>0.1</v>
      </c>
      <c r="E155" s="3251">
        <v>0.1</v>
      </c>
      <c r="F155" s="3251">
        <v>0.1</v>
      </c>
      <c r="G155" s="3252">
        <v>0.1</v>
      </c>
    </row>
    <row r="156" spans="1:7">
      <c r="A156" s="3261" t="s">
        <v>29</v>
      </c>
      <c r="B156" s="3250" t="s">
        <v>2975</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2995</v>
      </c>
      <c r="C160" s="3251">
        <v>0.13</v>
      </c>
      <c r="D160" s="3251">
        <v>0.13</v>
      </c>
      <c r="E160" s="3251">
        <v>0.124</v>
      </c>
      <c r="F160" s="3251">
        <v>0.126</v>
      </c>
      <c r="G160" s="3252">
        <v>0.13</v>
      </c>
    </row>
    <row r="161" spans="1:7">
      <c r="A161" s="3261" t="s">
        <v>29</v>
      </c>
      <c r="B161" s="3250" t="s">
        <v>3000</v>
      </c>
      <c r="C161" s="3251">
        <v>0.13</v>
      </c>
      <c r="D161" s="3251">
        <v>0.13</v>
      </c>
      <c r="E161" s="3251">
        <v>0.124</v>
      </c>
      <c r="F161" s="3251">
        <v>0.127</v>
      </c>
      <c r="G161" s="3252">
        <v>0.13</v>
      </c>
    </row>
    <row r="162" spans="1:7">
      <c r="A162" s="3261" t="s">
        <v>29</v>
      </c>
      <c r="B162" s="3250" t="s">
        <v>3005</v>
      </c>
      <c r="C162" s="3251">
        <v>0.1</v>
      </c>
      <c r="D162" s="3251">
        <v>0.1</v>
      </c>
      <c r="E162" s="3251">
        <v>0.1</v>
      </c>
      <c r="F162" s="3251">
        <v>0.121</v>
      </c>
      <c r="G162" s="3252">
        <v>0.105</v>
      </c>
    </row>
    <row r="163" spans="1:7">
      <c r="A163" s="3261" t="s">
        <v>29</v>
      </c>
      <c r="B163" s="3250" t="s">
        <v>3010</v>
      </c>
      <c r="C163" s="3251">
        <v>0.1</v>
      </c>
      <c r="D163" s="3251">
        <v>0.1</v>
      </c>
      <c r="E163" s="3251">
        <v>0.1</v>
      </c>
      <c r="F163" s="3251">
        <v>0.1</v>
      </c>
      <c r="G163" s="3252">
        <v>0.1</v>
      </c>
    </row>
    <row r="164" spans="1:7">
      <c r="A164" s="3261" t="s">
        <v>29</v>
      </c>
      <c r="B164" s="3250" t="s">
        <v>3015</v>
      </c>
      <c r="C164" s="3267"/>
      <c r="D164" s="3267"/>
      <c r="E164" s="3267"/>
      <c r="F164" s="3251">
        <v>0.1</v>
      </c>
      <c r="G164" s="3263"/>
    </row>
    <row r="165" spans="1:7">
      <c r="A165" s="3261" t="s">
        <v>29</v>
      </c>
      <c r="B165" s="3250" t="s">
        <v>3186</v>
      </c>
      <c r="C165" s="3251">
        <v>0.126</v>
      </c>
      <c r="D165" s="3251">
        <v>0.126</v>
      </c>
      <c r="E165" s="3251">
        <v>0.11899999999999999</v>
      </c>
      <c r="F165" s="3251">
        <v>0.13</v>
      </c>
      <c r="G165" s="3252">
        <v>0.128</v>
      </c>
    </row>
    <row r="166" spans="1:7">
      <c r="A166" s="3261" t="s">
        <v>29</v>
      </c>
      <c r="B166" s="3250" t="s">
        <v>3025</v>
      </c>
      <c r="C166" s="3251">
        <v>0.129</v>
      </c>
      <c r="D166" s="3251">
        <v>0.129</v>
      </c>
      <c r="E166" s="3251">
        <v>0.123</v>
      </c>
      <c r="F166" s="3251">
        <v>0.128</v>
      </c>
      <c r="G166" s="3252">
        <v>0.13</v>
      </c>
    </row>
    <row r="167" spans="1:7">
      <c r="A167" s="3261" t="s">
        <v>29</v>
      </c>
      <c r="B167" s="3250" t="s">
        <v>3029</v>
      </c>
      <c r="C167" s="3251">
        <v>0.125</v>
      </c>
      <c r="D167" s="3251">
        <v>0.125</v>
      </c>
      <c r="E167" s="3251">
        <v>0.11700000000000001</v>
      </c>
      <c r="F167" s="3251">
        <v>0.13</v>
      </c>
      <c r="G167" s="3252">
        <v>0.126</v>
      </c>
    </row>
    <row r="168" spans="1:7">
      <c r="A168" s="3261" t="s">
        <v>29</v>
      </c>
      <c r="B168" s="3250" t="s">
        <v>3034</v>
      </c>
      <c r="C168" s="3251">
        <v>0.128</v>
      </c>
      <c r="D168" s="3251">
        <v>0.128</v>
      </c>
      <c r="E168" s="3251">
        <v>0.123</v>
      </c>
      <c r="F168" s="3262"/>
      <c r="G168" s="3252">
        <v>0.13</v>
      </c>
    </row>
    <row r="169" spans="1:7">
      <c r="A169" s="3261" t="s">
        <v>29</v>
      </c>
      <c r="B169" s="3250" t="s">
        <v>3187</v>
      </c>
      <c r="C169" s="3267"/>
      <c r="D169" s="3267"/>
      <c r="E169" s="3267"/>
      <c r="F169" s="3251">
        <v>0.05</v>
      </c>
      <c r="G169" s="3263"/>
    </row>
    <row r="170" spans="1:7">
      <c r="A170" s="3261" t="s">
        <v>29</v>
      </c>
      <c r="B170" s="3250" t="s">
        <v>3188</v>
      </c>
      <c r="C170" s="3267"/>
      <c r="D170" s="3267"/>
      <c r="E170" s="3267"/>
      <c r="F170" s="3251">
        <v>0.05</v>
      </c>
      <c r="G170" s="3263"/>
    </row>
    <row r="171" spans="1:7">
      <c r="A171" s="3261" t="s">
        <v>29</v>
      </c>
      <c r="B171" s="3250" t="s">
        <v>3189</v>
      </c>
      <c r="C171" s="3267"/>
      <c r="D171" s="3267"/>
      <c r="E171" s="3267"/>
      <c r="F171" s="3251">
        <v>0.05</v>
      </c>
      <c r="G171" s="3268"/>
    </row>
    <row r="172" spans="1:7">
      <c r="A172" s="3261" t="s">
        <v>29</v>
      </c>
      <c r="B172" s="3250" t="s">
        <v>3190</v>
      </c>
      <c r="C172" s="3267"/>
      <c r="D172" s="3267"/>
      <c r="E172" s="3267"/>
      <c r="F172" s="3251">
        <v>0.05</v>
      </c>
      <c r="G172" s="3268"/>
    </row>
    <row r="173" spans="1:7">
      <c r="A173" s="3261" t="s">
        <v>29</v>
      </c>
      <c r="B173" s="3250" t="s">
        <v>3191</v>
      </c>
      <c r="C173" s="3267"/>
      <c r="D173" s="3267"/>
      <c r="E173" s="3267"/>
      <c r="F173" s="3251">
        <v>0.05</v>
      </c>
      <c r="G173" s="3263"/>
    </row>
    <row r="174" spans="1:7">
      <c r="A174" s="3261" t="s">
        <v>29</v>
      </c>
      <c r="B174" s="3250" t="s">
        <v>3192</v>
      </c>
      <c r="C174" s="3267"/>
      <c r="D174" s="3267"/>
      <c r="E174" s="3267"/>
      <c r="F174" s="3251">
        <v>0.05</v>
      </c>
      <c r="G174" s="3263"/>
    </row>
    <row r="175" spans="1:7">
      <c r="A175" s="3261" t="s">
        <v>29</v>
      </c>
      <c r="B175" s="3250" t="s">
        <v>3193</v>
      </c>
      <c r="C175" s="3267"/>
      <c r="D175" s="3267"/>
      <c r="E175" s="3267"/>
      <c r="F175" s="3251">
        <v>0.05</v>
      </c>
      <c r="G175" s="3263"/>
    </row>
    <row r="176" spans="1:7">
      <c r="A176" s="3261" t="s">
        <v>29</v>
      </c>
      <c r="B176" s="3250" t="s">
        <v>3194</v>
      </c>
      <c r="C176" s="3267"/>
      <c r="D176" s="3267"/>
      <c r="E176" s="3267"/>
      <c r="F176" s="3251">
        <v>0.05</v>
      </c>
      <c r="G176" s="3263"/>
    </row>
    <row r="177" spans="1:7">
      <c r="A177" s="3261" t="s">
        <v>29</v>
      </c>
      <c r="B177" s="3250" t="s">
        <v>3195</v>
      </c>
      <c r="C177" s="3262"/>
      <c r="D177" s="3262"/>
      <c r="E177" s="3262"/>
      <c r="F177" s="3251">
        <v>0.05</v>
      </c>
      <c r="G177" s="3268"/>
    </row>
    <row r="178" spans="1:7">
      <c r="A178" s="3261" t="s">
        <v>29</v>
      </c>
      <c r="B178" s="3250" t="s">
        <v>3196</v>
      </c>
      <c r="C178" s="3262"/>
      <c r="D178" s="3262"/>
      <c r="E178" s="3262"/>
      <c r="F178" s="3251">
        <v>0.05</v>
      </c>
      <c r="G178" s="3268"/>
    </row>
    <row r="179" spans="1:7">
      <c r="A179" s="3261" t="s">
        <v>29</v>
      </c>
      <c r="B179" s="3250" t="s">
        <v>3197</v>
      </c>
      <c r="C179" s="3262"/>
      <c r="D179" s="3262"/>
      <c r="E179" s="3262"/>
      <c r="F179" s="3251">
        <v>0.05</v>
      </c>
      <c r="G179" s="3268"/>
    </row>
    <row r="180" spans="1:7">
      <c r="A180" s="3261" t="s">
        <v>29</v>
      </c>
      <c r="B180" s="3250" t="s">
        <v>3198</v>
      </c>
      <c r="C180" s="3262"/>
      <c r="D180" s="3262"/>
      <c r="E180" s="3262"/>
      <c r="F180" s="3251">
        <v>0.05</v>
      </c>
      <c r="G180" s="3268"/>
    </row>
    <row r="181" spans="1:7">
      <c r="A181" s="3261" t="s">
        <v>29</v>
      </c>
      <c r="B181" s="3250" t="s">
        <v>3199</v>
      </c>
      <c r="C181" s="3262"/>
      <c r="D181" s="3262"/>
      <c r="E181" s="3262"/>
      <c r="F181" s="3251">
        <v>0.05</v>
      </c>
      <c r="G181" s="3268"/>
    </row>
    <row r="182" spans="1:7">
      <c r="A182" s="3261" t="s">
        <v>29</v>
      </c>
      <c r="B182" s="3250" t="s">
        <v>3200</v>
      </c>
      <c r="C182" s="3262"/>
      <c r="D182" s="3262"/>
      <c r="E182" s="3262"/>
      <c r="F182" s="3251">
        <v>0.05</v>
      </c>
      <c r="G182" s="3268"/>
    </row>
    <row r="183" spans="1:7">
      <c r="A183" s="3261" t="s">
        <v>29</v>
      </c>
      <c r="B183" s="3250" t="s">
        <v>3201</v>
      </c>
      <c r="C183" s="3262"/>
      <c r="D183" s="3262"/>
      <c r="E183" s="3262"/>
      <c r="F183" s="3251">
        <v>0.05</v>
      </c>
      <c r="G183" s="3268"/>
    </row>
    <row r="184" spans="1:7">
      <c r="A184" s="3261" t="s">
        <v>29</v>
      </c>
      <c r="B184" s="3250" t="s">
        <v>3202</v>
      </c>
      <c r="C184" s="3262"/>
      <c r="D184" s="3262"/>
      <c r="E184" s="3262"/>
      <c r="F184" s="3251">
        <v>0.05</v>
      </c>
      <c r="G184" s="3268"/>
    </row>
    <row r="185" spans="1:7">
      <c r="A185" s="3261" t="s">
        <v>29</v>
      </c>
      <c r="B185" s="3250" t="s">
        <v>3203</v>
      </c>
      <c r="C185" s="3262"/>
      <c r="D185" s="3262"/>
      <c r="E185" s="3262"/>
      <c r="F185" s="3251">
        <v>0.05</v>
      </c>
      <c r="G185" s="3268"/>
    </row>
    <row r="186" spans="1:7">
      <c r="A186" s="3261" t="s">
        <v>29</v>
      </c>
      <c r="B186" s="3250" t="s">
        <v>3204</v>
      </c>
      <c r="C186" s="3262"/>
      <c r="D186" s="3262"/>
      <c r="E186" s="3262"/>
      <c r="F186" s="3251">
        <v>0.05</v>
      </c>
      <c r="G186" s="3268"/>
    </row>
    <row r="187" spans="1:7">
      <c r="A187" s="3261" t="s">
        <v>29</v>
      </c>
      <c r="B187" s="3250" t="s">
        <v>3205</v>
      </c>
      <c r="C187" s="3262"/>
      <c r="D187" s="3262"/>
      <c r="E187" s="3262"/>
      <c r="F187" s="3251">
        <v>0.05</v>
      </c>
      <c r="G187" s="3268"/>
    </row>
    <row r="188" spans="1:7">
      <c r="A188" s="3261" t="s">
        <v>29</v>
      </c>
      <c r="B188" s="3250" t="s">
        <v>3206</v>
      </c>
      <c r="C188" s="3262"/>
      <c r="D188" s="3262"/>
      <c r="E188" s="3262"/>
      <c r="F188" s="3251">
        <v>0.05</v>
      </c>
      <c r="G188" s="3268"/>
    </row>
    <row r="189" spans="1:7" ht="14.25" thickBot="1">
      <c r="A189" s="3264" t="s">
        <v>29</v>
      </c>
      <c r="B189" s="3254" t="s">
        <v>3207</v>
      </c>
      <c r="C189" s="3256"/>
      <c r="D189" s="3256"/>
      <c r="E189" s="3256"/>
      <c r="F189" s="3255">
        <v>0.05</v>
      </c>
      <c r="G189" s="3269"/>
    </row>
    <row r="190" spans="1:7">
      <c r="A190" s="3260" t="s">
        <v>304</v>
      </c>
      <c r="B190" s="3246" t="s">
        <v>2863</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2899</v>
      </c>
      <c r="C199" s="3251">
        <v>0.13</v>
      </c>
      <c r="D199" s="3251">
        <v>0.13</v>
      </c>
      <c r="E199" s="3251">
        <v>0.13</v>
      </c>
      <c r="F199" s="3251">
        <v>0.13</v>
      </c>
      <c r="G199" s="3252">
        <v>0.13</v>
      </c>
    </row>
    <row r="200" spans="1:7">
      <c r="A200" s="3261" t="s">
        <v>304</v>
      </c>
      <c r="B200" s="3250" t="s">
        <v>2902</v>
      </c>
      <c r="C200" s="3267"/>
      <c r="D200" s="3267"/>
      <c r="E200" s="3267"/>
      <c r="F200" s="3251">
        <v>0.13</v>
      </c>
      <c r="G200" s="3263"/>
    </row>
    <row r="201" spans="1:7">
      <c r="A201" s="3261" t="s">
        <v>304</v>
      </c>
      <c r="B201" s="3250" t="s">
        <v>2907</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2910</v>
      </c>
      <c r="C203" s="3251">
        <v>0.129</v>
      </c>
      <c r="D203" s="3251">
        <v>0.129</v>
      </c>
      <c r="E203" s="3251">
        <v>0.13</v>
      </c>
      <c r="F203" s="3251">
        <v>0.13</v>
      </c>
      <c r="G203" s="3252">
        <v>0.13</v>
      </c>
    </row>
    <row r="204" spans="1:7">
      <c r="A204" s="3261" t="s">
        <v>304</v>
      </c>
      <c r="B204" s="3250" t="s">
        <v>2913</v>
      </c>
      <c r="C204" s="3251">
        <v>0.129</v>
      </c>
      <c r="D204" s="3251">
        <v>0.129</v>
      </c>
      <c r="E204" s="3251">
        <v>0.123</v>
      </c>
      <c r="F204" s="3251">
        <v>0.13</v>
      </c>
      <c r="G204" s="3252">
        <v>0.13</v>
      </c>
    </row>
    <row r="205" spans="1:7">
      <c r="A205" s="3261" t="s">
        <v>304</v>
      </c>
      <c r="B205" s="3250" t="s">
        <v>2915</v>
      </c>
      <c r="C205" s="3251">
        <v>0.13</v>
      </c>
      <c r="D205" s="3251">
        <v>0.13</v>
      </c>
      <c r="E205" s="3251">
        <v>0.13</v>
      </c>
      <c r="F205" s="3251">
        <v>0.13</v>
      </c>
      <c r="G205" s="3252">
        <v>0.13</v>
      </c>
    </row>
    <row r="206" spans="1:7">
      <c r="A206" s="3261" t="s">
        <v>304</v>
      </c>
      <c r="B206" s="3250" t="s">
        <v>2918</v>
      </c>
      <c r="C206" s="3251">
        <v>0.13</v>
      </c>
      <c r="D206" s="3251">
        <v>0.13</v>
      </c>
      <c r="E206" s="3251">
        <v>0.13</v>
      </c>
      <c r="F206" s="3251">
        <v>0.128</v>
      </c>
      <c r="G206" s="3252">
        <v>0.13</v>
      </c>
    </row>
    <row r="207" spans="1:7">
      <c r="A207" s="3261" t="s">
        <v>304</v>
      </c>
      <c r="B207" s="3250" t="s">
        <v>2920</v>
      </c>
      <c r="C207" s="3251">
        <v>0.13</v>
      </c>
      <c r="D207" s="3251">
        <v>0.13</v>
      </c>
      <c r="E207" s="3251">
        <v>0.13</v>
      </c>
      <c r="F207" s="3251">
        <v>0.13</v>
      </c>
      <c r="G207" s="3252">
        <v>0.13</v>
      </c>
    </row>
    <row r="208" spans="1:7">
      <c r="A208" s="3261" t="s">
        <v>304</v>
      </c>
      <c r="B208" s="3250" t="s">
        <v>2923</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2930</v>
      </c>
      <c r="C210" s="3251">
        <v>0.121</v>
      </c>
      <c r="D210" s="3251">
        <v>0.121</v>
      </c>
      <c r="E210" s="3251">
        <v>0.125</v>
      </c>
      <c r="F210" s="3251">
        <v>0.13</v>
      </c>
      <c r="G210" s="3252">
        <v>0.123</v>
      </c>
    </row>
    <row r="211" spans="1:7">
      <c r="A211" s="3261" t="s">
        <v>304</v>
      </c>
      <c r="B211" s="3250" t="s">
        <v>2933</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2945</v>
      </c>
      <c r="C214" s="3251">
        <v>0.128</v>
      </c>
      <c r="D214" s="3251">
        <v>0.128</v>
      </c>
      <c r="E214" s="3251">
        <v>0.13</v>
      </c>
      <c r="F214" s="3251">
        <v>0.13</v>
      </c>
      <c r="G214" s="3252">
        <v>0.13</v>
      </c>
    </row>
    <row r="215" spans="1:7">
      <c r="A215" s="3261" t="s">
        <v>304</v>
      </c>
      <c r="B215" s="3250" t="s">
        <v>2949</v>
      </c>
      <c r="C215" s="3251">
        <v>0.13</v>
      </c>
      <c r="D215" s="3251">
        <v>0.13</v>
      </c>
      <c r="E215" s="3251">
        <v>0.13</v>
      </c>
      <c r="F215" s="3251">
        <v>0.129</v>
      </c>
      <c r="G215" s="3252">
        <v>0.13</v>
      </c>
    </row>
    <row r="216" spans="1:7">
      <c r="A216" s="3261" t="s">
        <v>304</v>
      </c>
      <c r="B216" s="3250" t="s">
        <v>2956</v>
      </c>
      <c r="C216" s="3251">
        <v>0.13</v>
      </c>
      <c r="D216" s="3251">
        <v>0.13</v>
      </c>
      <c r="E216" s="3251">
        <v>0.13</v>
      </c>
      <c r="F216" s="3251">
        <v>0.13</v>
      </c>
      <c r="G216" s="3252">
        <v>0.13</v>
      </c>
    </row>
    <row r="217" spans="1:7">
      <c r="A217" s="3261" t="s">
        <v>304</v>
      </c>
      <c r="B217" s="3250" t="s">
        <v>2963</v>
      </c>
      <c r="C217" s="3251">
        <v>0.129</v>
      </c>
      <c r="D217" s="3251">
        <v>0.129</v>
      </c>
      <c r="E217" s="3251">
        <v>0.13</v>
      </c>
      <c r="F217" s="3251">
        <v>0.13</v>
      </c>
      <c r="G217" s="3252">
        <v>0.13</v>
      </c>
    </row>
    <row r="218" spans="1:7">
      <c r="A218" s="3261" t="s">
        <v>304</v>
      </c>
      <c r="B218" s="3250" t="s">
        <v>2969</v>
      </c>
      <c r="C218" s="3262"/>
      <c r="D218" s="3262"/>
      <c r="E218" s="3262"/>
      <c r="F218" s="3251">
        <v>0.05</v>
      </c>
      <c r="G218" s="3268"/>
    </row>
    <row r="219" spans="1:7">
      <c r="A219" s="3261" t="s">
        <v>304</v>
      </c>
      <c r="B219" s="3250" t="s">
        <v>2976</v>
      </c>
      <c r="C219" s="3262"/>
      <c r="D219" s="3262"/>
      <c r="E219" s="3262"/>
      <c r="F219" s="3251">
        <v>0.05</v>
      </c>
      <c r="G219" s="3268"/>
    </row>
    <row r="220" spans="1:7">
      <c r="A220" s="3261" t="s">
        <v>304</v>
      </c>
      <c r="B220" s="3250" t="s">
        <v>2982</v>
      </c>
      <c r="C220" s="3262"/>
      <c r="D220" s="3262"/>
      <c r="E220" s="3262"/>
      <c r="F220" s="3251">
        <v>0.05</v>
      </c>
      <c r="G220" s="3268"/>
    </row>
    <row r="221" spans="1:7">
      <c r="A221" s="3261" t="s">
        <v>304</v>
      </c>
      <c r="B221" s="3250" t="s">
        <v>2987</v>
      </c>
      <c r="C221" s="3262"/>
      <c r="D221" s="3262"/>
      <c r="E221" s="3262"/>
      <c r="F221" s="3251">
        <v>0.05</v>
      </c>
      <c r="G221" s="3268"/>
    </row>
    <row r="222" spans="1:7">
      <c r="A222" s="3261" t="s">
        <v>304</v>
      </c>
      <c r="B222" s="3250" t="s">
        <v>2991</v>
      </c>
      <c r="C222" s="3262"/>
      <c r="D222" s="3262"/>
      <c r="E222" s="3262"/>
      <c r="F222" s="3251">
        <v>0.05</v>
      </c>
      <c r="G222" s="3268"/>
    </row>
    <row r="223" spans="1:7">
      <c r="A223" s="3261" t="s">
        <v>304</v>
      </c>
      <c r="B223" s="3250" t="s">
        <v>2996</v>
      </c>
      <c r="C223" s="3262"/>
      <c r="D223" s="3262"/>
      <c r="E223" s="3262"/>
      <c r="F223" s="3251">
        <v>0.05</v>
      </c>
      <c r="G223" s="3268"/>
    </row>
    <row r="224" spans="1:7">
      <c r="A224" s="3261" t="s">
        <v>304</v>
      </c>
      <c r="B224" s="3250" t="s">
        <v>3001</v>
      </c>
      <c r="C224" s="3262"/>
      <c r="D224" s="3262"/>
      <c r="E224" s="3262"/>
      <c r="F224" s="3251">
        <v>0.05</v>
      </c>
      <c r="G224" s="3268"/>
    </row>
    <row r="225" spans="1:7">
      <c r="A225" s="3261" t="s">
        <v>304</v>
      </c>
      <c r="B225" s="3250" t="s">
        <v>3006</v>
      </c>
      <c r="C225" s="3262"/>
      <c r="D225" s="3262"/>
      <c r="E225" s="3262"/>
      <c r="F225" s="3251">
        <v>0.05</v>
      </c>
      <c r="G225" s="3268"/>
    </row>
    <row r="226" spans="1:7">
      <c r="A226" s="3261" t="s">
        <v>304</v>
      </c>
      <c r="B226" s="3250" t="s">
        <v>3208</v>
      </c>
      <c r="C226" s="3262"/>
      <c r="D226" s="3262"/>
      <c r="E226" s="3262"/>
      <c r="F226" s="3251">
        <v>0.05</v>
      </c>
      <c r="G226" s="3268"/>
    </row>
    <row r="227" spans="1:7">
      <c r="A227" s="3261" t="s">
        <v>304</v>
      </c>
      <c r="B227" s="3250" t="s">
        <v>3209</v>
      </c>
      <c r="C227" s="3262"/>
      <c r="D227" s="3262"/>
      <c r="E227" s="3262"/>
      <c r="F227" s="3251">
        <v>0.05</v>
      </c>
      <c r="G227" s="3268"/>
    </row>
    <row r="228" spans="1:7">
      <c r="A228" s="3261" t="s">
        <v>304</v>
      </c>
      <c r="B228" s="3250" t="s">
        <v>3210</v>
      </c>
      <c r="C228" s="3262"/>
      <c r="D228" s="3262"/>
      <c r="E228" s="3262"/>
      <c r="F228" s="3251">
        <v>0.05</v>
      </c>
      <c r="G228" s="3268"/>
    </row>
    <row r="229" spans="1:7">
      <c r="A229" s="3261" t="s">
        <v>304</v>
      </c>
      <c r="B229" s="3250" t="s">
        <v>3211</v>
      </c>
      <c r="C229" s="3262"/>
      <c r="D229" s="3262"/>
      <c r="E229" s="3262"/>
      <c r="F229" s="3251">
        <v>0.05</v>
      </c>
      <c r="G229" s="3268"/>
    </row>
    <row r="230" spans="1:7">
      <c r="A230" s="3261" t="s">
        <v>304</v>
      </c>
      <c r="B230" s="3250" t="s">
        <v>3212</v>
      </c>
      <c r="C230" s="3262"/>
      <c r="D230" s="3262"/>
      <c r="E230" s="3262"/>
      <c r="F230" s="3251">
        <v>0.05</v>
      </c>
      <c r="G230" s="3268"/>
    </row>
    <row r="231" spans="1:7">
      <c r="A231" s="3261" t="s">
        <v>304</v>
      </c>
      <c r="B231" s="3250" t="s">
        <v>3213</v>
      </c>
      <c r="C231" s="3262"/>
      <c r="D231" s="3262"/>
      <c r="E231" s="3262"/>
      <c r="F231" s="3251">
        <v>0.05</v>
      </c>
      <c r="G231" s="3268"/>
    </row>
    <row r="232" spans="1:7">
      <c r="A232" s="3261" t="s">
        <v>304</v>
      </c>
      <c r="B232" s="3250" t="s">
        <v>3214</v>
      </c>
      <c r="C232" s="3262"/>
      <c r="D232" s="3262"/>
      <c r="E232" s="3262"/>
      <c r="F232" s="3251">
        <v>0.05</v>
      </c>
      <c r="G232" s="3268"/>
    </row>
    <row r="233" spans="1:7" ht="14.25" thickBot="1">
      <c r="A233" s="3264" t="s">
        <v>304</v>
      </c>
      <c r="B233" s="3254" t="s">
        <v>3215</v>
      </c>
      <c r="C233" s="3256"/>
      <c r="D233" s="3256"/>
      <c r="E233" s="3256"/>
      <c r="F233" s="3255">
        <v>0.05</v>
      </c>
      <c r="G233" s="3269"/>
    </row>
    <row r="234" spans="1:7">
      <c r="A234" s="3260" t="s">
        <v>305</v>
      </c>
      <c r="B234" s="3246" t="s">
        <v>2864</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2884</v>
      </c>
      <c r="C238" s="3251">
        <v>0.14899999999999999</v>
      </c>
      <c r="D238" s="3251">
        <v>0.14899999999999999</v>
      </c>
      <c r="E238" s="3251">
        <v>0.15</v>
      </c>
      <c r="F238" s="3251">
        <v>0.15</v>
      </c>
      <c r="G238" s="3252">
        <v>0.15</v>
      </c>
    </row>
    <row r="239" spans="1:7">
      <c r="A239" s="3261" t="s">
        <v>305</v>
      </c>
      <c r="B239" s="3250" t="s">
        <v>2888</v>
      </c>
      <c r="C239" s="3251">
        <v>0.15</v>
      </c>
      <c r="D239" s="3251">
        <v>0.15</v>
      </c>
      <c r="E239" s="3251">
        <v>0.15</v>
      </c>
      <c r="F239" s="3251">
        <v>0.15</v>
      </c>
      <c r="G239" s="3252">
        <v>0.15</v>
      </c>
    </row>
    <row r="240" spans="1:7">
      <c r="A240" s="3261" t="s">
        <v>305</v>
      </c>
      <c r="B240" s="3250" t="s">
        <v>2893</v>
      </c>
      <c r="C240" s="3251">
        <v>0.15</v>
      </c>
      <c r="D240" s="3251">
        <v>0.15</v>
      </c>
      <c r="E240" s="3251">
        <v>0.15</v>
      </c>
      <c r="F240" s="3251">
        <v>0.15</v>
      </c>
      <c r="G240" s="3252">
        <v>0.15</v>
      </c>
    </row>
    <row r="241" spans="1:7">
      <c r="A241" s="3261" t="s">
        <v>305</v>
      </c>
      <c r="B241" s="3250" t="s">
        <v>2897</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2903</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2911</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2916</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2924</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2937</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2946</v>
      </c>
      <c r="C258" s="3251">
        <v>0.14299999999999999</v>
      </c>
      <c r="D258" s="3251">
        <v>0.14299999999999999</v>
      </c>
      <c r="E258" s="3251">
        <v>0.15</v>
      </c>
      <c r="F258" s="3251">
        <v>0.14799999999999999</v>
      </c>
      <c r="G258" s="3252">
        <v>0.14599999999999999</v>
      </c>
    </row>
    <row r="259" spans="1:7">
      <c r="A259" s="3261" t="s">
        <v>305</v>
      </c>
      <c r="B259" s="3250" t="s">
        <v>2950</v>
      </c>
      <c r="C259" s="3251">
        <v>0.14399999999999999</v>
      </c>
      <c r="D259" s="3251">
        <v>0.14399999999999999</v>
      </c>
      <c r="E259" s="3251">
        <v>0.14899999999999999</v>
      </c>
      <c r="F259" s="3251">
        <v>0.14699999999999999</v>
      </c>
      <c r="G259" s="3252">
        <v>0.14599999999999999</v>
      </c>
    </row>
    <row r="260" spans="1:7">
      <c r="A260" s="3261" t="s">
        <v>305</v>
      </c>
      <c r="B260" s="3250" t="s">
        <v>2957</v>
      </c>
      <c r="C260" s="3251">
        <v>0.109</v>
      </c>
      <c r="D260" s="3251">
        <v>0.111</v>
      </c>
      <c r="E260" s="3251">
        <v>0.13100000000000001</v>
      </c>
      <c r="F260" s="3251">
        <v>0.126</v>
      </c>
      <c r="G260" s="3252">
        <v>0.11899999999999999</v>
      </c>
    </row>
    <row r="261" spans="1:7">
      <c r="A261" s="3261" t="s">
        <v>305</v>
      </c>
      <c r="B261" s="3250" t="s">
        <v>2964</v>
      </c>
      <c r="C261" s="3251">
        <v>0.1</v>
      </c>
      <c r="D261" s="3251">
        <v>0.1</v>
      </c>
      <c r="E261" s="3251">
        <v>0.11799999999999999</v>
      </c>
      <c r="F261" s="3251">
        <v>0.108</v>
      </c>
      <c r="G261" s="3252">
        <v>0.107</v>
      </c>
    </row>
    <row r="262" spans="1:7">
      <c r="A262" s="3261" t="s">
        <v>305</v>
      </c>
      <c r="B262" s="3250" t="s">
        <v>2970</v>
      </c>
      <c r="C262" s="3251">
        <v>0.1</v>
      </c>
      <c r="D262" s="3251">
        <v>0.1</v>
      </c>
      <c r="E262" s="3251">
        <v>0.1</v>
      </c>
      <c r="F262" s="3251">
        <v>0.14099999999999999</v>
      </c>
      <c r="G262" s="3252">
        <v>0.1</v>
      </c>
    </row>
    <row r="263" spans="1:7">
      <c r="A263" s="3261" t="s">
        <v>305</v>
      </c>
      <c r="B263" s="3250" t="s">
        <v>2977</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2988</v>
      </c>
      <c r="C265" s="3262"/>
      <c r="D265" s="3262"/>
      <c r="E265" s="3262"/>
      <c r="F265" s="3251">
        <v>0.05</v>
      </c>
      <c r="G265" s="3268"/>
    </row>
    <row r="266" spans="1:7">
      <c r="A266" s="3261" t="s">
        <v>305</v>
      </c>
      <c r="B266" s="3250" t="s">
        <v>2992</v>
      </c>
      <c r="C266" s="3262"/>
      <c r="D266" s="3262"/>
      <c r="E266" s="3262"/>
      <c r="F266" s="3251">
        <v>0.05</v>
      </c>
      <c r="G266" s="3268"/>
    </row>
    <row r="267" spans="1:7">
      <c r="A267" s="3261" t="s">
        <v>305</v>
      </c>
      <c r="B267" s="3250" t="s">
        <v>2997</v>
      </c>
      <c r="C267" s="3262"/>
      <c r="D267" s="3262"/>
      <c r="E267" s="3262"/>
      <c r="F267" s="3251">
        <v>0.05</v>
      </c>
      <c r="G267" s="3268"/>
    </row>
    <row r="268" spans="1:7">
      <c r="A268" s="3261" t="s">
        <v>305</v>
      </c>
      <c r="B268" s="3250" t="s">
        <v>3002</v>
      </c>
      <c r="C268" s="3262"/>
      <c r="D268" s="3262"/>
      <c r="E268" s="3262"/>
      <c r="F268" s="3251">
        <v>0.05</v>
      </c>
      <c r="G268" s="3268"/>
    </row>
    <row r="269" spans="1:7">
      <c r="A269" s="3261" t="s">
        <v>305</v>
      </c>
      <c r="B269" s="3250" t="s">
        <v>3007</v>
      </c>
      <c r="C269" s="3262"/>
      <c r="D269" s="3262"/>
      <c r="E269" s="3262"/>
      <c r="F269" s="3251">
        <v>0.05</v>
      </c>
      <c r="G269" s="3268"/>
    </row>
    <row r="270" spans="1:7">
      <c r="A270" s="3261" t="s">
        <v>305</v>
      </c>
      <c r="B270" s="3250" t="s">
        <v>3012</v>
      </c>
      <c r="C270" s="3262"/>
      <c r="D270" s="3262"/>
      <c r="E270" s="3262"/>
      <c r="F270" s="3251">
        <v>0.05</v>
      </c>
      <c r="G270" s="3268"/>
    </row>
    <row r="271" spans="1:7">
      <c r="A271" s="3261" t="s">
        <v>305</v>
      </c>
      <c r="B271" s="3250" t="s">
        <v>3216</v>
      </c>
      <c r="C271" s="3262"/>
      <c r="D271" s="3262"/>
      <c r="E271" s="3262"/>
      <c r="F271" s="3251">
        <v>0.05</v>
      </c>
      <c r="G271" s="3268"/>
    </row>
    <row r="272" spans="1:7">
      <c r="A272" s="3261" t="s">
        <v>305</v>
      </c>
      <c r="B272" s="3250" t="s">
        <v>3217</v>
      </c>
      <c r="C272" s="3262"/>
      <c r="D272" s="3262"/>
      <c r="E272" s="3262"/>
      <c r="F272" s="3251">
        <v>0.05</v>
      </c>
      <c r="G272" s="3268"/>
    </row>
    <row r="273" spans="1:7">
      <c r="A273" s="3261" t="s">
        <v>305</v>
      </c>
      <c r="B273" s="3250" t="s">
        <v>3218</v>
      </c>
      <c r="C273" s="3262"/>
      <c r="D273" s="3262"/>
      <c r="E273" s="3262"/>
      <c r="F273" s="3251">
        <v>0.05</v>
      </c>
      <c r="G273" s="3268"/>
    </row>
    <row r="274" spans="1:7">
      <c r="A274" s="3261" t="s">
        <v>305</v>
      </c>
      <c r="B274" s="3250" t="s">
        <v>3219</v>
      </c>
      <c r="C274" s="3262"/>
      <c r="D274" s="3262"/>
      <c r="E274" s="3262"/>
      <c r="F274" s="3251">
        <v>0.05</v>
      </c>
      <c r="G274" s="3268"/>
    </row>
    <row r="275" spans="1:7">
      <c r="A275" s="3261" t="s">
        <v>305</v>
      </c>
      <c r="B275" s="3250" t="s">
        <v>3220</v>
      </c>
      <c r="C275" s="3262"/>
      <c r="D275" s="3262"/>
      <c r="E275" s="3262"/>
      <c r="F275" s="3251">
        <v>0.05</v>
      </c>
      <c r="G275" s="3268"/>
    </row>
    <row r="276" spans="1:7" ht="14.25" thickBot="1">
      <c r="A276" s="3264" t="s">
        <v>305</v>
      </c>
      <c r="B276" s="3254" t="s">
        <v>3221</v>
      </c>
      <c r="C276" s="3256"/>
      <c r="D276" s="3256"/>
      <c r="E276" s="3256"/>
      <c r="F276" s="3255">
        <v>0.05</v>
      </c>
      <c r="G276" s="3269"/>
    </row>
    <row r="277" spans="1:7">
      <c r="A277" s="3260" t="s">
        <v>306</v>
      </c>
      <c r="B277" s="3246" t="s">
        <v>2865</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2877</v>
      </c>
      <c r="C279" s="3251">
        <v>0.15</v>
      </c>
      <c r="D279" s="3251">
        <v>0.15</v>
      </c>
      <c r="E279" s="3251">
        <v>0.15</v>
      </c>
      <c r="F279" s="3251">
        <v>0.15</v>
      </c>
      <c r="G279" s="3252">
        <v>0.15</v>
      </c>
    </row>
    <row r="280" spans="1:7">
      <c r="A280" s="3261" t="s">
        <v>306</v>
      </c>
      <c r="B280" s="3250" t="s">
        <v>2881</v>
      </c>
      <c r="C280" s="3251">
        <v>0.15</v>
      </c>
      <c r="D280" s="3251">
        <v>0.15</v>
      </c>
      <c r="E280" s="3251">
        <v>0.15</v>
      </c>
      <c r="F280" s="3251">
        <v>0.15</v>
      </c>
      <c r="G280" s="3252">
        <v>0.15</v>
      </c>
    </row>
    <row r="281" spans="1:7">
      <c r="A281" s="3261" t="s">
        <v>306</v>
      </c>
      <c r="B281" s="3250" t="s">
        <v>2885</v>
      </c>
      <c r="C281" s="3251">
        <v>0.15</v>
      </c>
      <c r="D281" s="3251">
        <v>0.15</v>
      </c>
      <c r="E281" s="3251">
        <v>0.15</v>
      </c>
      <c r="F281" s="3251">
        <v>0.15</v>
      </c>
      <c r="G281" s="3252">
        <v>0.15</v>
      </c>
    </row>
    <row r="282" spans="1:7">
      <c r="A282" s="3261" t="s">
        <v>306</v>
      </c>
      <c r="B282" s="3250" t="s">
        <v>2889</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2904</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2909</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2919</v>
      </c>
      <c r="C293" s="3251">
        <v>0.15</v>
      </c>
      <c r="D293" s="3251">
        <v>0.15</v>
      </c>
      <c r="E293" s="3251">
        <v>0.15</v>
      </c>
      <c r="F293" s="3251">
        <v>0.14499999999999999</v>
      </c>
      <c r="G293" s="3252">
        <v>0.15</v>
      </c>
    </row>
    <row r="294" spans="1:7">
      <c r="A294" s="3261" t="s">
        <v>306</v>
      </c>
      <c r="B294" s="3250" t="s">
        <v>2921</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2938</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2951</v>
      </c>
      <c r="C302" s="3251">
        <v>0.15</v>
      </c>
      <c r="D302" s="3251">
        <v>0.15</v>
      </c>
      <c r="E302" s="3251">
        <v>0.15</v>
      </c>
      <c r="F302" s="3251">
        <v>0.14699999999999999</v>
      </c>
      <c r="G302" s="3252">
        <v>0.15</v>
      </c>
    </row>
    <row r="303" spans="1:7">
      <c r="A303" s="3261" t="s">
        <v>306</v>
      </c>
      <c r="B303" s="3250" t="s">
        <v>2958</v>
      </c>
      <c r="C303" s="3251">
        <v>0.15</v>
      </c>
      <c r="D303" s="3251">
        <v>0.15</v>
      </c>
      <c r="E303" s="3251">
        <v>0.15</v>
      </c>
      <c r="F303" s="3251">
        <v>0.14199999999999999</v>
      </c>
      <c r="G303" s="3252">
        <v>0.15</v>
      </c>
    </row>
    <row r="304" spans="1:7">
      <c r="A304" s="3261" t="s">
        <v>306</v>
      </c>
      <c r="B304" s="3250" t="s">
        <v>2965</v>
      </c>
      <c r="C304" s="3251">
        <v>0.15</v>
      </c>
      <c r="D304" s="3251">
        <v>0.15</v>
      </c>
      <c r="E304" s="3251">
        <v>0.15</v>
      </c>
      <c r="F304" s="3251">
        <v>0.14499999999999999</v>
      </c>
      <c r="G304" s="3252">
        <v>0.15</v>
      </c>
    </row>
    <row r="305" spans="1:7">
      <c r="A305" s="3261" t="s">
        <v>306</v>
      </c>
      <c r="B305" s="3250" t="s">
        <v>2971</v>
      </c>
      <c r="C305" s="3251">
        <v>0.15</v>
      </c>
      <c r="D305" s="3251">
        <v>0.15</v>
      </c>
      <c r="E305" s="3251">
        <v>0.15</v>
      </c>
      <c r="F305" s="3251">
        <v>0.111</v>
      </c>
      <c r="G305" s="3252">
        <v>0.15</v>
      </c>
    </row>
    <row r="306" spans="1:7">
      <c r="A306" s="3261" t="s">
        <v>306</v>
      </c>
      <c r="B306" s="3250" t="s">
        <v>2978</v>
      </c>
      <c r="C306" s="3251">
        <v>0.15</v>
      </c>
      <c r="D306" s="3251">
        <v>0.15</v>
      </c>
      <c r="E306" s="3251">
        <v>0.15</v>
      </c>
      <c r="F306" s="3251">
        <v>0.126</v>
      </c>
      <c r="G306" s="3252">
        <v>0.15</v>
      </c>
    </row>
    <row r="307" spans="1:7">
      <c r="A307" s="3261" t="s">
        <v>306</v>
      </c>
      <c r="B307" s="3250" t="s">
        <v>2983</v>
      </c>
      <c r="C307" s="3251">
        <v>0.15</v>
      </c>
      <c r="D307" s="3251">
        <v>0.15</v>
      </c>
      <c r="E307" s="3251">
        <v>0.15</v>
      </c>
      <c r="F307" s="3251">
        <v>0.12</v>
      </c>
      <c r="G307" s="3252">
        <v>0.15</v>
      </c>
    </row>
    <row r="308" spans="1:7">
      <c r="A308" s="3261" t="s">
        <v>306</v>
      </c>
      <c r="B308" s="3250" t="s">
        <v>2989</v>
      </c>
      <c r="C308" s="3251">
        <v>0.15</v>
      </c>
      <c r="D308" s="3251">
        <v>0.15</v>
      </c>
      <c r="E308" s="3251">
        <v>0.15</v>
      </c>
      <c r="F308" s="3251">
        <v>0.13</v>
      </c>
      <c r="G308" s="3252">
        <v>0.15</v>
      </c>
    </row>
    <row r="309" spans="1:7">
      <c r="A309" s="3261" t="s">
        <v>306</v>
      </c>
      <c r="B309" s="3250" t="s">
        <v>2993</v>
      </c>
      <c r="C309" s="3251">
        <v>0.15</v>
      </c>
      <c r="D309" s="3251">
        <v>0.15</v>
      </c>
      <c r="E309" s="3251">
        <v>0.15</v>
      </c>
      <c r="F309" s="3251">
        <v>0.14099999999999999</v>
      </c>
      <c r="G309" s="3252">
        <v>0.15</v>
      </c>
    </row>
    <row r="310" spans="1:7">
      <c r="A310" s="3261" t="s">
        <v>306</v>
      </c>
      <c r="B310" s="3250" t="s">
        <v>2998</v>
      </c>
      <c r="C310" s="3251">
        <v>0.15</v>
      </c>
      <c r="D310" s="3251">
        <v>0.15</v>
      </c>
      <c r="E310" s="3251">
        <v>0.15</v>
      </c>
      <c r="F310" s="3251">
        <v>0.15</v>
      </c>
      <c r="G310" s="3252">
        <v>0.15</v>
      </c>
    </row>
    <row r="311" spans="1:7">
      <c r="A311" s="3261" t="s">
        <v>306</v>
      </c>
      <c r="B311" s="3250" t="s">
        <v>3003</v>
      </c>
      <c r="C311" s="3251">
        <v>0.13200000000000001</v>
      </c>
      <c r="D311" s="3251">
        <v>0.13300000000000001</v>
      </c>
      <c r="E311" s="3251">
        <v>0.14499999999999999</v>
      </c>
      <c r="F311" s="3251">
        <v>0.14199999999999999</v>
      </c>
      <c r="G311" s="3252">
        <v>0.14000000000000001</v>
      </c>
    </row>
    <row r="312" spans="1:7">
      <c r="A312" s="3261" t="s">
        <v>306</v>
      </c>
      <c r="B312" s="3250" t="s">
        <v>3008</v>
      </c>
      <c r="C312" s="3251">
        <v>0.13800000000000001</v>
      </c>
      <c r="D312" s="3251">
        <v>0.14000000000000001</v>
      </c>
      <c r="E312" s="3251">
        <v>0.14599999999999999</v>
      </c>
      <c r="F312" s="3251">
        <v>0.14899999999999999</v>
      </c>
      <c r="G312" s="3252">
        <v>0.14199999999999999</v>
      </c>
    </row>
    <row r="313" spans="1:7">
      <c r="A313" s="3261" t="s">
        <v>306</v>
      </c>
      <c r="B313" s="3250" t="s">
        <v>3013</v>
      </c>
      <c r="C313" s="3251">
        <v>0.125</v>
      </c>
      <c r="D313" s="3251">
        <v>0.127</v>
      </c>
      <c r="E313" s="3251">
        <v>0.14399999999999999</v>
      </c>
      <c r="F313" s="3251">
        <v>0.115</v>
      </c>
      <c r="G313" s="3252">
        <v>0.13600000000000001</v>
      </c>
    </row>
    <row r="314" spans="1:7">
      <c r="A314" s="3261" t="s">
        <v>306</v>
      </c>
      <c r="B314" s="3250" t="s">
        <v>3222</v>
      </c>
      <c r="C314" s="3267"/>
      <c r="D314" s="3267"/>
      <c r="E314" s="3267"/>
      <c r="F314" s="3251">
        <v>0.05</v>
      </c>
      <c r="G314" s="3268"/>
    </row>
    <row r="315" spans="1:7">
      <c r="A315" s="3261" t="s">
        <v>306</v>
      </c>
      <c r="B315" s="3250" t="s">
        <v>3223</v>
      </c>
      <c r="C315" s="3267"/>
      <c r="D315" s="3267"/>
      <c r="E315" s="3267"/>
      <c r="F315" s="3251">
        <v>0.05</v>
      </c>
      <c r="G315" s="3268"/>
    </row>
    <row r="316" spans="1:7">
      <c r="A316" s="3261" t="s">
        <v>306</v>
      </c>
      <c r="B316" s="3250" t="s">
        <v>3224</v>
      </c>
      <c r="C316" s="3262"/>
      <c r="D316" s="3262"/>
      <c r="E316" s="3262"/>
      <c r="F316" s="3251">
        <v>0.05</v>
      </c>
      <c r="G316" s="3268"/>
    </row>
    <row r="317" spans="1:7">
      <c r="A317" s="3261" t="s">
        <v>306</v>
      </c>
      <c r="B317" s="3250" t="s">
        <v>3225</v>
      </c>
      <c r="C317" s="3262"/>
      <c r="D317" s="3262"/>
      <c r="E317" s="3262"/>
      <c r="F317" s="3251">
        <v>0.05</v>
      </c>
      <c r="G317" s="3268"/>
    </row>
    <row r="318" spans="1:7">
      <c r="A318" s="3261" t="s">
        <v>306</v>
      </c>
      <c r="B318" s="3250" t="s">
        <v>3226</v>
      </c>
      <c r="C318" s="3262"/>
      <c r="D318" s="3262"/>
      <c r="E318" s="3262"/>
      <c r="F318" s="3251">
        <v>0.05</v>
      </c>
      <c r="G318" s="3268"/>
    </row>
    <row r="319" spans="1:7">
      <c r="A319" s="3261" t="s">
        <v>306</v>
      </c>
      <c r="B319" s="3250" t="s">
        <v>3227</v>
      </c>
      <c r="C319" s="3262"/>
      <c r="D319" s="3262"/>
      <c r="E319" s="3262"/>
      <c r="F319" s="3251">
        <v>0.05</v>
      </c>
      <c r="G319" s="3268"/>
    </row>
    <row r="320" spans="1:7">
      <c r="A320" s="3261" t="s">
        <v>306</v>
      </c>
      <c r="B320" s="3250" t="s">
        <v>3228</v>
      </c>
      <c r="C320" s="3262"/>
      <c r="D320" s="3262"/>
      <c r="E320" s="3262"/>
      <c r="F320" s="3251">
        <v>0.05</v>
      </c>
      <c r="G320" s="3268"/>
    </row>
    <row r="321" spans="1:7">
      <c r="A321" s="3261" t="s">
        <v>306</v>
      </c>
      <c r="B321" s="3250" t="s">
        <v>3229</v>
      </c>
      <c r="C321" s="3262"/>
      <c r="D321" s="3262"/>
      <c r="E321" s="3262"/>
      <c r="F321" s="3251">
        <v>0.05</v>
      </c>
      <c r="G321" s="3268"/>
    </row>
    <row r="322" spans="1:7">
      <c r="A322" s="3261" t="s">
        <v>306</v>
      </c>
      <c r="B322" s="3250" t="s">
        <v>3230</v>
      </c>
      <c r="C322" s="3262"/>
      <c r="D322" s="3262"/>
      <c r="E322" s="3262"/>
      <c r="F322" s="3251">
        <v>0.05</v>
      </c>
      <c r="G322" s="3268"/>
    </row>
    <row r="323" spans="1:7">
      <c r="A323" s="3261" t="s">
        <v>306</v>
      </c>
      <c r="B323" s="3250" t="s">
        <v>3231</v>
      </c>
      <c r="C323" s="3262"/>
      <c r="D323" s="3262"/>
      <c r="E323" s="3262"/>
      <c r="F323" s="3251">
        <v>0.05</v>
      </c>
      <c r="G323" s="3268"/>
    </row>
    <row r="324" spans="1:7">
      <c r="A324" s="3261" t="s">
        <v>306</v>
      </c>
      <c r="B324" s="3250" t="s">
        <v>3232</v>
      </c>
      <c r="C324" s="3262"/>
      <c r="D324" s="3262"/>
      <c r="E324" s="3262"/>
      <c r="F324" s="3251">
        <v>0.05</v>
      </c>
      <c r="G324" s="3268"/>
    </row>
    <row r="325" spans="1:7">
      <c r="A325" s="3261" t="s">
        <v>306</v>
      </c>
      <c r="B325" s="3250" t="s">
        <v>3233</v>
      </c>
      <c r="C325" s="3262"/>
      <c r="D325" s="3262"/>
      <c r="E325" s="3262"/>
      <c r="F325" s="3251">
        <v>0.05</v>
      </c>
      <c r="G325" s="3268"/>
    </row>
    <row r="326" spans="1:7" ht="14.25" thickBot="1">
      <c r="A326" s="3264" t="s">
        <v>306</v>
      </c>
      <c r="B326" s="3254" t="s">
        <v>3234</v>
      </c>
      <c r="C326" s="3256"/>
      <c r="D326" s="3256"/>
      <c r="E326" s="3256"/>
      <c r="F326" s="3255">
        <v>0.05</v>
      </c>
      <c r="G326" s="3269"/>
    </row>
    <row r="327" spans="1:7">
      <c r="A327" s="3260" t="s">
        <v>307</v>
      </c>
      <c r="B327" s="3246" t="s">
        <v>2866</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2878</v>
      </c>
      <c r="C329" s="3251">
        <v>0.15</v>
      </c>
      <c r="D329" s="3251">
        <v>0.15</v>
      </c>
      <c r="E329" s="3251">
        <v>0.15</v>
      </c>
      <c r="F329" s="3251">
        <v>0.15</v>
      </c>
      <c r="G329" s="3252">
        <v>0.15</v>
      </c>
    </row>
    <row r="330" spans="1:7">
      <c r="A330" s="3261" t="s">
        <v>307</v>
      </c>
      <c r="B330" s="3250" t="s">
        <v>2882</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2890</v>
      </c>
      <c r="C332" s="3251">
        <v>0.15</v>
      </c>
      <c r="D332" s="3251">
        <v>0.15</v>
      </c>
      <c r="E332" s="3251">
        <v>0.15</v>
      </c>
      <c r="F332" s="3251">
        <v>0.15</v>
      </c>
      <c r="G332" s="3252">
        <v>0.15</v>
      </c>
    </row>
    <row r="333" spans="1:7">
      <c r="A333" s="3261" t="s">
        <v>307</v>
      </c>
      <c r="B333" s="3250" t="s">
        <v>2894</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2900</v>
      </c>
      <c r="C336" s="3251">
        <v>0.15</v>
      </c>
      <c r="D336" s="3251">
        <v>0.15</v>
      </c>
      <c r="E336" s="3251">
        <v>0.15</v>
      </c>
      <c r="F336" s="3251">
        <v>0.14199999999999999</v>
      </c>
      <c r="G336" s="3252">
        <v>0.15</v>
      </c>
    </row>
    <row r="337" spans="1:7">
      <c r="A337" s="3261" t="s">
        <v>307</v>
      </c>
      <c r="B337" s="3250" t="s">
        <v>2905</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2912</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2917</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2925</v>
      </c>
      <c r="C345" s="3251">
        <v>0.15</v>
      </c>
      <c r="D345" s="3251">
        <v>0.15</v>
      </c>
      <c r="E345" s="3251">
        <v>0.15</v>
      </c>
      <c r="F345" s="3251">
        <v>0.13800000000000001</v>
      </c>
      <c r="G345" s="3252">
        <v>0.15</v>
      </c>
    </row>
    <row r="346" spans="1:7">
      <c r="A346" s="3261" t="s">
        <v>307</v>
      </c>
      <c r="B346" s="3250" t="s">
        <v>2927</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2934</v>
      </c>
      <c r="C348" s="3251">
        <v>0.15</v>
      </c>
      <c r="D348" s="3251">
        <v>0.15</v>
      </c>
      <c r="E348" s="3251">
        <v>0.15</v>
      </c>
      <c r="F348" s="3251">
        <v>0.14399999999999999</v>
      </c>
      <c r="G348" s="3252">
        <v>0.15</v>
      </c>
    </row>
    <row r="349" spans="1:7">
      <c r="A349" s="3261" t="s">
        <v>307</v>
      </c>
      <c r="B349" s="3250" t="s">
        <v>2939</v>
      </c>
      <c r="C349" s="3251">
        <v>0.15</v>
      </c>
      <c r="D349" s="3251">
        <v>0.15</v>
      </c>
      <c r="E349" s="3251">
        <v>0.15</v>
      </c>
      <c r="F349" s="3251">
        <v>0.15</v>
      </c>
      <c r="G349" s="3252">
        <v>0.15</v>
      </c>
    </row>
    <row r="350" spans="1:7">
      <c r="A350" s="3261" t="s">
        <v>307</v>
      </c>
      <c r="B350" s="3250" t="s">
        <v>2942</v>
      </c>
      <c r="C350" s="3251">
        <v>0.15</v>
      </c>
      <c r="D350" s="3251">
        <v>0.15</v>
      </c>
      <c r="E350" s="3251">
        <v>0.15</v>
      </c>
      <c r="F350" s="3251">
        <v>0.14699999999999999</v>
      </c>
      <c r="G350" s="3252">
        <v>0.15</v>
      </c>
    </row>
    <row r="351" spans="1:7">
      <c r="A351" s="3261" t="s">
        <v>307</v>
      </c>
      <c r="B351" s="3250" t="s">
        <v>2947</v>
      </c>
      <c r="C351" s="3251">
        <v>0.15</v>
      </c>
      <c r="D351" s="3251">
        <v>0.15</v>
      </c>
      <c r="E351" s="3251">
        <v>0.15</v>
      </c>
      <c r="F351" s="3251">
        <v>0.13</v>
      </c>
      <c r="G351" s="3252">
        <v>0.15</v>
      </c>
    </row>
    <row r="352" spans="1:7">
      <c r="A352" s="3261" t="s">
        <v>307</v>
      </c>
      <c r="B352" s="3250" t="s">
        <v>2952</v>
      </c>
      <c r="C352" s="3251">
        <v>0.15</v>
      </c>
      <c r="D352" s="3251">
        <v>0.15</v>
      </c>
      <c r="E352" s="3251">
        <v>0.15</v>
      </c>
      <c r="F352" s="3251">
        <v>0.14599999999999999</v>
      </c>
      <c r="G352" s="3252">
        <v>0.15</v>
      </c>
    </row>
    <row r="353" spans="1:7">
      <c r="A353" s="3261" t="s">
        <v>307</v>
      </c>
      <c r="B353" s="3250" t="s">
        <v>2959</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2972</v>
      </c>
      <c r="C355" s="3251">
        <v>0.15</v>
      </c>
      <c r="D355" s="3251">
        <v>0.15</v>
      </c>
      <c r="E355" s="3251">
        <v>0.15</v>
      </c>
      <c r="F355" s="3251">
        <v>0.15</v>
      </c>
      <c r="G355" s="3252">
        <v>0.15</v>
      </c>
    </row>
    <row r="356" spans="1:7">
      <c r="A356" s="3261" t="s">
        <v>307</v>
      </c>
      <c r="B356" s="3250" t="s">
        <v>2979</v>
      </c>
      <c r="C356" s="3251">
        <v>0.15</v>
      </c>
      <c r="D356" s="3251">
        <v>0.15</v>
      </c>
      <c r="E356" s="3251">
        <v>0.15</v>
      </c>
      <c r="F356" s="3251">
        <v>0.15</v>
      </c>
      <c r="G356" s="3252">
        <v>0.15</v>
      </c>
    </row>
    <row r="357" spans="1:7" ht="14.25" thickBot="1">
      <c r="A357" s="3264" t="s">
        <v>307</v>
      </c>
      <c r="B357" s="3254" t="s">
        <v>2984</v>
      </c>
      <c r="C357" s="3255">
        <v>0.126</v>
      </c>
      <c r="D357" s="3255">
        <v>0.127</v>
      </c>
      <c r="E357" s="3255">
        <v>0.14299999999999999</v>
      </c>
      <c r="F357" s="3255">
        <v>0.125</v>
      </c>
      <c r="G357" s="3257">
        <v>0.129</v>
      </c>
    </row>
    <row r="358" spans="1:7">
      <c r="A358" s="3260" t="s">
        <v>2853</v>
      </c>
      <c r="B358" s="3246" t="s">
        <v>2867</v>
      </c>
      <c r="C358" s="3247">
        <v>0.15</v>
      </c>
      <c r="D358" s="3247">
        <v>0.15</v>
      </c>
      <c r="E358" s="3247">
        <v>0.15</v>
      </c>
      <c r="F358" s="3247">
        <v>0.15</v>
      </c>
      <c r="G358" s="3248">
        <v>0.15</v>
      </c>
    </row>
    <row r="359" spans="1:7">
      <c r="A359" s="3261" t="s">
        <v>2853</v>
      </c>
      <c r="B359" s="3250" t="s">
        <v>2873</v>
      </c>
      <c r="C359" s="3251">
        <v>0.1</v>
      </c>
      <c r="D359" s="3251">
        <v>0.1</v>
      </c>
      <c r="E359" s="3251">
        <v>0.1</v>
      </c>
      <c r="F359" s="3251">
        <v>0.1</v>
      </c>
      <c r="G359" s="3252">
        <v>0.1</v>
      </c>
    </row>
    <row r="360" spans="1:7">
      <c r="A360" s="3261" t="s">
        <v>2853</v>
      </c>
      <c r="B360" s="3250" t="s">
        <v>2879</v>
      </c>
      <c r="C360" s="3251">
        <v>0.15</v>
      </c>
      <c r="D360" s="3251">
        <v>0.15</v>
      </c>
      <c r="E360" s="3251">
        <v>0.15</v>
      </c>
      <c r="F360" s="3251">
        <v>0.14899999999999999</v>
      </c>
      <c r="G360" s="3252">
        <v>0.15</v>
      </c>
    </row>
    <row r="361" spans="1:7">
      <c r="A361" s="3261" t="s">
        <v>2853</v>
      </c>
      <c r="B361" s="3250" t="s">
        <v>153</v>
      </c>
      <c r="C361" s="3251">
        <v>0.15</v>
      </c>
      <c r="D361" s="3251">
        <v>0.15</v>
      </c>
      <c r="E361" s="3251">
        <v>0.15</v>
      </c>
      <c r="F361" s="3251">
        <v>0.115</v>
      </c>
      <c r="G361" s="3252">
        <v>0.15</v>
      </c>
    </row>
    <row r="362" spans="1:7">
      <c r="A362" s="3261" t="s">
        <v>2853</v>
      </c>
      <c r="B362" s="3250" t="s">
        <v>2886</v>
      </c>
      <c r="C362" s="3251">
        <v>0.15</v>
      </c>
      <c r="D362" s="3251">
        <v>0.15</v>
      </c>
      <c r="E362" s="3251">
        <v>0.15</v>
      </c>
      <c r="F362" s="3251">
        <v>0.106</v>
      </c>
      <c r="G362" s="3252">
        <v>0.15</v>
      </c>
    </row>
    <row r="363" spans="1:7">
      <c r="A363" s="3261" t="s">
        <v>2853</v>
      </c>
      <c r="B363" s="3250" t="s">
        <v>2891</v>
      </c>
      <c r="C363" s="3251">
        <v>0.15</v>
      </c>
      <c r="D363" s="3251">
        <v>0.15</v>
      </c>
      <c r="E363" s="3251">
        <v>0.15</v>
      </c>
      <c r="F363" s="3251">
        <v>0.14699999999999999</v>
      </c>
      <c r="G363" s="3252">
        <v>0.15</v>
      </c>
    </row>
    <row r="364" spans="1:7">
      <c r="A364" s="3261" t="s">
        <v>2853</v>
      </c>
      <c r="B364" s="3250" t="s">
        <v>2895</v>
      </c>
      <c r="C364" s="3251">
        <v>0.15</v>
      </c>
      <c r="D364" s="3251">
        <v>0.15</v>
      </c>
      <c r="E364" s="3251">
        <v>0.15</v>
      </c>
      <c r="F364" s="3251">
        <v>0.14799999999999999</v>
      </c>
      <c r="G364" s="3252">
        <v>0.15</v>
      </c>
    </row>
    <row r="365" spans="1:7">
      <c r="A365" s="3261" t="s">
        <v>2853</v>
      </c>
      <c r="B365" s="3250" t="s">
        <v>200</v>
      </c>
      <c r="C365" s="3251">
        <v>0.15</v>
      </c>
      <c r="D365" s="3251">
        <v>0.15</v>
      </c>
      <c r="E365" s="3251">
        <v>0.15</v>
      </c>
      <c r="F365" s="3251">
        <v>0.15</v>
      </c>
      <c r="G365" s="3252">
        <v>0.15</v>
      </c>
    </row>
    <row r="366" spans="1:7">
      <c r="A366" s="3261" t="s">
        <v>2853</v>
      </c>
      <c r="B366" s="3250" t="s">
        <v>2898</v>
      </c>
      <c r="C366" s="3251">
        <v>0.15</v>
      </c>
      <c r="D366" s="3251">
        <v>0.15</v>
      </c>
      <c r="E366" s="3251">
        <v>0.15</v>
      </c>
      <c r="F366" s="3251">
        <v>0.15</v>
      </c>
      <c r="G366" s="3252">
        <v>0.15</v>
      </c>
    </row>
    <row r="367" spans="1:7">
      <c r="A367" s="3261" t="s">
        <v>2853</v>
      </c>
      <c r="B367" s="3250" t="s">
        <v>2901</v>
      </c>
      <c r="C367" s="3251">
        <v>0.15</v>
      </c>
      <c r="D367" s="3251">
        <v>0.15</v>
      </c>
      <c r="E367" s="3251">
        <v>0.15</v>
      </c>
      <c r="F367" s="3251">
        <v>0.14699999999999999</v>
      </c>
      <c r="G367" s="3252">
        <v>0.15</v>
      </c>
    </row>
    <row r="368" spans="1:7">
      <c r="A368" s="3261" t="s">
        <v>2853</v>
      </c>
      <c r="B368" s="3250" t="s">
        <v>2906</v>
      </c>
      <c r="C368" s="3251">
        <v>0.15</v>
      </c>
      <c r="D368" s="3251">
        <v>0.15</v>
      </c>
      <c r="E368" s="3251">
        <v>0.15</v>
      </c>
      <c r="F368" s="3251">
        <v>0.13600000000000001</v>
      </c>
      <c r="G368" s="3252">
        <v>0.15</v>
      </c>
    </row>
    <row r="369" spans="1:7">
      <c r="A369" s="3261" t="s">
        <v>2853</v>
      </c>
      <c r="B369" s="3250" t="s">
        <v>214</v>
      </c>
      <c r="C369" s="3251">
        <v>0.15</v>
      </c>
      <c r="D369" s="3251">
        <v>0.15</v>
      </c>
      <c r="E369" s="3251">
        <v>0.15</v>
      </c>
      <c r="F369" s="3251">
        <v>0.14399999999999999</v>
      </c>
      <c r="G369" s="3252">
        <v>0.15</v>
      </c>
    </row>
    <row r="370" spans="1:7">
      <c r="A370" s="3261" t="s">
        <v>2853</v>
      </c>
      <c r="B370" s="3250" t="s">
        <v>221</v>
      </c>
      <c r="C370" s="3251">
        <v>0.15</v>
      </c>
      <c r="D370" s="3251">
        <v>0.15</v>
      </c>
      <c r="E370" s="3251">
        <v>0.15</v>
      </c>
      <c r="F370" s="3251">
        <v>0.14599999999999999</v>
      </c>
      <c r="G370" s="3252">
        <v>0.15</v>
      </c>
    </row>
    <row r="371" spans="1:7">
      <c r="A371" s="3261" t="s">
        <v>2853</v>
      </c>
      <c r="B371" s="3250" t="s">
        <v>229</v>
      </c>
      <c r="C371" s="3251">
        <v>0.15</v>
      </c>
      <c r="D371" s="3251">
        <v>0.15</v>
      </c>
      <c r="E371" s="3251">
        <v>0.15</v>
      </c>
      <c r="F371" s="3251">
        <v>0.12</v>
      </c>
      <c r="G371" s="3252">
        <v>0.15</v>
      </c>
    </row>
    <row r="372" spans="1:7">
      <c r="A372" s="3261" t="s">
        <v>2853</v>
      </c>
      <c r="B372" s="3250" t="s">
        <v>2914</v>
      </c>
      <c r="C372" s="3251">
        <v>0.15</v>
      </c>
      <c r="D372" s="3251">
        <v>0.15</v>
      </c>
      <c r="E372" s="3251">
        <v>0.15</v>
      </c>
      <c r="F372" s="3251">
        <v>0.14299999999999999</v>
      </c>
      <c r="G372" s="3252">
        <v>0.15</v>
      </c>
    </row>
    <row r="373" spans="1:7">
      <c r="A373" s="3261" t="s">
        <v>2853</v>
      </c>
      <c r="B373" s="3250" t="s">
        <v>258</v>
      </c>
      <c r="C373" s="3251">
        <v>0.15</v>
      </c>
      <c r="D373" s="3251">
        <v>0.15</v>
      </c>
      <c r="E373" s="3251">
        <v>0.15</v>
      </c>
      <c r="F373" s="3251">
        <v>0.14599999999999999</v>
      </c>
      <c r="G373" s="3252">
        <v>0.15</v>
      </c>
    </row>
    <row r="374" spans="1:7">
      <c r="A374" s="3261" t="s">
        <v>2853</v>
      </c>
      <c r="B374" s="3250" t="s">
        <v>266</v>
      </c>
      <c r="C374" s="3251">
        <v>0.15</v>
      </c>
      <c r="D374" s="3251">
        <v>0.15</v>
      </c>
      <c r="E374" s="3251">
        <v>0.15</v>
      </c>
      <c r="F374" s="3251">
        <v>0.14399999999999999</v>
      </c>
      <c r="G374" s="3252">
        <v>0.15</v>
      </c>
    </row>
    <row r="375" spans="1:7">
      <c r="A375" s="3261" t="s">
        <v>2853</v>
      </c>
      <c r="B375" s="3250" t="s">
        <v>2922</v>
      </c>
      <c r="C375" s="3251">
        <v>0.15</v>
      </c>
      <c r="D375" s="3251">
        <v>0.15</v>
      </c>
      <c r="E375" s="3251">
        <v>0.15</v>
      </c>
      <c r="F375" s="3251">
        <v>0.13</v>
      </c>
      <c r="G375" s="3252">
        <v>0.15</v>
      </c>
    </row>
    <row r="376" spans="1:7">
      <c r="A376" s="3261" t="s">
        <v>2853</v>
      </c>
      <c r="B376" s="3250" t="s">
        <v>277</v>
      </c>
      <c r="C376" s="3251">
        <v>0.15</v>
      </c>
      <c r="D376" s="3251">
        <v>0.15</v>
      </c>
      <c r="E376" s="3251">
        <v>0.15</v>
      </c>
      <c r="F376" s="3251">
        <v>0.14199999999999999</v>
      </c>
      <c r="G376" s="3252">
        <v>0.15</v>
      </c>
    </row>
    <row r="377" spans="1:7" ht="14.25" thickBot="1">
      <c r="A377" s="3264" t="s">
        <v>2853</v>
      </c>
      <c r="B377" s="3254" t="s">
        <v>2928</v>
      </c>
      <c r="C377" s="3255">
        <v>0.15</v>
      </c>
      <c r="D377" s="3255">
        <v>0.15</v>
      </c>
      <c r="E377" s="3255">
        <v>0.15</v>
      </c>
      <c r="F377" s="3255">
        <v>0.14000000000000001</v>
      </c>
      <c r="G377" s="3257">
        <v>0.15</v>
      </c>
    </row>
    <row r="378" spans="1:7">
      <c r="A378" s="3260" t="s">
        <v>2854</v>
      </c>
      <c r="B378" s="3246" t="s">
        <v>2868</v>
      </c>
      <c r="C378" s="3247">
        <v>0.15</v>
      </c>
      <c r="D378" s="3247">
        <v>0.15</v>
      </c>
      <c r="E378" s="3247">
        <v>0.15</v>
      </c>
      <c r="F378" s="3247">
        <v>0.107</v>
      </c>
      <c r="G378" s="3248">
        <v>0.15</v>
      </c>
    </row>
    <row r="379" spans="1:7">
      <c r="A379" s="3261" t="s">
        <v>2854</v>
      </c>
      <c r="B379" s="3250" t="s">
        <v>2874</v>
      </c>
      <c r="C379" s="3251">
        <v>0.15</v>
      </c>
      <c r="D379" s="3251">
        <v>0.15</v>
      </c>
      <c r="E379" s="3251">
        <v>0.15</v>
      </c>
      <c r="F379" s="3251">
        <v>0.115</v>
      </c>
      <c r="G379" s="3252">
        <v>0.14899999999999999</v>
      </c>
    </row>
    <row r="380" spans="1:7">
      <c r="A380" s="3261" t="s">
        <v>2854</v>
      </c>
      <c r="B380" s="3250" t="s">
        <v>2880</v>
      </c>
      <c r="C380" s="3251">
        <v>0.15</v>
      </c>
      <c r="D380" s="3251">
        <v>0.15</v>
      </c>
      <c r="E380" s="3251">
        <v>0.15</v>
      </c>
      <c r="F380" s="3251">
        <v>0.1</v>
      </c>
      <c r="G380" s="3252">
        <v>0.14799999999999999</v>
      </c>
    </row>
    <row r="381" spans="1:7">
      <c r="A381" s="3261" t="s">
        <v>2854</v>
      </c>
      <c r="B381" s="3250" t="s">
        <v>2883</v>
      </c>
      <c r="C381" s="3251">
        <v>0.15</v>
      </c>
      <c r="D381" s="3251">
        <v>0.15</v>
      </c>
      <c r="E381" s="3251">
        <v>0.15</v>
      </c>
      <c r="F381" s="3251">
        <v>0.126</v>
      </c>
      <c r="G381" s="3252">
        <v>0.15</v>
      </c>
    </row>
    <row r="382" spans="1:7">
      <c r="A382" s="3261" t="s">
        <v>2854</v>
      </c>
      <c r="B382" s="3250" t="s">
        <v>2887</v>
      </c>
      <c r="C382" s="3251">
        <v>0.15</v>
      </c>
      <c r="D382" s="3251">
        <v>0.15</v>
      </c>
      <c r="E382" s="3251">
        <v>0.15</v>
      </c>
      <c r="F382" s="3251">
        <v>0.15</v>
      </c>
      <c r="G382" s="3252">
        <v>0.15</v>
      </c>
    </row>
    <row r="383" spans="1:7">
      <c r="A383" s="3261" t="s">
        <v>2854</v>
      </c>
      <c r="B383" s="3250" t="s">
        <v>2892</v>
      </c>
      <c r="C383" s="3251">
        <v>0.15</v>
      </c>
      <c r="D383" s="3251">
        <v>0.15</v>
      </c>
      <c r="E383" s="3251">
        <v>0.15</v>
      </c>
      <c r="F383" s="3251">
        <v>0.14699999999999999</v>
      </c>
      <c r="G383" s="3252">
        <v>0.15</v>
      </c>
    </row>
    <row r="384" spans="1:7" ht="14.25" thickBot="1">
      <c r="A384" s="3271" t="s">
        <v>2854</v>
      </c>
      <c r="B384" s="3272" t="s">
        <v>2896</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6"/>
  </cols>
  <sheetData>
    <row r="1" spans="1:6">
      <c r="A1" s="4018" t="s">
        <v>3235</v>
      </c>
      <c r="B1" s="4018"/>
      <c r="C1" s="4018"/>
      <c r="D1" s="4018"/>
      <c r="E1" s="4018"/>
      <c r="F1" s="4019"/>
    </row>
    <row r="2" spans="1:6">
      <c r="A2" s="3277" t="s">
        <v>3236</v>
      </c>
      <c r="B2" s="3278"/>
      <c r="C2" s="3278"/>
      <c r="D2" s="3278"/>
      <c r="E2" s="3278"/>
      <c r="F2" s="3278"/>
    </row>
    <row r="3" spans="1:6">
      <c r="A3" s="3277" t="s">
        <v>3237</v>
      </c>
      <c r="B3" s="3278"/>
      <c r="C3" s="3278"/>
      <c r="D3" s="3278"/>
      <c r="E3" s="3278"/>
      <c r="F3" s="3279" t="s">
        <v>3238</v>
      </c>
    </row>
    <row r="4" spans="1:6">
      <c r="A4" s="3280" t="s">
        <v>672</v>
      </c>
      <c r="B4" s="3280" t="s">
        <v>673</v>
      </c>
      <c r="C4" s="3280" t="s">
        <v>21</v>
      </c>
      <c r="D4" s="3280" t="s">
        <v>674</v>
      </c>
      <c r="E4" s="3280" t="s">
        <v>3</v>
      </c>
      <c r="F4" s="3280" t="s">
        <v>3239</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39" sqref="I39"/>
    </sheetView>
  </sheetViews>
  <sheetFormatPr defaultRowHeight="13.5"/>
  <cols>
    <col min="1" max="1" width="13.875" customWidth="1"/>
    <col min="11" max="17" width="0" hidden="1" customWidth="1"/>
    <col min="25" max="30" width="0" hidden="1" customWidth="1"/>
  </cols>
  <sheetData>
    <row r="1" spans="1:30">
      <c r="A1" s="3207">
        <f>基准地价修正!G23</f>
        <v>44999</v>
      </c>
      <c r="B1" s="3196" t="s">
        <v>2841</v>
      </c>
      <c r="C1" s="3197"/>
      <c r="D1" s="3197"/>
      <c r="E1" s="3197"/>
      <c r="F1" s="3197"/>
      <c r="G1" s="3197"/>
      <c r="H1" s="3197"/>
      <c r="I1" s="3197"/>
      <c r="J1" s="3151"/>
      <c r="K1" s="3197" t="s">
        <v>454</v>
      </c>
      <c r="L1" s="3197"/>
      <c r="M1" s="3197"/>
      <c r="N1" s="3197"/>
      <c r="O1" s="3197"/>
      <c r="P1" s="3197"/>
      <c r="Q1" s="3151"/>
      <c r="R1" s="4020" t="s">
        <v>456</v>
      </c>
      <c r="S1" s="4021"/>
      <c r="T1" s="4021"/>
      <c r="U1" s="4021"/>
      <c r="V1" s="4021"/>
      <c r="W1" s="4021"/>
      <c r="X1" s="3151"/>
      <c r="Y1" s="4020" t="s">
        <v>457</v>
      </c>
      <c r="Z1" s="4021"/>
      <c r="AA1" s="4021"/>
      <c r="AB1" s="4021"/>
      <c r="AC1" s="4021"/>
      <c r="AD1" s="4021"/>
    </row>
    <row r="2" spans="1:30" s="3129" customFormat="1" ht="14.25" thickBot="1">
      <c r="B2" s="3130"/>
      <c r="C2" s="3131"/>
      <c r="D2" s="3132" t="s">
        <v>2809</v>
      </c>
      <c r="E2" s="3133" t="s">
        <v>2810</v>
      </c>
      <c r="F2" s="3133" t="s">
        <v>2811</v>
      </c>
      <c r="G2" s="3133" t="s">
        <v>2812</v>
      </c>
      <c r="H2" s="3133" t="s">
        <v>2813</v>
      </c>
      <c r="I2" s="3133" t="s">
        <v>2630</v>
      </c>
      <c r="J2" s="3134"/>
      <c r="K2" s="3132" t="s">
        <v>2809</v>
      </c>
      <c r="L2" s="3133" t="s">
        <v>2810</v>
      </c>
      <c r="M2" s="3133" t="s">
        <v>2811</v>
      </c>
      <c r="N2" s="3133" t="s">
        <v>2812</v>
      </c>
      <c r="O2" s="3133" t="s">
        <v>2814</v>
      </c>
      <c r="P2" s="3133" t="s">
        <v>2630</v>
      </c>
      <c r="Q2" s="3134"/>
      <c r="R2" s="3132" t="s">
        <v>2809</v>
      </c>
      <c r="S2" s="3133" t="s">
        <v>2810</v>
      </c>
      <c r="T2" s="3133" t="s">
        <v>2811</v>
      </c>
      <c r="U2" s="3133" t="s">
        <v>2815</v>
      </c>
      <c r="V2" s="3133" t="s">
        <v>2816</v>
      </c>
      <c r="W2" s="3133" t="s">
        <v>2630</v>
      </c>
      <c r="X2" s="3134"/>
      <c r="Y2" s="3132" t="s">
        <v>2809</v>
      </c>
      <c r="Z2" s="3133" t="s">
        <v>2810</v>
      </c>
      <c r="AA2" s="3133" t="s">
        <v>2811</v>
      </c>
      <c r="AB2" s="3133" t="s">
        <v>2817</v>
      </c>
      <c r="AC2" s="3133" t="s">
        <v>2816</v>
      </c>
      <c r="AD2" s="3133" t="s">
        <v>2630</v>
      </c>
    </row>
    <row r="3" spans="1:30" s="3147" customFormat="1" ht="12.75">
      <c r="A3" s="3135" t="s">
        <v>2818</v>
      </c>
      <c r="B3" s="3136"/>
      <c r="C3" s="3137"/>
      <c r="D3" s="3137">
        <f>ROUND(AVERAGEIF(D4:D16,"&lt;&gt;0"),2)</f>
        <v>0.81</v>
      </c>
      <c r="E3" s="3137">
        <f t="shared" ref="E3:H3" si="0">ROUND(AVERAGEIF(E4:E16,"&lt;&gt;0"),2)</f>
        <v>0.33</v>
      </c>
      <c r="F3" s="3137">
        <f t="shared" si="0"/>
        <v>0.15</v>
      </c>
      <c r="G3" s="3137">
        <f t="shared" si="0"/>
        <v>0.89</v>
      </c>
      <c r="H3" s="3137">
        <f t="shared" si="0"/>
        <v>0.66</v>
      </c>
      <c r="I3" s="3137">
        <f>F3</f>
        <v>0.15</v>
      </c>
      <c r="J3" s="3138"/>
      <c r="K3" s="3139">
        <f>ROUND(AVERAGEIF(K4:K16,"&lt;&gt;0"),4)</f>
        <v>8.0999999999999996E-3</v>
      </c>
      <c r="L3" s="3140">
        <f t="shared" ref="L3:O3" si="1">ROUND(AVERAGEIF(L4:L16,"&lt;&gt;0"),4)</f>
        <v>3.3E-3</v>
      </c>
      <c r="M3" s="3140">
        <f t="shared" si="1"/>
        <v>1.5E-3</v>
      </c>
      <c r="N3" s="3140">
        <f t="shared" si="1"/>
        <v>8.8999999999999999E-3</v>
      </c>
      <c r="O3" s="3140">
        <f t="shared" si="1"/>
        <v>6.6E-3</v>
      </c>
      <c r="P3" s="3140">
        <f>M3</f>
        <v>1.5E-3</v>
      </c>
      <c r="Q3" s="3138"/>
      <c r="R3" s="3141">
        <f>ROUND(SUMPRODUCT(PRODUCT(1+K4:K16)),4)</f>
        <v>1.0668</v>
      </c>
      <c r="S3" s="3142">
        <f t="shared" ref="S3:V3" si="2">ROUND(SUMPRODUCT(PRODUCT(1+L4:L16)),4)</f>
        <v>1.0266999999999999</v>
      </c>
      <c r="T3" s="3142">
        <f t="shared" si="2"/>
        <v>1.0119</v>
      </c>
      <c r="U3" s="3142">
        <f t="shared" si="2"/>
        <v>1.0734999999999999</v>
      </c>
      <c r="V3" s="3142">
        <f t="shared" si="2"/>
        <v>1.054</v>
      </c>
      <c r="W3" s="3141">
        <f>T3</f>
        <v>1.0119</v>
      </c>
      <c r="X3" s="3138"/>
      <c r="Y3" s="3143">
        <f>ROUND(AVERAGEIF(Y5:Y16,"&lt;&gt;0"),4)</f>
        <v>8.6999999999999994E-3</v>
      </c>
      <c r="Z3" s="3144">
        <f t="shared" ref="Z3:AC3" si="3">ROUND(AVERAGEIF(Z5:Z16,"&lt;&gt;0"),4)</f>
        <v>3.5000000000000001E-3</v>
      </c>
      <c r="AA3" s="3145">
        <f t="shared" si="3"/>
        <v>8.9999999999999998E-4</v>
      </c>
      <c r="AB3" s="3143">
        <f t="shared" si="3"/>
        <v>9.4999999999999998E-3</v>
      </c>
      <c r="AC3" s="3146">
        <f t="shared" si="3"/>
        <v>6.1000000000000004E-3</v>
      </c>
      <c r="AD3" s="3143">
        <f>AA3</f>
        <v>8.9999999999999998E-4</v>
      </c>
    </row>
    <row r="4" spans="1:30" s="3148" customFormat="1" ht="12.75">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2.75">
      <c r="A5" s="3162" t="s">
        <v>3372</v>
      </c>
      <c r="B5" s="3163">
        <v>2023</v>
      </c>
      <c r="C5" s="3164">
        <v>4</v>
      </c>
      <c r="D5" s="3165">
        <v>0</v>
      </c>
      <c r="E5" s="3165">
        <v>0</v>
      </c>
      <c r="F5" s="3165">
        <v>0</v>
      </c>
      <c r="G5" s="3165">
        <v>0</v>
      </c>
      <c r="H5" s="3165">
        <v>0</v>
      </c>
      <c r="I5" s="3166">
        <f t="shared" ref="I5:I16" si="4">F5</f>
        <v>0</v>
      </c>
      <c r="J5" s="3167"/>
      <c r="K5" s="3168">
        <f t="shared" ref="K5:O16" si="5">D5/100</f>
        <v>0</v>
      </c>
      <c r="L5" s="3158">
        <f t="shared" si="5"/>
        <v>0</v>
      </c>
      <c r="M5" s="3158">
        <f t="shared" si="5"/>
        <v>0</v>
      </c>
      <c r="N5" s="3158">
        <f t="shared" si="5"/>
        <v>0</v>
      </c>
      <c r="O5" s="3158">
        <f t="shared" si="5"/>
        <v>0</v>
      </c>
      <c r="P5" s="3158">
        <f>M5</f>
        <v>0</v>
      </c>
      <c r="Q5" s="3167"/>
      <c r="R5" s="3169">
        <f>ROUND(IF(项目基本情况!$B$8="出让",SUMPRODUCT(PRODUCT(1+K5:$K$16)),SUMPRODUCT(PRODUCT(1+K5:$K$15))),4)</f>
        <v>1.0565</v>
      </c>
      <c r="S5" s="3169">
        <f>ROUND(IF(项目基本情况!$B$8="出让",SUMPRODUCT(PRODUCT(1+L5:$L$16)),SUMPRODUCT(PRODUCT(1+L5:$L$15))),4)</f>
        <v>1.0250999999999999</v>
      </c>
      <c r="T5" s="3169">
        <f>ROUND(IF(项目基本情况!$B$8="出让",SUMPRODUCT(PRODUCT(1+M5:$M$16)),SUMPRODUCT(PRODUCT(1+M5:$M$15))),4)</f>
        <v>1.0145</v>
      </c>
      <c r="U5" s="3169">
        <f>ROUND(IF(项目基本情况!$B$8="出让",SUMPRODUCT(PRODUCT(1+N5:$N$16)),SUMPRODUCT(PRODUCT(1+N5:$N$15))),4)</f>
        <v>1.0618000000000001</v>
      </c>
      <c r="V5" s="3169">
        <f>ROUND(IF(项目基本情况!$B$8="出让",SUMPRODUCT(PRODUCT(1+O5:$O$16)),SUMPRODUCT(PRODUCT(1+O5:$O$15))),4)</f>
        <v>1.0502</v>
      </c>
      <c r="W5" s="3169">
        <f>T5</f>
        <v>1.0145</v>
      </c>
      <c r="X5" s="3167"/>
      <c r="Y5" s="3170">
        <f>IF(D5=0,0,ROUND(AVERAGE(D5:D16)/100,4))</f>
        <v>0</v>
      </c>
      <c r="Z5" s="3170">
        <f t="shared" ref="Z5:AC5" si="6">IF(E5=0,0,ROUND(AVERAGE(E5:E16)/100,4))</f>
        <v>0</v>
      </c>
      <c r="AA5" s="3170">
        <f t="shared" si="6"/>
        <v>0</v>
      </c>
      <c r="AB5" s="3170">
        <f t="shared" si="6"/>
        <v>0</v>
      </c>
      <c r="AC5" s="3170">
        <f t="shared" si="6"/>
        <v>0</v>
      </c>
      <c r="AD5" s="3170">
        <f t="shared" ref="AD5:AD15" si="7">AA5</f>
        <v>0</v>
      </c>
    </row>
    <row r="6" spans="1:30" s="3171" customFormat="1" ht="12.75">
      <c r="A6" s="3162" t="s">
        <v>3373</v>
      </c>
      <c r="B6" s="3163">
        <v>2023</v>
      </c>
      <c r="C6" s="3164">
        <v>3</v>
      </c>
      <c r="D6" s="3165">
        <v>0</v>
      </c>
      <c r="E6" s="3165">
        <v>0</v>
      </c>
      <c r="F6" s="3165">
        <v>0</v>
      </c>
      <c r="G6" s="3165">
        <v>0</v>
      </c>
      <c r="H6" s="3165">
        <v>0</v>
      </c>
      <c r="I6" s="3166">
        <f t="shared" si="4"/>
        <v>0</v>
      </c>
      <c r="J6" s="3167"/>
      <c r="K6" s="3168">
        <f t="shared" ref="K6:K8" si="8">D6/100</f>
        <v>0</v>
      </c>
      <c r="L6" s="3158">
        <f t="shared" ref="L6:L8" si="9">E6/100</f>
        <v>0</v>
      </c>
      <c r="M6" s="3158">
        <f t="shared" ref="M6:M8" si="10">F6/100</f>
        <v>0</v>
      </c>
      <c r="N6" s="3158">
        <f t="shared" ref="N6:N8" si="11">G6/100</f>
        <v>0</v>
      </c>
      <c r="O6" s="3158">
        <f t="shared" ref="O6:O8" si="12">H6/100</f>
        <v>0</v>
      </c>
      <c r="P6" s="3158">
        <f t="shared" ref="P6:P8" si="13">M6</f>
        <v>0</v>
      </c>
      <c r="Q6" s="3167"/>
      <c r="R6" s="3169">
        <f>ROUND(IF(项目基本情况!$B$8="出让",SUMPRODUCT(PRODUCT(1+K6:$K$16)),SUMPRODUCT(PRODUCT(1+K6:$K$15))),4)</f>
        <v>1.0565</v>
      </c>
      <c r="S6" s="3169">
        <f>ROUND(IF(项目基本情况!$B$8="出让",SUMPRODUCT(PRODUCT(1+L6:$L$16)),SUMPRODUCT(PRODUCT(1+L6:$L$15))),4)</f>
        <v>1.0250999999999999</v>
      </c>
      <c r="T6" s="3169">
        <f>ROUND(IF(项目基本情况!$B$8="出让",SUMPRODUCT(PRODUCT(1+M6:$M$16)),SUMPRODUCT(PRODUCT(1+M6:$M$15))),4)</f>
        <v>1.0145</v>
      </c>
      <c r="U6" s="3169">
        <f>ROUND(IF(项目基本情况!$B$8="出让",SUMPRODUCT(PRODUCT(1+N6:$N$16)),SUMPRODUCT(PRODUCT(1+N6:$N$15))),4)</f>
        <v>1.0618000000000001</v>
      </c>
      <c r="V6" s="3169">
        <f>ROUND(IF(项目基本情况!$B$8="出让",SUMPRODUCT(PRODUCT(1+O6:$O$16)),SUMPRODUCT(PRODUCT(1+O6:$O$15))),4)</f>
        <v>1.0502</v>
      </c>
      <c r="W6" s="3169">
        <f t="shared" ref="W6:W8" si="14">T6</f>
        <v>1.0145</v>
      </c>
      <c r="X6" s="3167"/>
      <c r="Y6" s="3170"/>
      <c r="Z6" s="3170"/>
      <c r="AA6" s="3170"/>
      <c r="AB6" s="3170"/>
      <c r="AC6" s="3170"/>
      <c r="AD6" s="3170"/>
    </row>
    <row r="7" spans="1:30" s="3171" customFormat="1" ht="12.75">
      <c r="A7" s="3162" t="s">
        <v>3371</v>
      </c>
      <c r="B7" s="3163">
        <v>2023</v>
      </c>
      <c r="C7" s="3164">
        <v>2</v>
      </c>
      <c r="D7" s="3165">
        <v>0</v>
      </c>
      <c r="E7" s="3165">
        <v>0</v>
      </c>
      <c r="F7" s="3165">
        <v>0</v>
      </c>
      <c r="G7" s="3165">
        <v>0</v>
      </c>
      <c r="H7" s="3165">
        <v>0</v>
      </c>
      <c r="I7" s="3166">
        <f t="shared" si="4"/>
        <v>0</v>
      </c>
      <c r="J7" s="3167"/>
      <c r="K7" s="3168">
        <f t="shared" si="8"/>
        <v>0</v>
      </c>
      <c r="L7" s="3158">
        <f t="shared" si="9"/>
        <v>0</v>
      </c>
      <c r="M7" s="3158">
        <f t="shared" si="10"/>
        <v>0</v>
      </c>
      <c r="N7" s="3158">
        <f t="shared" si="11"/>
        <v>0</v>
      </c>
      <c r="O7" s="3158">
        <f t="shared" si="12"/>
        <v>0</v>
      </c>
      <c r="P7" s="3158">
        <f t="shared" si="13"/>
        <v>0</v>
      </c>
      <c r="Q7" s="3167"/>
      <c r="R7" s="3169">
        <f>ROUND(IF(项目基本情况!$B$8="出让",SUMPRODUCT(PRODUCT(1+K7:$K$16)),SUMPRODUCT(PRODUCT(1+K7:$K$15))),4)</f>
        <v>1.0565</v>
      </c>
      <c r="S7" s="3169">
        <f>ROUND(IF(项目基本情况!$B$8="出让",SUMPRODUCT(PRODUCT(1+L7:$L$16)),SUMPRODUCT(PRODUCT(1+L7:$L$15))),4)</f>
        <v>1.0250999999999999</v>
      </c>
      <c r="T7" s="3169">
        <f>ROUND(IF(项目基本情况!$B$8="出让",SUMPRODUCT(PRODUCT(1+M7:$M$16)),SUMPRODUCT(PRODUCT(1+M7:$M$15))),4)</f>
        <v>1.0145</v>
      </c>
      <c r="U7" s="3169">
        <f>ROUND(IF(项目基本情况!$B$8="出让",SUMPRODUCT(PRODUCT(1+N7:$N$16)),SUMPRODUCT(PRODUCT(1+N7:$N$15))),4)</f>
        <v>1.0618000000000001</v>
      </c>
      <c r="V7" s="3169">
        <f>ROUND(IF(项目基本情况!$B$8="出让",SUMPRODUCT(PRODUCT(1+O7:$O$16)),SUMPRODUCT(PRODUCT(1+O7:$O$15))),4)</f>
        <v>1.0502</v>
      </c>
      <c r="W7" s="3169">
        <f t="shared" si="14"/>
        <v>1.0145</v>
      </c>
      <c r="X7" s="3167"/>
      <c r="Y7" s="3170"/>
      <c r="Z7" s="3170"/>
      <c r="AA7" s="3170"/>
      <c r="AB7" s="3170"/>
      <c r="AC7" s="3170"/>
      <c r="AD7" s="3170"/>
    </row>
    <row r="8" spans="1:30" s="3171" customFormat="1" ht="12.75">
      <c r="A8" s="3162" t="s">
        <v>2819</v>
      </c>
      <c r="B8" s="3163">
        <v>2023</v>
      </c>
      <c r="C8" s="3164">
        <v>1</v>
      </c>
      <c r="D8" s="3165">
        <v>0</v>
      </c>
      <c r="E8" s="3165">
        <v>0</v>
      </c>
      <c r="F8" s="3165">
        <v>0</v>
      </c>
      <c r="G8" s="3165">
        <v>0</v>
      </c>
      <c r="H8" s="3165">
        <v>0</v>
      </c>
      <c r="I8" s="3166">
        <f t="shared" si="4"/>
        <v>0</v>
      </c>
      <c r="J8" s="3167"/>
      <c r="K8" s="3168">
        <f t="shared" si="8"/>
        <v>0</v>
      </c>
      <c r="L8" s="3158">
        <f t="shared" si="9"/>
        <v>0</v>
      </c>
      <c r="M8" s="3158">
        <f t="shared" si="10"/>
        <v>0</v>
      </c>
      <c r="N8" s="3158">
        <f t="shared" si="11"/>
        <v>0</v>
      </c>
      <c r="O8" s="3158">
        <f t="shared" si="12"/>
        <v>0</v>
      </c>
      <c r="P8" s="3158">
        <f t="shared" si="13"/>
        <v>0</v>
      </c>
      <c r="Q8" s="3167"/>
      <c r="R8" s="3169">
        <f>ROUND(IF(项目基本情况!$B$8="出让",SUMPRODUCT(PRODUCT(1+K8:$K$16)),SUMPRODUCT(PRODUCT(1+K8:$K$15))),4)</f>
        <v>1.0565</v>
      </c>
      <c r="S8" s="3169">
        <f>ROUND(IF(项目基本情况!$B$8="出让",SUMPRODUCT(PRODUCT(1+L8:$L$16)),SUMPRODUCT(PRODUCT(1+L8:$L$15))),4)</f>
        <v>1.0250999999999999</v>
      </c>
      <c r="T8" s="3169">
        <f>ROUND(IF(项目基本情况!$B$8="出让",SUMPRODUCT(PRODUCT(1+M8:$M$16)),SUMPRODUCT(PRODUCT(1+M8:$M$15))),4)</f>
        <v>1.0145</v>
      </c>
      <c r="U8" s="3169">
        <f>ROUND(IF(项目基本情况!$B$8="出让",SUMPRODUCT(PRODUCT(1+N8:$N$16)),SUMPRODUCT(PRODUCT(1+N8:$N$15))),4)</f>
        <v>1.0618000000000001</v>
      </c>
      <c r="V8" s="3169">
        <f>ROUND(IF(项目基本情况!$B$8="出让",SUMPRODUCT(PRODUCT(1+O8:$O$16)),SUMPRODUCT(PRODUCT(1+O8:$O$15))),4)</f>
        <v>1.0502</v>
      </c>
      <c r="W8" s="3169">
        <f t="shared" si="14"/>
        <v>1.0145</v>
      </c>
      <c r="X8" s="3167"/>
      <c r="Y8" s="3170"/>
      <c r="Z8" s="3170"/>
      <c r="AA8" s="3170"/>
      <c r="AB8" s="3170"/>
      <c r="AC8" s="3170"/>
      <c r="AD8" s="3170"/>
    </row>
    <row r="9" spans="1:30" s="3181" customFormat="1" ht="12.75">
      <c r="A9" s="3172" t="s">
        <v>2820</v>
      </c>
      <c r="B9" s="3173">
        <v>2022</v>
      </c>
      <c r="C9" s="3174">
        <v>4</v>
      </c>
      <c r="D9" s="3175">
        <v>0.62</v>
      </c>
      <c r="E9" s="3175">
        <v>0.2</v>
      </c>
      <c r="F9" s="3175">
        <v>0.11</v>
      </c>
      <c r="G9" s="3175">
        <v>0.69</v>
      </c>
      <c r="H9" s="3176">
        <v>0.53</v>
      </c>
      <c r="I9" s="3177">
        <f t="shared" si="4"/>
        <v>0.11</v>
      </c>
      <c r="J9" s="3178"/>
      <c r="K9" s="3179">
        <f t="shared" si="5"/>
        <v>6.1999999999999998E-3</v>
      </c>
      <c r="L9" s="3180">
        <f t="shared" si="5"/>
        <v>2E-3</v>
      </c>
      <c r="M9" s="3180">
        <f t="shared" si="5"/>
        <v>1.1000000000000001E-3</v>
      </c>
      <c r="N9" s="3180">
        <f t="shared" si="5"/>
        <v>6.8999999999999999E-3</v>
      </c>
      <c r="O9" s="3180">
        <f t="shared" si="5"/>
        <v>5.3E-3</v>
      </c>
      <c r="P9" s="3180">
        <f t="shared" ref="P9:P16" si="15">M9</f>
        <v>1.1000000000000001E-3</v>
      </c>
      <c r="Q9" s="3178"/>
      <c r="R9" s="3178">
        <f>ROUND(IF([6]项目基本情况!B8="出让",SUMPRODUCT(PRODUCT(1+K9:K16)),SUMPRODUCT(PRODUCT(1+K9:K15))),4)</f>
        <v>1.0565</v>
      </c>
      <c r="S9" s="3178">
        <f>ROUND(IF([6]项目基本情况!B8="出让",SUMPRODUCT(PRODUCT(1+L9:L16)),SUMPRODUCT(PRODUCT(1+L9:L15))),4)</f>
        <v>1.0250999999999999</v>
      </c>
      <c r="T9" s="3178">
        <f>ROUND(IF([6]项目基本情况!B8="出让",SUMPRODUCT(PRODUCT(1+M9:M16)),SUMPRODUCT(PRODUCT(1+M9:M15))),4)</f>
        <v>1.0145</v>
      </c>
      <c r="U9" s="3178">
        <f>ROUND(IF([6]项目基本情况!B8="出让",SUMPRODUCT(PRODUCT(1+N9:N16)),SUMPRODUCT(PRODUCT(1+N9:N15))),4)</f>
        <v>1.0618000000000001</v>
      </c>
      <c r="V9" s="3178">
        <f>ROUND(IF([6]项目基本情况!B8="出让",SUMPRODUCT(PRODUCT(1+O9:O16)),SUMPRODUCT(PRODUCT(1+O9:O15))),4)</f>
        <v>1.0502</v>
      </c>
      <c r="W9" s="3178">
        <f t="shared" ref="W9:W16" si="16">T9</f>
        <v>1.0145</v>
      </c>
      <c r="X9" s="3178"/>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71" customFormat="1" ht="12.75">
      <c r="A10" s="3162" t="s">
        <v>3366</v>
      </c>
      <c r="B10" s="3163">
        <v>2022</v>
      </c>
      <c r="C10" s="3164">
        <v>3</v>
      </c>
      <c r="D10" s="3165">
        <v>0.66</v>
      </c>
      <c r="E10" s="3165">
        <v>0.32</v>
      </c>
      <c r="F10" s="3165">
        <v>0.23</v>
      </c>
      <c r="G10" s="3165">
        <v>0.72</v>
      </c>
      <c r="H10" s="3182">
        <v>0.63</v>
      </c>
      <c r="I10" s="3166">
        <f t="shared" si="4"/>
        <v>0.23</v>
      </c>
      <c r="J10" s="3167"/>
      <c r="K10" s="3168">
        <f t="shared" si="5"/>
        <v>6.6E-3</v>
      </c>
      <c r="L10" s="3158">
        <f t="shared" si="5"/>
        <v>3.2000000000000002E-3</v>
      </c>
      <c r="M10" s="3158">
        <f t="shared" si="5"/>
        <v>2.3E-3</v>
      </c>
      <c r="N10" s="3158">
        <f t="shared" si="5"/>
        <v>7.1999999999999998E-3</v>
      </c>
      <c r="O10" s="3158">
        <f t="shared" si="5"/>
        <v>6.3E-3</v>
      </c>
      <c r="P10" s="3158">
        <f t="shared" si="15"/>
        <v>2.3E-3</v>
      </c>
      <c r="Q10" s="3167"/>
      <c r="R10" s="3169">
        <f>ROUND(IF([6]项目基本情况!B8="出让",SUMPRODUCT(PRODUCT(1+K10:K16)),SUMPRODUCT(PRODUCT(1+K10:K15))),4)</f>
        <v>1.05</v>
      </c>
      <c r="S10" s="3169">
        <f>ROUND(IF([6]项目基本情况!B8="出让",SUMPRODUCT(PRODUCT(1+L10:L16)),SUMPRODUCT(PRODUCT(1+L10:L15))),4)</f>
        <v>1.0229999999999999</v>
      </c>
      <c r="T10" s="3169">
        <f>ROUND(IF([6]项目基本情况!B8="出让",SUMPRODUCT(PRODUCT(1+M10:M16)),SUMPRODUCT(PRODUCT(1+M10:M15))),4)</f>
        <v>1.0134000000000001</v>
      </c>
      <c r="U10" s="3169">
        <f>ROUND(IF([6]项目基本情况!B8="出让",SUMPRODUCT(PRODUCT(1+N10:N16)),SUMPRODUCT(PRODUCT(1+N10:N15))),4)</f>
        <v>1.0545</v>
      </c>
      <c r="V10" s="3169">
        <f>ROUND(IF([6]项目基本情况!B8="出让",SUMPRODUCT(PRODUCT(1+O10:O16)),SUMPRODUCT(PRODUCT(1+O10:O15))),4)</f>
        <v>1.0447</v>
      </c>
      <c r="W10" s="3169">
        <f t="shared" si="16"/>
        <v>1.0134000000000001</v>
      </c>
      <c r="X10" s="3167"/>
      <c r="Y10" s="3170">
        <f>IF(D10=0,0,ROUND(AVERAGE(D10:D16)/100,4))</f>
        <v>8.3999999999999995E-3</v>
      </c>
      <c r="Z10" s="3170">
        <f t="shared" ref="Z10:AC10" si="18">IF(E10=0,0,ROUND(AVERAGE(E10:E16)/100,4))</f>
        <v>3.5000000000000001E-3</v>
      </c>
      <c r="AA10" s="3170">
        <f t="shared" si="18"/>
        <v>1.5E-3</v>
      </c>
      <c r="AB10" s="3170">
        <f t="shared" si="18"/>
        <v>9.1999999999999998E-3</v>
      </c>
      <c r="AC10" s="3170">
        <f t="shared" si="18"/>
        <v>6.7999999999999996E-3</v>
      </c>
      <c r="AD10" s="3170">
        <f t="shared" si="7"/>
        <v>1.5E-3</v>
      </c>
    </row>
    <row r="11" spans="1:30" s="3171" customFormat="1" ht="12.75">
      <c r="A11" s="3162" t="s">
        <v>3358</v>
      </c>
      <c r="B11" s="3163">
        <v>2022</v>
      </c>
      <c r="C11" s="3164">
        <v>2</v>
      </c>
      <c r="D11" s="3165">
        <v>0.93</v>
      </c>
      <c r="E11" s="3165">
        <v>0.15</v>
      </c>
      <c r="F11" s="3165">
        <v>0.01</v>
      </c>
      <c r="G11" s="3165">
        <v>1.05</v>
      </c>
      <c r="H11" s="3182">
        <v>1.08</v>
      </c>
      <c r="I11" s="3166">
        <f t="shared" si="4"/>
        <v>0.01</v>
      </c>
      <c r="J11" s="3167"/>
      <c r="K11" s="3168">
        <f t="shared" si="5"/>
        <v>9.300000000000001E-3</v>
      </c>
      <c r="L11" s="3158">
        <f t="shared" si="5"/>
        <v>1.5E-3</v>
      </c>
      <c r="M11" s="3158">
        <f t="shared" si="5"/>
        <v>1E-4</v>
      </c>
      <c r="N11" s="3158">
        <f t="shared" si="5"/>
        <v>1.0500000000000001E-2</v>
      </c>
      <c r="O11" s="3158">
        <f t="shared" si="5"/>
        <v>1.0800000000000001E-2</v>
      </c>
      <c r="P11" s="3158">
        <f t="shared" si="15"/>
        <v>1E-4</v>
      </c>
      <c r="Q11" s="3167"/>
      <c r="R11" s="3169">
        <f>ROUND(IF([6]项目基本情况!B8="出让",SUMPRODUCT(PRODUCT(1+K11:K16)),SUMPRODUCT(PRODUCT(1+K11:K15))),4)</f>
        <v>1.0430999999999999</v>
      </c>
      <c r="S11" s="3169">
        <f>ROUND(IF([6]项目基本情况!B8="出让",SUMPRODUCT(PRODUCT(1+L11:L16)),SUMPRODUCT(PRODUCT(1+L11:L15))),4)</f>
        <v>1.0197000000000001</v>
      </c>
      <c r="T11" s="3169">
        <f>ROUND(IF([6]项目基本情况!B8="出让",SUMPRODUCT(PRODUCT(1+M11:M16)),SUMPRODUCT(PRODUCT(1+M11:M15))),4)</f>
        <v>1.0109999999999999</v>
      </c>
      <c r="U11" s="3169">
        <f>ROUND(IF([6]项目基本情况!B8="出让",SUMPRODUCT(PRODUCT(1+N11:N16)),SUMPRODUCT(PRODUCT(1+N11:N15))),4)</f>
        <v>1.0468999999999999</v>
      </c>
      <c r="V11" s="3169">
        <f>ROUND(IF([6]项目基本情况!B8="出让",SUMPRODUCT(PRODUCT(1+O11:O16)),SUMPRODUCT(PRODUCT(1+O11:O15))),4)</f>
        <v>1.0382</v>
      </c>
      <c r="W11" s="3169">
        <f t="shared" si="16"/>
        <v>1.0109999999999999</v>
      </c>
      <c r="X11" s="3167"/>
      <c r="Y11" s="3170">
        <f>IF(D11=0,0,ROUND(AVERAGE(D11:D16)/100,4))</f>
        <v>8.6999999999999994E-3</v>
      </c>
      <c r="Z11" s="3170">
        <f t="shared" ref="Z11:AC11" si="19">IF(E11=0,0,ROUND(AVERAGE(E11:E16)/100,4))</f>
        <v>3.5000000000000001E-3</v>
      </c>
      <c r="AA11" s="3170">
        <f t="shared" si="19"/>
        <v>1.4E-3</v>
      </c>
      <c r="AB11" s="3170">
        <f t="shared" si="19"/>
        <v>9.4999999999999998E-3</v>
      </c>
      <c r="AC11" s="3170">
        <f t="shared" si="19"/>
        <v>6.8999999999999999E-3</v>
      </c>
      <c r="AD11" s="3170">
        <f t="shared" si="7"/>
        <v>1.4E-3</v>
      </c>
    </row>
    <row r="12" spans="1:30" s="3171" customFormat="1" ht="12.75">
      <c r="A12" s="3162" t="s">
        <v>2821</v>
      </c>
      <c r="B12" s="3163">
        <v>2022</v>
      </c>
      <c r="C12" s="3164">
        <v>1</v>
      </c>
      <c r="D12" s="3165">
        <v>0.89</v>
      </c>
      <c r="E12" s="3165">
        <v>0.44</v>
      </c>
      <c r="F12" s="3165">
        <v>0.37</v>
      </c>
      <c r="G12" s="3165">
        <v>0.96</v>
      </c>
      <c r="H12" s="3182">
        <v>0.64</v>
      </c>
      <c r="I12" s="3166">
        <f t="shared" si="4"/>
        <v>0.37</v>
      </c>
      <c r="J12" s="3167"/>
      <c r="K12" s="3168">
        <f t="shared" si="5"/>
        <v>8.8999999999999999E-3</v>
      </c>
      <c r="L12" s="3158">
        <f t="shared" si="5"/>
        <v>4.4000000000000003E-3</v>
      </c>
      <c r="M12" s="3158">
        <f t="shared" si="5"/>
        <v>3.7000000000000002E-3</v>
      </c>
      <c r="N12" s="3158">
        <f t="shared" si="5"/>
        <v>9.5999999999999992E-3</v>
      </c>
      <c r="O12" s="3158">
        <f t="shared" si="5"/>
        <v>6.4000000000000003E-3</v>
      </c>
      <c r="P12" s="3158">
        <f t="shared" si="15"/>
        <v>3.7000000000000002E-3</v>
      </c>
      <c r="Q12" s="3167"/>
      <c r="R12" s="3169">
        <f>ROUND(IF([6]项目基本情况!B8="出让",SUMPRODUCT(PRODUCT(1+K12:K16)),SUMPRODUCT(PRODUCT(1+K12:K15))),4)</f>
        <v>1.0335000000000001</v>
      </c>
      <c r="S12" s="3169">
        <f>ROUND(IF([6]项目基本情况!B8="出让",SUMPRODUCT(PRODUCT(1+L12:L16)),SUMPRODUCT(PRODUCT(1+L12:L15))),4)</f>
        <v>1.0182</v>
      </c>
      <c r="T12" s="3169">
        <f>ROUND(IF([6]项目基本情况!B8="出让",SUMPRODUCT(PRODUCT(1+M12:M16)),SUMPRODUCT(PRODUCT(1+M12:M15))),4)</f>
        <v>1.0108999999999999</v>
      </c>
      <c r="U12" s="3169">
        <f>ROUND(IF([6]项目基本情况!B8="出让",SUMPRODUCT(PRODUCT(1+N12:N16)),SUMPRODUCT(PRODUCT(1+N12:N15))),4)</f>
        <v>1.0361</v>
      </c>
      <c r="V12" s="3169">
        <f>ROUND(IF([6]项目基本情况!B8="出让",SUMPRODUCT(PRODUCT(1+O12:O16)),SUMPRODUCT(PRODUCT(1+O12:O15))),4)</f>
        <v>1.0270999999999999</v>
      </c>
      <c r="W12" s="3169">
        <f t="shared" si="16"/>
        <v>1.0108999999999999</v>
      </c>
      <c r="X12" s="3167"/>
      <c r="Y12" s="3170">
        <f>IF(D12=0,0,ROUND(AVERAGE(D12:D16)/100,4))</f>
        <v>8.6E-3</v>
      </c>
      <c r="Z12" s="3170">
        <f t="shared" ref="Z12:AC12" si="20">IF(E12=0,0,ROUND(AVERAGE(E12:E16)/100,4))</f>
        <v>3.8999999999999998E-3</v>
      </c>
      <c r="AA12" s="3170">
        <f t="shared" si="20"/>
        <v>1.6999999999999999E-3</v>
      </c>
      <c r="AB12" s="3170">
        <f t="shared" si="20"/>
        <v>9.2999999999999992E-3</v>
      </c>
      <c r="AC12" s="3170">
        <f t="shared" si="20"/>
        <v>6.1000000000000004E-3</v>
      </c>
      <c r="AD12" s="3170">
        <f t="shared" si="7"/>
        <v>1.6999999999999999E-3</v>
      </c>
    </row>
    <row r="13" spans="1:30" s="3171" customFormat="1" ht="12.75">
      <c r="A13" s="3162" t="s">
        <v>2822</v>
      </c>
      <c r="B13" s="3163">
        <v>2021</v>
      </c>
      <c r="C13" s="3164">
        <v>4</v>
      </c>
      <c r="D13" s="3165">
        <v>1.03</v>
      </c>
      <c r="E13" s="3165">
        <v>0.24</v>
      </c>
      <c r="F13" s="3165">
        <v>7.0000000000000007E-2</v>
      </c>
      <c r="G13" s="3165">
        <v>1.17</v>
      </c>
      <c r="H13" s="3182">
        <v>0.55000000000000004</v>
      </c>
      <c r="I13" s="3166">
        <f t="shared" si="4"/>
        <v>7.0000000000000007E-2</v>
      </c>
      <c r="J13" s="3167"/>
      <c r="K13" s="3168">
        <f t="shared" si="5"/>
        <v>1.03E-2</v>
      </c>
      <c r="L13" s="3158">
        <f t="shared" si="5"/>
        <v>2.3999999999999998E-3</v>
      </c>
      <c r="M13" s="3158">
        <f t="shared" si="5"/>
        <v>7.000000000000001E-4</v>
      </c>
      <c r="N13" s="3158">
        <f t="shared" si="5"/>
        <v>1.1699999999999999E-2</v>
      </c>
      <c r="O13" s="3158">
        <f t="shared" si="5"/>
        <v>5.5000000000000005E-3</v>
      </c>
      <c r="P13" s="3158">
        <f t="shared" si="15"/>
        <v>7.000000000000001E-4</v>
      </c>
      <c r="Q13" s="3167"/>
      <c r="R13" s="3169">
        <f>ROUND(IF([6]项目基本情况!B8="出让",SUMPRODUCT(PRODUCT(1+K13:K16)),SUMPRODUCT(PRODUCT(1+K13:K15))),4)</f>
        <v>1.0244</v>
      </c>
      <c r="S13" s="3169">
        <f>ROUND(IF([6]项目基本情况!B8="出让",SUMPRODUCT(PRODUCT(1+L13:L16)),SUMPRODUCT(PRODUCT(1+L13:L15))),4)</f>
        <v>1.0138</v>
      </c>
      <c r="T13" s="3169">
        <f>ROUND(IF([6]项目基本情况!B8="出让",SUMPRODUCT(PRODUCT(1+M13:M16)),SUMPRODUCT(PRODUCT(1+M13:M15))),4)</f>
        <v>1.0072000000000001</v>
      </c>
      <c r="U13" s="3169">
        <f>ROUND(IF([6]项目基本情况!B8="出让",SUMPRODUCT(PRODUCT(1+N13:N16)),SUMPRODUCT(PRODUCT(1+N13:N15))),4)</f>
        <v>1.0262</v>
      </c>
      <c r="V13" s="3169">
        <f>ROUND(IF([6]项目基本情况!B8="出让",SUMPRODUCT(PRODUCT(1+O13:O16)),SUMPRODUCT(PRODUCT(1+O13:O15))),4)</f>
        <v>1.0205</v>
      </c>
      <c r="W13" s="3169">
        <f t="shared" si="16"/>
        <v>1.0072000000000001</v>
      </c>
      <c r="X13" s="3167"/>
      <c r="Y13" s="3170">
        <f>IF(D13=0,0,ROUND(AVERAGE(D13:D16)/100,4))</f>
        <v>8.5000000000000006E-3</v>
      </c>
      <c r="Z13" s="3170">
        <f t="shared" ref="Z13:AC13" si="21">IF(E13=0,0,ROUND(AVERAGE(E13:E16)/100,4))</f>
        <v>3.8E-3</v>
      </c>
      <c r="AA13" s="3170">
        <f t="shared" si="21"/>
        <v>1.1999999999999999E-3</v>
      </c>
      <c r="AB13" s="3170">
        <f t="shared" si="21"/>
        <v>9.2999999999999992E-3</v>
      </c>
      <c r="AC13" s="3170">
        <f t="shared" si="21"/>
        <v>6.0000000000000001E-3</v>
      </c>
      <c r="AD13" s="3170">
        <f t="shared" si="7"/>
        <v>1.1999999999999999E-3</v>
      </c>
    </row>
    <row r="14" spans="1:30" s="3171" customFormat="1" ht="12.75">
      <c r="A14" s="3162" t="s">
        <v>2823</v>
      </c>
      <c r="B14" s="3163">
        <v>2021</v>
      </c>
      <c r="C14" s="3164">
        <v>3</v>
      </c>
      <c r="D14" s="3165">
        <v>0.47</v>
      </c>
      <c r="E14" s="3165">
        <v>0.41</v>
      </c>
      <c r="F14" s="3165">
        <v>0.24</v>
      </c>
      <c r="G14" s="3165">
        <v>0.48</v>
      </c>
      <c r="H14" s="3182">
        <v>0.48</v>
      </c>
      <c r="I14" s="3166">
        <f t="shared" si="4"/>
        <v>0.24</v>
      </c>
      <c r="J14" s="3167"/>
      <c r="K14" s="3168">
        <f t="shared" si="5"/>
        <v>4.6999999999999993E-3</v>
      </c>
      <c r="L14" s="3158">
        <f t="shared" si="5"/>
        <v>4.0999999999999995E-3</v>
      </c>
      <c r="M14" s="3158">
        <f t="shared" si="5"/>
        <v>2.3999999999999998E-3</v>
      </c>
      <c r="N14" s="3158">
        <f t="shared" si="5"/>
        <v>4.7999999999999996E-3</v>
      </c>
      <c r="O14" s="3158">
        <f t="shared" si="5"/>
        <v>4.7999999999999996E-3</v>
      </c>
      <c r="P14" s="3158">
        <f t="shared" si="15"/>
        <v>2.3999999999999998E-3</v>
      </c>
      <c r="Q14" s="3167"/>
      <c r="R14" s="3169">
        <f>ROUND(IF([6]项目基本情况!B8="出让",SUMPRODUCT(PRODUCT(1+K14:K16)),SUMPRODUCT(PRODUCT(1+K14:K15))),4)</f>
        <v>1.0139</v>
      </c>
      <c r="S14" s="3169">
        <f>ROUND(IF([6]项目基本情况!B8="出让",SUMPRODUCT(PRODUCT(1+L14:L16)),SUMPRODUCT(PRODUCT(1+L14:L15))),4)</f>
        <v>1.0113000000000001</v>
      </c>
      <c r="T14" s="3169">
        <f>ROUND(IF([6]项目基本情况!B8="出让",SUMPRODUCT(PRODUCT(1+M14:M16)),SUMPRODUCT(PRODUCT(1+M14:M15))),4)</f>
        <v>1.0065</v>
      </c>
      <c r="U14" s="3169">
        <f>ROUND(IF([6]项目基本情况!B8="出让",SUMPRODUCT(PRODUCT(1+N14:N16)),SUMPRODUCT(PRODUCT(1+N14:N15))),4)</f>
        <v>1.0143</v>
      </c>
      <c r="V14" s="3169">
        <f>ROUND(IF([6]项目基本情况!B8="出让",SUMPRODUCT(PRODUCT(1+O14:O16)),SUMPRODUCT(PRODUCT(1+O14:O15))),4)</f>
        <v>1.0148999999999999</v>
      </c>
      <c r="W14" s="3169">
        <f t="shared" si="16"/>
        <v>1.0065</v>
      </c>
      <c r="X14" s="3167"/>
      <c r="Y14" s="3170">
        <f>IF(D14=0,0,ROUND(AVERAGE(D14:D16)/100,4))</f>
        <v>7.9000000000000008E-3</v>
      </c>
      <c r="Z14" s="3170">
        <f>IF(E14=0,0,ROUND(AVERAGE(E14:E16)/100,4))</f>
        <v>4.3E-3</v>
      </c>
      <c r="AA14" s="3170">
        <f>IF(F14=0,0,ROUND(AVERAGE(F14:F16)/100,4))</f>
        <v>1.2999999999999999E-3</v>
      </c>
      <c r="AB14" s="3170">
        <f>IF(G14=0,0,ROUND(AVERAGE(G14:G16)/100,4))</f>
        <v>8.5000000000000006E-3</v>
      </c>
      <c r="AC14" s="3170">
        <f>IF(H14=0,0,ROUND(AVERAGE(H14:H16)/100,4))</f>
        <v>6.1999999999999998E-3</v>
      </c>
      <c r="AD14" s="3170">
        <f t="shared" si="7"/>
        <v>1.2999999999999999E-3</v>
      </c>
    </row>
    <row r="15" spans="1:30" s="3171" customFormat="1" ht="12.75">
      <c r="A15" s="3162" t="s">
        <v>2824</v>
      </c>
      <c r="B15" s="3163">
        <v>2021</v>
      </c>
      <c r="C15" s="3164">
        <v>2</v>
      </c>
      <c r="D15" s="3165">
        <v>0.92</v>
      </c>
      <c r="E15" s="3165">
        <v>0.72</v>
      </c>
      <c r="F15" s="3165">
        <v>0.41</v>
      </c>
      <c r="G15" s="3165">
        <v>0.95</v>
      </c>
      <c r="H15" s="3182">
        <v>1.01</v>
      </c>
      <c r="I15" s="3166">
        <f t="shared" si="4"/>
        <v>0.41</v>
      </c>
      <c r="J15" s="3167"/>
      <c r="K15" s="3168">
        <f t="shared" si="5"/>
        <v>9.1999999999999998E-3</v>
      </c>
      <c r="L15" s="3158">
        <f t="shared" si="5"/>
        <v>7.1999999999999998E-3</v>
      </c>
      <c r="M15" s="3158">
        <f t="shared" si="5"/>
        <v>4.0999999999999995E-3</v>
      </c>
      <c r="N15" s="3158">
        <f t="shared" si="5"/>
        <v>9.4999999999999998E-3</v>
      </c>
      <c r="O15" s="3158">
        <f t="shared" si="5"/>
        <v>1.01E-2</v>
      </c>
      <c r="P15" s="3158">
        <f t="shared" si="15"/>
        <v>4.0999999999999995E-3</v>
      </c>
      <c r="Q15" s="3167"/>
      <c r="R15" s="3169">
        <f>ROUND(IF([6]项目基本情况!B8="出让",SUMPRODUCT(PRODUCT(1+K15:K16)),SUMPRODUCT(PRODUCT(1+K15:K15))),4)</f>
        <v>1.0092000000000001</v>
      </c>
      <c r="S15" s="3169">
        <f>ROUND(IF([6]项目基本情况!B8="出让",SUMPRODUCT(PRODUCT(1+L15:L16)),SUMPRODUCT(PRODUCT(1+L15:L15))),4)</f>
        <v>1.0072000000000001</v>
      </c>
      <c r="T15" s="3169">
        <f>ROUND(IF([6]项目基本情况!B8="出让",SUMPRODUCT(PRODUCT(1+M15:M16)),SUMPRODUCT(PRODUCT(1+M15:M15))),4)</f>
        <v>1.0041</v>
      </c>
      <c r="U15" s="3169">
        <f>ROUND(IF([6]项目基本情况!B8="出让",SUMPRODUCT(PRODUCT(1+N15:N16)),SUMPRODUCT(PRODUCT(1+N15:N15))),4)</f>
        <v>1.0095000000000001</v>
      </c>
      <c r="V15" s="3169">
        <f>ROUND(IF([6]项目基本情况!B8="出让",SUMPRODUCT(PRODUCT(1+O15:O16)),SUMPRODUCT(PRODUCT(1+O15:O15))),4)</f>
        <v>1.0101</v>
      </c>
      <c r="W15" s="3169">
        <f t="shared" si="16"/>
        <v>1.0041</v>
      </c>
      <c r="X15" s="3167"/>
      <c r="Y15" s="3170">
        <f>IF(D15=0,0,ROUND(AVERAGE(D15:D16)/100,4))</f>
        <v>9.4999999999999998E-3</v>
      </c>
      <c r="Z15" s="3170">
        <f>IF(E15=0,0,ROUND(AVERAGE(E15:E16)/100,4))</f>
        <v>4.4000000000000003E-3</v>
      </c>
      <c r="AA15" s="3170">
        <f>IF(F15=0,0,ROUND(AVERAGE(F15:F16)/100,4))</f>
        <v>8.0000000000000004E-4</v>
      </c>
      <c r="AB15" s="3170">
        <f>IF(G15=0,0,ROUND(AVERAGE(G15:G16)/100,4))</f>
        <v>1.03E-2</v>
      </c>
      <c r="AC15" s="3170">
        <f>IF(H15=0,0,ROUND(AVERAGE(H15:H16)/100,4))</f>
        <v>6.8999999999999999E-3</v>
      </c>
      <c r="AD15" s="3170">
        <f t="shared" si="7"/>
        <v>8.0000000000000004E-4</v>
      </c>
    </row>
    <row r="16" spans="1:30" s="3193" customFormat="1" thickBot="1">
      <c r="A16" s="3183" t="s">
        <v>2825</v>
      </c>
      <c r="B16" s="3184">
        <v>2021</v>
      </c>
      <c r="C16" s="3185">
        <v>1</v>
      </c>
      <c r="D16" s="3186">
        <v>0.97</v>
      </c>
      <c r="E16" s="3186">
        <v>0.16</v>
      </c>
      <c r="F16" s="3186">
        <v>-0.25</v>
      </c>
      <c r="G16" s="3186">
        <v>1.1100000000000001</v>
      </c>
      <c r="H16" s="3187">
        <v>0.36</v>
      </c>
      <c r="I16" s="3188">
        <f t="shared" si="4"/>
        <v>-0.25</v>
      </c>
      <c r="J16" s="3189"/>
      <c r="K16" s="3190">
        <f t="shared" si="5"/>
        <v>9.7000000000000003E-3</v>
      </c>
      <c r="L16" s="3191">
        <f t="shared" si="5"/>
        <v>1.6000000000000001E-3</v>
      </c>
      <c r="M16" s="3191">
        <f>F16/100</f>
        <v>-2.5000000000000001E-3</v>
      </c>
      <c r="N16" s="3191">
        <f t="shared" si="5"/>
        <v>1.11E-2</v>
      </c>
      <c r="O16" s="3191">
        <f t="shared" si="5"/>
        <v>3.5999999999999999E-3</v>
      </c>
      <c r="P16" s="3191">
        <f t="shared" si="15"/>
        <v>-2.5000000000000001E-3</v>
      </c>
      <c r="Q16" s="3189"/>
      <c r="R16" s="3192">
        <v>1</v>
      </c>
      <c r="S16" s="3192">
        <v>1</v>
      </c>
      <c r="T16" s="3192">
        <v>1</v>
      </c>
      <c r="U16" s="3192">
        <v>1</v>
      </c>
      <c r="V16" s="3192">
        <v>1</v>
      </c>
      <c r="W16" s="3192">
        <f t="shared" si="16"/>
        <v>1</v>
      </c>
      <c r="X16" s="3189"/>
      <c r="Y16" s="3191">
        <f>IF(D16=0,0,ROUND(AVERAGE(D16:D16)/100,4))</f>
        <v>9.7000000000000003E-3</v>
      </c>
      <c r="Z16" s="3191">
        <f>IF(E16=0,0,ROUND(AVERAGE(E16:E16)/100,4))</f>
        <v>1.6000000000000001E-3</v>
      </c>
      <c r="AA16" s="3191">
        <f>IF(F16=0,0,ROUND(AVERAGE(F16:F16)/100,4))</f>
        <v>-2.5000000000000001E-3</v>
      </c>
      <c r="AB16" s="3191">
        <f>IF(G16=0,0,ROUND(AVERAGE(G16:G16)/100,4))</f>
        <v>1.11E-2</v>
      </c>
      <c r="AC16" s="3191">
        <f>IF(H16=0,0,ROUND(AVERAGE(H16:H16)/100,4))</f>
        <v>3.5999999999999999E-3</v>
      </c>
      <c r="AD16" s="3191">
        <f>AA16</f>
        <v>-2.5000000000000001E-3</v>
      </c>
    </row>
    <row r="17" spans="1:30" s="2995" customFormat="1" ht="14.25" thickTop="1"/>
    <row r="18" spans="1:30" s="2995" customFormat="1">
      <c r="A18" s="3434" t="s">
        <v>3369</v>
      </c>
    </row>
    <row r="19" spans="1:30" s="2995" customFormat="1">
      <c r="I19" s="3194" t="s">
        <v>2826</v>
      </c>
    </row>
    <row r="20" spans="1:30" s="2995" customFormat="1"/>
    <row r="21" spans="1:30" s="3195" customFormat="1" ht="12.75">
      <c r="B21" s="3196" t="s">
        <v>2827</v>
      </c>
      <c r="C21" s="3197"/>
      <c r="D21" s="3197"/>
      <c r="E21" s="3197"/>
      <c r="F21" s="3197"/>
      <c r="G21" s="3197"/>
      <c r="H21" s="3197"/>
      <c r="I21" s="3197"/>
      <c r="J21" s="3151"/>
      <c r="K21" s="3197" t="s">
        <v>2828</v>
      </c>
      <c r="L21" s="3197"/>
      <c r="M21" s="3197"/>
      <c r="N21" s="3197"/>
      <c r="O21" s="3197"/>
      <c r="P21" s="3197"/>
      <c r="Q21" s="3151"/>
      <c r="R21" s="4020" t="s">
        <v>2829</v>
      </c>
      <c r="S21" s="4021"/>
      <c r="T21" s="4021"/>
      <c r="U21" s="4021"/>
      <c r="V21" s="4021"/>
      <c r="W21" s="4021"/>
      <c r="X21" s="3151"/>
      <c r="Y21" s="4020" t="s">
        <v>2830</v>
      </c>
      <c r="Z21" s="4021"/>
      <c r="AA21" s="4021"/>
      <c r="AB21" s="4021"/>
      <c r="AC21" s="4021"/>
      <c r="AD21" s="4021"/>
    </row>
    <row r="22" spans="1:30" s="3129" customFormat="1" ht="14.25" thickBot="1">
      <c r="B22" s="3130"/>
      <c r="C22" s="3131"/>
      <c r="D22" s="3132" t="s">
        <v>2831</v>
      </c>
      <c r="E22" s="3133" t="s">
        <v>2832</v>
      </c>
      <c r="F22" s="3133" t="s">
        <v>2833</v>
      </c>
      <c r="G22" s="3133" t="s">
        <v>2834</v>
      </c>
      <c r="H22" s="3133"/>
      <c r="I22" s="3133" t="s">
        <v>2835</v>
      </c>
      <c r="J22" s="3134"/>
      <c r="K22" s="3132" t="s">
        <v>2831</v>
      </c>
      <c r="L22" s="3133" t="s">
        <v>2832</v>
      </c>
      <c r="M22" s="3133" t="s">
        <v>2833</v>
      </c>
      <c r="N22" s="3133" t="s">
        <v>2834</v>
      </c>
      <c r="O22" s="3133"/>
      <c r="P22" s="3133" t="s">
        <v>2835</v>
      </c>
      <c r="Q22" s="3134"/>
      <c r="R22" s="3132" t="s">
        <v>2831</v>
      </c>
      <c r="S22" s="3133" t="s">
        <v>2832</v>
      </c>
      <c r="T22" s="3133" t="s">
        <v>2833</v>
      </c>
      <c r="U22" s="3133" t="s">
        <v>2834</v>
      </c>
      <c r="V22" s="3133"/>
      <c r="W22" s="3133" t="s">
        <v>2835</v>
      </c>
      <c r="X22" s="3134"/>
      <c r="Y22" s="3132" t="s">
        <v>2831</v>
      </c>
      <c r="Z22" s="3133" t="s">
        <v>2832</v>
      </c>
      <c r="AA22" s="3133" t="s">
        <v>2833</v>
      </c>
      <c r="AB22" s="3133" t="s">
        <v>2834</v>
      </c>
      <c r="AC22" s="3133"/>
      <c r="AD22" s="3133" t="s">
        <v>2835</v>
      </c>
    </row>
    <row r="23" spans="1:30" s="3147" customFormat="1" ht="12.75">
      <c r="A23" s="3135" t="s">
        <v>2836</v>
      </c>
      <c r="B23" s="3136"/>
      <c r="C23" s="3137"/>
      <c r="D23" s="3137"/>
      <c r="E23" s="3137">
        <f t="shared" ref="E23:G23" si="22">ROUND(AVERAGEIF(E24:E36,"&lt;&gt;0"),2)</f>
        <v>0.4</v>
      </c>
      <c r="F23" s="3137">
        <f t="shared" si="22"/>
        <v>0.26</v>
      </c>
      <c r="G23" s="3137">
        <f t="shared" si="22"/>
        <v>0.74</v>
      </c>
      <c r="H23" s="3137"/>
      <c r="I23" s="3137">
        <f>F23</f>
        <v>0.26</v>
      </c>
      <c r="J23" s="3138"/>
      <c r="K23" s="3139"/>
      <c r="L23" s="3140">
        <f t="shared" ref="L23:N23" si="23">ROUND(AVERAGEIF(L24:L36,"&lt;&gt;0"),4)</f>
        <v>4.0000000000000001E-3</v>
      </c>
      <c r="M23" s="3140">
        <f t="shared" si="23"/>
        <v>2.5999999999999999E-3</v>
      </c>
      <c r="N23" s="3140">
        <f t="shared" si="23"/>
        <v>7.4000000000000003E-3</v>
      </c>
      <c r="O23" s="3140"/>
      <c r="P23" s="3140">
        <f>M23</f>
        <v>2.5999999999999999E-3</v>
      </c>
      <c r="Q23" s="3138"/>
      <c r="R23" s="3141"/>
      <c r="S23" s="3142">
        <f>ROUND(SUMPRODUCT(PRODUCT(1+L24:L36)),4)</f>
        <v>1.0323</v>
      </c>
      <c r="T23" s="3142">
        <f t="shared" ref="T23:U23" si="24">ROUND(SUMPRODUCT(PRODUCT(1+M24:M36)),4)</f>
        <v>1.0213000000000001</v>
      </c>
      <c r="U23" s="3142">
        <f t="shared" si="24"/>
        <v>1.0609</v>
      </c>
      <c r="V23" s="3142"/>
      <c r="W23" s="3141">
        <f>T23</f>
        <v>1.0213000000000001</v>
      </c>
      <c r="X23" s="3138"/>
      <c r="Y23" s="3143"/>
      <c r="Z23" s="3144">
        <f t="shared" ref="Z23:AB23" si="25">ROUND(AVERAGEIF(Z24:Z36,"&lt;&gt;0"),4)</f>
        <v>4.3E-3</v>
      </c>
      <c r="AA23" s="3145">
        <f t="shared" si="25"/>
        <v>3.5999999999999999E-3</v>
      </c>
      <c r="AB23" s="3143">
        <f t="shared" si="25"/>
        <v>8.8999999999999999E-3</v>
      </c>
      <c r="AC23" s="3146"/>
      <c r="AD23" s="3143">
        <f>AA23</f>
        <v>3.5999999999999999E-3</v>
      </c>
    </row>
    <row r="24" spans="1:30" s="3148" customFormat="1" ht="12.75">
      <c r="B24" s="3149"/>
      <c r="C24" s="3150"/>
      <c r="D24" s="3150"/>
      <c r="E24" s="3150"/>
      <c r="F24" s="3150"/>
      <c r="G24" s="3150"/>
      <c r="H24" s="3150"/>
      <c r="I24" s="3150"/>
      <c r="J24" s="3151"/>
      <c r="K24" s="3152"/>
      <c r="L24" s="3153"/>
      <c r="M24" s="3153"/>
      <c r="N24" s="3153"/>
      <c r="O24" s="3153"/>
      <c r="P24" s="3153"/>
      <c r="Q24" s="3151"/>
      <c r="R24" s="3154"/>
      <c r="S24" s="3155"/>
      <c r="T24" s="3156"/>
      <c r="U24" s="3154"/>
      <c r="V24" s="3157"/>
      <c r="W24" s="3154"/>
      <c r="X24" s="3151"/>
      <c r="Y24" s="3158"/>
      <c r="Z24" s="3159"/>
      <c r="AA24" s="3160"/>
      <c r="AB24" s="3158"/>
      <c r="AC24" s="3161"/>
      <c r="AD24" s="3158"/>
    </row>
    <row r="25" spans="1:30" s="3171" customFormat="1" ht="12.75">
      <c r="A25" s="3162" t="s">
        <v>3372</v>
      </c>
      <c r="B25" s="3163">
        <v>2023</v>
      </c>
      <c r="C25" s="3164">
        <v>4</v>
      </c>
      <c r="D25" s="3165"/>
      <c r="E25" s="3165">
        <v>0</v>
      </c>
      <c r="F25" s="3165">
        <v>0</v>
      </c>
      <c r="G25" s="3165">
        <v>0</v>
      </c>
      <c r="H25" s="3165"/>
      <c r="I25" s="3166">
        <f t="shared" ref="I25:I36" si="26">F25</f>
        <v>0</v>
      </c>
      <c r="J25" s="3167"/>
      <c r="K25" s="3168"/>
      <c r="L25" s="3158">
        <f t="shared" ref="L25:N36" si="27">E25/100</f>
        <v>0</v>
      </c>
      <c r="M25" s="3158">
        <f t="shared" si="27"/>
        <v>0</v>
      </c>
      <c r="N25" s="3158">
        <f t="shared" si="27"/>
        <v>0</v>
      </c>
      <c r="O25" s="3158"/>
      <c r="P25" s="3158">
        <f>M25</f>
        <v>0</v>
      </c>
      <c r="Q25" s="3167"/>
      <c r="R25" s="3169"/>
      <c r="S25" s="3169">
        <f>ROUND(IF([6]项目基本情况!$B$8="出让",SUMPRODUCT(PRODUCT(1+L25:L$36)),SUMPRODUCT(PRODUCT(1+L25:L$35))),4)</f>
        <v>1.0286999999999999</v>
      </c>
      <c r="T25" s="3169">
        <f>ROUND(IF([6]项目基本情况!$B$8="出让",SUMPRODUCT(PRODUCT(1+M25:M$36)),SUMPRODUCT(PRODUCT(1+M25:M$35))),4)</f>
        <v>1.0164</v>
      </c>
      <c r="U25" s="3169">
        <f>ROUND(IF([6]项目基本情况!$B$8="出让",SUMPRODUCT(PRODUCT(1+N25:N$36)),SUMPRODUCT(PRODUCT(1+N25:N$35))),4)</f>
        <v>1.0506</v>
      </c>
      <c r="V25" s="3169"/>
      <c r="W25" s="3169">
        <f>T25</f>
        <v>1.0164</v>
      </c>
      <c r="X25" s="3167"/>
      <c r="Y25" s="3170"/>
      <c r="Z25" s="3198">
        <f>IF(E25=0,0,ROUND(AVERAGE(E25:E36)/100,4))</f>
        <v>0</v>
      </c>
      <c r="AA25" s="3198">
        <f>IF(F25=0,0,ROUND(AVERAGE(F25:F36)/100,4))</f>
        <v>0</v>
      </c>
      <c r="AB25" s="3198">
        <f>IF(G25=0,0,ROUND(AVERAGE(G25:G36)/100,4))</f>
        <v>0</v>
      </c>
      <c r="AC25" s="3199"/>
      <c r="AD25" s="3170">
        <f>IF(I25=0,0,ROUND(AVERAGE(I25:I36)/100,4))</f>
        <v>0</v>
      </c>
    </row>
    <row r="26" spans="1:30" s="3171" customFormat="1" ht="12.75">
      <c r="A26" s="3162" t="s">
        <v>3373</v>
      </c>
      <c r="B26" s="3163">
        <v>2023</v>
      </c>
      <c r="C26" s="3164">
        <v>3</v>
      </c>
      <c r="D26" s="3165"/>
      <c r="E26" s="3165">
        <v>0</v>
      </c>
      <c r="F26" s="3165">
        <v>0</v>
      </c>
      <c r="G26" s="3165">
        <v>0</v>
      </c>
      <c r="H26" s="3182"/>
      <c r="I26" s="3166">
        <f t="shared" si="26"/>
        <v>0</v>
      </c>
      <c r="J26" s="3167"/>
      <c r="K26" s="3168"/>
      <c r="L26" s="3158">
        <f t="shared" ref="L26:L28" si="28">E26/100</f>
        <v>0</v>
      </c>
      <c r="M26" s="3158">
        <f t="shared" ref="M26:M28" si="29">F26/100</f>
        <v>0</v>
      </c>
      <c r="N26" s="3158">
        <f t="shared" ref="N26:N28" si="30">G26/100</f>
        <v>0</v>
      </c>
      <c r="O26" s="3158"/>
      <c r="P26" s="3158">
        <f t="shared" ref="P26:P28" si="31">M26</f>
        <v>0</v>
      </c>
      <c r="Q26" s="3167"/>
      <c r="R26" s="3169"/>
      <c r="S26" s="3169">
        <f>ROUND(IF([6]项目基本情况!$B$8="出让",SUMPRODUCT(PRODUCT(1+L26:L$36)),SUMPRODUCT(PRODUCT(1+L26:L$35))),4)</f>
        <v>1.0286999999999999</v>
      </c>
      <c r="T26" s="3169">
        <f>ROUND(IF([6]项目基本情况!$B$8="出让",SUMPRODUCT(PRODUCT(1+M26:M$36)),SUMPRODUCT(PRODUCT(1+M26:M$35))),4)</f>
        <v>1.0164</v>
      </c>
      <c r="U26" s="3169">
        <f>ROUND(IF([6]项目基本情况!$B$8="出让",SUMPRODUCT(PRODUCT(1+N26:N$36)),SUMPRODUCT(PRODUCT(1+N26:N$35))),4)</f>
        <v>1.0506</v>
      </c>
      <c r="V26" s="3169"/>
      <c r="W26" s="3169">
        <f t="shared" ref="W26:W28" si="32">T26</f>
        <v>1.0164</v>
      </c>
      <c r="X26" s="3167"/>
      <c r="Y26" s="3170"/>
      <c r="Z26" s="3198"/>
      <c r="AA26" s="3435"/>
      <c r="AB26" s="3435"/>
      <c r="AC26" s="3199"/>
      <c r="AD26" s="3170"/>
    </row>
    <row r="27" spans="1:30" s="3171" customFormat="1" ht="12.75">
      <c r="A27" s="3162" t="s">
        <v>3371</v>
      </c>
      <c r="B27" s="3163">
        <v>2023</v>
      </c>
      <c r="C27" s="3164">
        <v>2</v>
      </c>
      <c r="D27" s="3165"/>
      <c r="E27" s="3165">
        <v>0</v>
      </c>
      <c r="F27" s="3165">
        <v>0</v>
      </c>
      <c r="G27" s="3165">
        <v>0</v>
      </c>
      <c r="H27" s="3182"/>
      <c r="I27" s="3166">
        <f t="shared" si="26"/>
        <v>0</v>
      </c>
      <c r="J27" s="3167"/>
      <c r="K27" s="3168"/>
      <c r="L27" s="3158">
        <f t="shared" si="28"/>
        <v>0</v>
      </c>
      <c r="M27" s="3158">
        <f t="shared" si="29"/>
        <v>0</v>
      </c>
      <c r="N27" s="3158">
        <f t="shared" si="30"/>
        <v>0</v>
      </c>
      <c r="O27" s="3158"/>
      <c r="P27" s="3158">
        <f t="shared" si="31"/>
        <v>0</v>
      </c>
      <c r="Q27" s="3167"/>
      <c r="R27" s="3169"/>
      <c r="S27" s="3169">
        <f>ROUND(IF([6]项目基本情况!$B$8="出让",SUMPRODUCT(PRODUCT(1+L27:L$36)),SUMPRODUCT(PRODUCT(1+L27:L$35))),4)</f>
        <v>1.0286999999999999</v>
      </c>
      <c r="T27" s="3169">
        <f>ROUND(IF([6]项目基本情况!$B$8="出让",SUMPRODUCT(PRODUCT(1+M27:M$36)),SUMPRODUCT(PRODUCT(1+M27:M$35))),4)</f>
        <v>1.0164</v>
      </c>
      <c r="U27" s="3169">
        <f>ROUND(IF([6]项目基本情况!$B$8="出让",SUMPRODUCT(PRODUCT(1+N27:N$36)),SUMPRODUCT(PRODUCT(1+N27:N$35))),4)</f>
        <v>1.0506</v>
      </c>
      <c r="V27" s="3169"/>
      <c r="W27" s="3169">
        <f t="shared" si="32"/>
        <v>1.0164</v>
      </c>
      <c r="X27" s="3167"/>
      <c r="Y27" s="3170"/>
      <c r="Z27" s="3198"/>
      <c r="AA27" s="3435"/>
      <c r="AB27" s="3435"/>
      <c r="AC27" s="3199"/>
      <c r="AD27" s="3170"/>
    </row>
    <row r="28" spans="1:30" s="3171" customFormat="1" ht="12.75">
      <c r="A28" s="3162" t="s">
        <v>2819</v>
      </c>
      <c r="B28" s="3163">
        <v>2023</v>
      </c>
      <c r="C28" s="3164">
        <v>1</v>
      </c>
      <c r="D28" s="3165"/>
      <c r="E28" s="3165">
        <v>0</v>
      </c>
      <c r="F28" s="3165">
        <v>0</v>
      </c>
      <c r="G28" s="3165">
        <v>0</v>
      </c>
      <c r="H28" s="3182"/>
      <c r="I28" s="3166">
        <f t="shared" si="26"/>
        <v>0</v>
      </c>
      <c r="J28" s="3167"/>
      <c r="K28" s="3168"/>
      <c r="L28" s="3158">
        <f t="shared" si="28"/>
        <v>0</v>
      </c>
      <c r="M28" s="3158">
        <f t="shared" si="29"/>
        <v>0</v>
      </c>
      <c r="N28" s="3158">
        <f t="shared" si="30"/>
        <v>0</v>
      </c>
      <c r="O28" s="3158"/>
      <c r="P28" s="3158">
        <f t="shared" si="31"/>
        <v>0</v>
      </c>
      <c r="Q28" s="3167"/>
      <c r="R28" s="3169"/>
      <c r="S28" s="3169">
        <f>ROUND(IF([6]项目基本情况!$B$8="出让",SUMPRODUCT(PRODUCT(1+L28:L$36)),SUMPRODUCT(PRODUCT(1+L28:L$35))),4)</f>
        <v>1.0286999999999999</v>
      </c>
      <c r="T28" s="3169">
        <f>ROUND(IF([6]项目基本情况!$B$8="出让",SUMPRODUCT(PRODUCT(1+M28:M$36)),SUMPRODUCT(PRODUCT(1+M28:M$35))),4)</f>
        <v>1.0164</v>
      </c>
      <c r="U28" s="3169">
        <f>ROUND(IF([6]项目基本情况!$B$8="出让",SUMPRODUCT(PRODUCT(1+N28:N$36)),SUMPRODUCT(PRODUCT(1+N28:N$35))),4)</f>
        <v>1.0506</v>
      </c>
      <c r="V28" s="3169"/>
      <c r="W28" s="3169">
        <f t="shared" si="32"/>
        <v>1.0164</v>
      </c>
      <c r="X28" s="3167"/>
      <c r="Y28" s="3170"/>
      <c r="Z28" s="3198"/>
      <c r="AA28" s="3435"/>
      <c r="AB28" s="3435"/>
      <c r="AC28" s="3199"/>
      <c r="AD28" s="3170"/>
    </row>
    <row r="29" spans="1:30" s="3181" customFormat="1" ht="12.75">
      <c r="A29" s="3172" t="s">
        <v>3367</v>
      </c>
      <c r="B29" s="3173">
        <v>2022</v>
      </c>
      <c r="C29" s="3174">
        <v>4</v>
      </c>
      <c r="D29" s="3175"/>
      <c r="E29" s="3175">
        <v>0.45</v>
      </c>
      <c r="F29" s="3175">
        <v>0.2</v>
      </c>
      <c r="G29" s="3175">
        <v>0.38</v>
      </c>
      <c r="H29" s="3176"/>
      <c r="I29" s="3177">
        <f t="shared" si="26"/>
        <v>0.2</v>
      </c>
      <c r="J29" s="3178"/>
      <c r="K29" s="3179"/>
      <c r="L29" s="3180">
        <f t="shared" si="27"/>
        <v>4.5000000000000005E-3</v>
      </c>
      <c r="M29" s="3180">
        <f t="shared" si="27"/>
        <v>2E-3</v>
      </c>
      <c r="N29" s="3180">
        <f t="shared" si="27"/>
        <v>3.8E-3</v>
      </c>
      <c r="O29" s="3180"/>
      <c r="P29" s="3180">
        <f t="shared" ref="P29:P36" si="33">M29</f>
        <v>2E-3</v>
      </c>
      <c r="Q29" s="3178"/>
      <c r="R29" s="3178"/>
      <c r="S29" s="3178">
        <f>ROUND(IF([6]项目基本情况!$B$8="出让",SUMPRODUCT(PRODUCT(1+L29:L$36)),SUMPRODUCT(PRODUCT(1+L29:L$35))),4)</f>
        <v>1.0286999999999999</v>
      </c>
      <c r="T29" s="3178">
        <f>ROUND(IF([6]项目基本情况!$B$8="出让",SUMPRODUCT(PRODUCT(1+M29:M$36)),SUMPRODUCT(PRODUCT(1+M29:M$35))),4)</f>
        <v>1.0164</v>
      </c>
      <c r="U29" s="3178">
        <f>ROUND(IF([6]项目基本情况!$B$8="出让",SUMPRODUCT(PRODUCT(1+N29:N$36)),SUMPRODUCT(PRODUCT(1+N29:N$35))),4)</f>
        <v>1.0506</v>
      </c>
      <c r="V29" s="3178"/>
      <c r="W29" s="3178">
        <f t="shared" ref="W29:W36" si="34">T29</f>
        <v>1.0164</v>
      </c>
      <c r="X29" s="3178"/>
      <c r="Y29" s="3180"/>
      <c r="Z29" s="3201">
        <f t="shared" ref="Z29:AD36" si="35">IF(E29=0,0,ROUND(AVERAGE(E29:E37)/100,4))</f>
        <v>4.0000000000000001E-3</v>
      </c>
      <c r="AA29" s="3202">
        <f t="shared" si="35"/>
        <v>2.5999999999999999E-3</v>
      </c>
      <c r="AB29" s="3180">
        <f t="shared" si="35"/>
        <v>7.4000000000000003E-3</v>
      </c>
      <c r="AC29" s="3203"/>
      <c r="AD29" s="3180">
        <f t="shared" si="35"/>
        <v>2.5999999999999999E-3</v>
      </c>
    </row>
    <row r="30" spans="1:30" s="3171" customFormat="1" ht="12.75">
      <c r="A30" s="3162" t="s">
        <v>3368</v>
      </c>
      <c r="B30" s="3163">
        <v>2022</v>
      </c>
      <c r="C30" s="3164">
        <v>3</v>
      </c>
      <c r="D30" s="3165"/>
      <c r="E30" s="3165">
        <v>0.3</v>
      </c>
      <c r="F30" s="3165">
        <v>0.28999999999999998</v>
      </c>
      <c r="G30" s="3165">
        <v>0.83</v>
      </c>
      <c r="H30" s="3182"/>
      <c r="I30" s="3166">
        <f t="shared" si="26"/>
        <v>0.28999999999999998</v>
      </c>
      <c r="J30" s="3167"/>
      <c r="K30" s="3168"/>
      <c r="L30" s="3158">
        <f t="shared" si="27"/>
        <v>3.0000000000000001E-3</v>
      </c>
      <c r="M30" s="3158">
        <f t="shared" si="27"/>
        <v>2.8999999999999998E-3</v>
      </c>
      <c r="N30" s="3158">
        <f t="shared" si="27"/>
        <v>8.3000000000000001E-3</v>
      </c>
      <c r="O30" s="3158"/>
      <c r="P30" s="3158">
        <f t="shared" si="33"/>
        <v>2.8999999999999998E-3</v>
      </c>
      <c r="Q30" s="3167"/>
      <c r="R30" s="3169"/>
      <c r="S30" s="3169">
        <f>ROUND(IF([6]项目基本情况!$B$8="出让",SUMPRODUCT(PRODUCT(1+L30:L$36)),SUMPRODUCT(PRODUCT(1+L30:L$35))),4)</f>
        <v>1.0241</v>
      </c>
      <c r="T30" s="3169">
        <f>ROUND(IF([6]项目基本情况!$B$8="出让",SUMPRODUCT(PRODUCT(1+M30:M$36)),SUMPRODUCT(PRODUCT(1+M30:M$35))),4)</f>
        <v>1.0144</v>
      </c>
      <c r="U30" s="3169">
        <f>ROUND(IF([6]项目基本情况!$B$8="出让",SUMPRODUCT(PRODUCT(1+N30:N$36)),SUMPRODUCT(PRODUCT(1+N30:N$35))),4)</f>
        <v>1.0467</v>
      </c>
      <c r="V30" s="3169"/>
      <c r="W30" s="3169">
        <f t="shared" si="34"/>
        <v>1.0144</v>
      </c>
      <c r="X30" s="3167"/>
      <c r="Y30" s="3170"/>
      <c r="Z30" s="3198">
        <f t="shared" si="35"/>
        <v>3.8999999999999998E-3</v>
      </c>
      <c r="AA30" s="3200">
        <f t="shared" si="35"/>
        <v>2.7000000000000001E-3</v>
      </c>
      <c r="AB30" s="3170">
        <f t="shared" si="35"/>
        <v>7.9000000000000008E-3</v>
      </c>
      <c r="AC30" s="3199"/>
      <c r="AD30" s="3170">
        <f t="shared" si="35"/>
        <v>2.7000000000000001E-3</v>
      </c>
    </row>
    <row r="31" spans="1:30" s="3171" customFormat="1" ht="12.75">
      <c r="A31" s="3162" t="s">
        <v>3358</v>
      </c>
      <c r="B31" s="3163">
        <v>2022</v>
      </c>
      <c r="C31" s="3164">
        <v>2</v>
      </c>
      <c r="D31" s="3165"/>
      <c r="E31" s="3165">
        <v>-0.11</v>
      </c>
      <c r="F31" s="3165">
        <v>-0.13</v>
      </c>
      <c r="G31" s="3165">
        <v>0.53</v>
      </c>
      <c r="H31" s="3182"/>
      <c r="I31" s="3166">
        <f t="shared" si="26"/>
        <v>-0.13</v>
      </c>
      <c r="J31" s="3167"/>
      <c r="K31" s="3168"/>
      <c r="L31" s="3158">
        <f t="shared" si="27"/>
        <v>-1.1000000000000001E-3</v>
      </c>
      <c r="M31" s="3158">
        <f t="shared" si="27"/>
        <v>-1.2999999999999999E-3</v>
      </c>
      <c r="N31" s="3158">
        <f t="shared" si="27"/>
        <v>5.3E-3</v>
      </c>
      <c r="O31" s="3158"/>
      <c r="P31" s="3158">
        <f t="shared" si="33"/>
        <v>-1.2999999999999999E-3</v>
      </c>
      <c r="Q31" s="3167"/>
      <c r="R31" s="3169"/>
      <c r="S31" s="3169">
        <f>ROUND(IF([6]项目基本情况!$B$8="出让",SUMPRODUCT(PRODUCT(1+L31:L$36)),SUMPRODUCT(PRODUCT(1+L31:L$35))),4)</f>
        <v>1.0210999999999999</v>
      </c>
      <c r="T31" s="3169">
        <f>ROUND(IF([6]项目基本情况!$B$8="出让",SUMPRODUCT(PRODUCT(1+M31:M$36)),SUMPRODUCT(PRODUCT(1+M31:M$35))),4)</f>
        <v>1.0114000000000001</v>
      </c>
      <c r="U31" s="3169">
        <f>ROUND(IF([6]项目基本情况!$B$8="出让",SUMPRODUCT(PRODUCT(1+N31:N$36)),SUMPRODUCT(PRODUCT(1+N31:N$35))),4)</f>
        <v>1.0381</v>
      </c>
      <c r="V31" s="3169"/>
      <c r="W31" s="3169">
        <f t="shared" si="34"/>
        <v>1.0114000000000001</v>
      </c>
      <c r="X31" s="3167"/>
      <c r="Y31" s="3170"/>
      <c r="Z31" s="3198">
        <f t="shared" si="35"/>
        <v>4.1000000000000003E-3</v>
      </c>
      <c r="AA31" s="3200">
        <f t="shared" si="35"/>
        <v>2.7000000000000001E-3</v>
      </c>
      <c r="AB31" s="3170">
        <f t="shared" si="35"/>
        <v>7.9000000000000008E-3</v>
      </c>
      <c r="AC31" s="3199"/>
      <c r="AD31" s="3170">
        <f t="shared" si="35"/>
        <v>2.7000000000000001E-3</v>
      </c>
    </row>
    <row r="32" spans="1:30" s="3171" customFormat="1" ht="12.75">
      <c r="A32" s="3162" t="s">
        <v>2837</v>
      </c>
      <c r="B32" s="3163">
        <v>2022</v>
      </c>
      <c r="C32" s="3164">
        <v>1</v>
      </c>
      <c r="D32" s="3165"/>
      <c r="E32" s="3165">
        <v>0.6</v>
      </c>
      <c r="F32" s="3165">
        <v>0.45</v>
      </c>
      <c r="G32" s="3165">
        <v>0.53</v>
      </c>
      <c r="H32" s="3182"/>
      <c r="I32" s="3166">
        <f t="shared" si="26"/>
        <v>0.45</v>
      </c>
      <c r="J32" s="3167"/>
      <c r="K32" s="3168"/>
      <c r="L32" s="3158">
        <f t="shared" si="27"/>
        <v>6.0000000000000001E-3</v>
      </c>
      <c r="M32" s="3158">
        <f t="shared" si="27"/>
        <v>4.5000000000000005E-3</v>
      </c>
      <c r="N32" s="3158">
        <f t="shared" si="27"/>
        <v>5.3E-3</v>
      </c>
      <c r="O32" s="3158"/>
      <c r="P32" s="3158">
        <f t="shared" si="33"/>
        <v>4.5000000000000005E-3</v>
      </c>
      <c r="Q32" s="3167"/>
      <c r="R32" s="3169"/>
      <c r="S32" s="3169">
        <f>ROUND(IF([6]项目基本情况!$B$8="出让",SUMPRODUCT(PRODUCT(1+L32:L$36)),SUMPRODUCT(PRODUCT(1+L32:L$35))),4)</f>
        <v>1.0222</v>
      </c>
      <c r="T32" s="3169">
        <f>ROUND(IF([6]项目基本情况!$B$8="出让",SUMPRODUCT(PRODUCT(1+M32:M$36)),SUMPRODUCT(PRODUCT(1+M32:M$35))),4)</f>
        <v>1.0127999999999999</v>
      </c>
      <c r="U32" s="3169">
        <f>ROUND(IF([6]项目基本情况!$B$8="出让",SUMPRODUCT(PRODUCT(1+N32:N$36)),SUMPRODUCT(PRODUCT(1+N32:N$35))),4)</f>
        <v>1.0326</v>
      </c>
      <c r="V32" s="3169"/>
      <c r="W32" s="3169">
        <f t="shared" si="34"/>
        <v>1.0127999999999999</v>
      </c>
      <c r="X32" s="3167"/>
      <c r="Y32" s="3170"/>
      <c r="Z32" s="3198">
        <f t="shared" si="35"/>
        <v>5.1000000000000004E-3</v>
      </c>
      <c r="AA32" s="3200">
        <f t="shared" si="35"/>
        <v>3.5000000000000001E-3</v>
      </c>
      <c r="AB32" s="3170">
        <f t="shared" si="35"/>
        <v>8.3999999999999995E-3</v>
      </c>
      <c r="AC32" s="3199"/>
      <c r="AD32" s="3170">
        <f t="shared" si="35"/>
        <v>3.5000000000000001E-3</v>
      </c>
    </row>
    <row r="33" spans="1:30" s="3171" customFormat="1" ht="12.75">
      <c r="A33" s="3162" t="s">
        <v>2838</v>
      </c>
      <c r="B33" s="3163">
        <v>2021</v>
      </c>
      <c r="C33" s="3164">
        <v>4</v>
      </c>
      <c r="D33" s="3165"/>
      <c r="E33" s="3165">
        <v>0.57999999999999996</v>
      </c>
      <c r="F33" s="3165">
        <v>0.08</v>
      </c>
      <c r="G33" s="3165">
        <v>0.68</v>
      </c>
      <c r="H33" s="3182"/>
      <c r="I33" s="3166">
        <f t="shared" si="26"/>
        <v>0.08</v>
      </c>
      <c r="J33" s="3167"/>
      <c r="K33" s="3168"/>
      <c r="L33" s="3158">
        <f t="shared" si="27"/>
        <v>5.7999999999999996E-3</v>
      </c>
      <c r="M33" s="3158">
        <f t="shared" si="27"/>
        <v>8.0000000000000004E-4</v>
      </c>
      <c r="N33" s="3158">
        <f t="shared" si="27"/>
        <v>6.8000000000000005E-3</v>
      </c>
      <c r="O33" s="3158"/>
      <c r="P33" s="3158">
        <f t="shared" si="33"/>
        <v>8.0000000000000004E-4</v>
      </c>
      <c r="Q33" s="3167"/>
      <c r="R33" s="3169"/>
      <c r="S33" s="3169">
        <f>ROUND(IF([6]项目基本情况!$B$8="出让",SUMPRODUCT(PRODUCT(1+L33:L$36)),SUMPRODUCT(PRODUCT(1+L33:L$35))),4)</f>
        <v>1.0161</v>
      </c>
      <c r="T33" s="3169">
        <f>ROUND(IF([6]项目基本情况!$B$8="出让",SUMPRODUCT(PRODUCT(1+M33:M$36)),SUMPRODUCT(PRODUCT(1+M33:M$35))),4)</f>
        <v>1.0082</v>
      </c>
      <c r="U33" s="3169">
        <f>ROUND(IF([6]项目基本情况!$B$8="出让",SUMPRODUCT(PRODUCT(1+N33:N$36)),SUMPRODUCT(PRODUCT(1+N33:N$35))),4)</f>
        <v>1.0270999999999999</v>
      </c>
      <c r="V33" s="3169"/>
      <c r="W33" s="3169">
        <f t="shared" si="34"/>
        <v>1.0082</v>
      </c>
      <c r="X33" s="3167"/>
      <c r="Y33" s="3170"/>
      <c r="Z33" s="3198">
        <f t="shared" si="35"/>
        <v>4.8999999999999998E-3</v>
      </c>
      <c r="AA33" s="3200">
        <f t="shared" si="35"/>
        <v>3.3E-3</v>
      </c>
      <c r="AB33" s="3170">
        <f t="shared" si="35"/>
        <v>9.1999999999999998E-3</v>
      </c>
      <c r="AC33" s="3199"/>
      <c r="AD33" s="3170">
        <f t="shared" si="35"/>
        <v>3.3E-3</v>
      </c>
    </row>
    <row r="34" spans="1:30" s="3171" customFormat="1" ht="12.75">
      <c r="A34" s="3162" t="s">
        <v>2839</v>
      </c>
      <c r="B34" s="3163">
        <v>2021</v>
      </c>
      <c r="C34" s="3164">
        <v>3</v>
      </c>
      <c r="D34" s="3165"/>
      <c r="E34" s="3165">
        <v>0.47</v>
      </c>
      <c r="F34" s="3165">
        <v>0.28000000000000003</v>
      </c>
      <c r="G34" s="3165">
        <v>0.91</v>
      </c>
      <c r="H34" s="3182"/>
      <c r="I34" s="3166">
        <f t="shared" si="26"/>
        <v>0.28000000000000003</v>
      </c>
      <c r="J34" s="3167"/>
      <c r="K34" s="3168"/>
      <c r="L34" s="3158">
        <f t="shared" si="27"/>
        <v>4.6999999999999993E-3</v>
      </c>
      <c r="M34" s="3158">
        <f t="shared" si="27"/>
        <v>2.8000000000000004E-3</v>
      </c>
      <c r="N34" s="3158">
        <f t="shared" si="27"/>
        <v>9.1000000000000004E-3</v>
      </c>
      <c r="O34" s="3158"/>
      <c r="P34" s="3158">
        <f t="shared" si="33"/>
        <v>2.8000000000000004E-3</v>
      </c>
      <c r="Q34" s="3167"/>
      <c r="R34" s="3169"/>
      <c r="S34" s="3169">
        <f>ROUND(IF([6]项目基本情况!$B$8="出让",SUMPRODUCT(PRODUCT(1+L34:L$36)),SUMPRODUCT(PRODUCT(1+L34:L$35))),4)</f>
        <v>1.0102</v>
      </c>
      <c r="T34" s="3169">
        <f>ROUND(IF([6]项目基本情况!$B$8="出让",SUMPRODUCT(PRODUCT(1+M34:M$36)),SUMPRODUCT(PRODUCT(1+M34:M$35))),4)</f>
        <v>1.0074000000000001</v>
      </c>
      <c r="U34" s="3169">
        <f>ROUND(IF([6]项目基本情况!$B$8="出让",SUMPRODUCT(PRODUCT(1+N34:N$36)),SUMPRODUCT(PRODUCT(1+N34:N$35))),4)</f>
        <v>1.0202</v>
      </c>
      <c r="V34" s="3169"/>
      <c r="W34" s="3169">
        <f t="shared" si="34"/>
        <v>1.0074000000000001</v>
      </c>
      <c r="X34" s="3167"/>
      <c r="Y34" s="3170"/>
      <c r="Z34" s="3198">
        <f t="shared" si="35"/>
        <v>4.5999999999999999E-3</v>
      </c>
      <c r="AA34" s="3200">
        <f t="shared" si="35"/>
        <v>4.1000000000000003E-3</v>
      </c>
      <c r="AB34" s="3170">
        <f t="shared" si="35"/>
        <v>0.01</v>
      </c>
      <c r="AC34" s="3199"/>
      <c r="AD34" s="3170">
        <f t="shared" si="35"/>
        <v>4.1000000000000003E-3</v>
      </c>
    </row>
    <row r="35" spans="1:30" s="3171" customFormat="1" ht="12.75">
      <c r="A35" s="3162" t="s">
        <v>2840</v>
      </c>
      <c r="B35" s="3163">
        <v>2021</v>
      </c>
      <c r="C35" s="3164">
        <v>2</v>
      </c>
      <c r="D35" s="3165"/>
      <c r="E35" s="3165">
        <v>0.55000000000000004</v>
      </c>
      <c r="F35" s="3165">
        <v>0.46</v>
      </c>
      <c r="G35" s="3165">
        <v>1.1000000000000001</v>
      </c>
      <c r="H35" s="3182"/>
      <c r="I35" s="3166">
        <f t="shared" si="26"/>
        <v>0.46</v>
      </c>
      <c r="J35" s="3167"/>
      <c r="K35" s="3168"/>
      <c r="L35" s="3158">
        <f t="shared" si="27"/>
        <v>5.5000000000000005E-3</v>
      </c>
      <c r="M35" s="3158">
        <f t="shared" si="27"/>
        <v>4.5999999999999999E-3</v>
      </c>
      <c r="N35" s="3158">
        <f t="shared" si="27"/>
        <v>1.1000000000000001E-2</v>
      </c>
      <c r="O35" s="3158"/>
      <c r="P35" s="3158">
        <f t="shared" si="33"/>
        <v>4.5999999999999999E-3</v>
      </c>
      <c r="Q35" s="3167"/>
      <c r="R35" s="3169"/>
      <c r="S35" s="3169">
        <f>ROUND(IF([6]项目基本情况!$B$8="出让",SUMPRODUCT(PRODUCT(1+L35:L$36)),SUMPRODUCT(PRODUCT(1+L35:L$35))),4)</f>
        <v>1.0055000000000001</v>
      </c>
      <c r="T35" s="3169">
        <f>ROUND(IF([6]项目基本情况!$B$8="出让",SUMPRODUCT(PRODUCT(1+M35:M$36)),SUMPRODUCT(PRODUCT(1+M35:M$35))),4)</f>
        <v>1.0045999999999999</v>
      </c>
      <c r="U35" s="3169">
        <f>ROUND(IF([6]项目基本情况!$B$8="出让",SUMPRODUCT(PRODUCT(1+N35:N$36)),SUMPRODUCT(PRODUCT(1+N35:N$35))),4)</f>
        <v>1.0109999999999999</v>
      </c>
      <c r="V35" s="3169"/>
      <c r="W35" s="3169">
        <f t="shared" si="34"/>
        <v>1.0045999999999999</v>
      </c>
      <c r="X35" s="3167"/>
      <c r="Y35" s="3170"/>
      <c r="Z35" s="3198">
        <f t="shared" si="35"/>
        <v>4.4999999999999997E-3</v>
      </c>
      <c r="AA35" s="3200">
        <f t="shared" si="35"/>
        <v>4.7000000000000002E-3</v>
      </c>
      <c r="AB35" s="3170">
        <f t="shared" si="35"/>
        <v>1.04E-2</v>
      </c>
      <c r="AC35" s="3199"/>
      <c r="AD35" s="3170">
        <f t="shared" si="35"/>
        <v>4.7000000000000002E-3</v>
      </c>
    </row>
    <row r="36" spans="1:30" s="3193" customFormat="1" thickBot="1">
      <c r="A36" s="3183" t="s">
        <v>2825</v>
      </c>
      <c r="B36" s="3184">
        <v>2021</v>
      </c>
      <c r="C36" s="3185">
        <v>1</v>
      </c>
      <c r="D36" s="3186"/>
      <c r="E36" s="3186">
        <v>0.35</v>
      </c>
      <c r="F36" s="3186">
        <v>0.48</v>
      </c>
      <c r="G36" s="3186">
        <v>0.98</v>
      </c>
      <c r="H36" s="3187"/>
      <c r="I36" s="3188">
        <f t="shared" si="26"/>
        <v>0.48</v>
      </c>
      <c r="J36" s="3189"/>
      <c r="K36" s="3190"/>
      <c r="L36" s="3191">
        <f t="shared" si="27"/>
        <v>3.4999999999999996E-3</v>
      </c>
      <c r="M36" s="3191">
        <f>F36/100</f>
        <v>4.7999999999999996E-3</v>
      </c>
      <c r="N36" s="3191">
        <f t="shared" si="27"/>
        <v>9.7999999999999997E-3</v>
      </c>
      <c r="O36" s="3191"/>
      <c r="P36" s="3191">
        <f t="shared" si="33"/>
        <v>4.7999999999999996E-3</v>
      </c>
      <c r="Q36" s="3189"/>
      <c r="R36" s="3192"/>
      <c r="S36" s="3192">
        <v>1</v>
      </c>
      <c r="T36" s="3192">
        <v>1</v>
      </c>
      <c r="U36" s="3192">
        <v>1</v>
      </c>
      <c r="V36" s="3192"/>
      <c r="W36" s="3192">
        <f t="shared" si="34"/>
        <v>1</v>
      </c>
      <c r="X36" s="3189"/>
      <c r="Y36" s="3191"/>
      <c r="Z36" s="3204">
        <f t="shared" si="35"/>
        <v>3.5000000000000001E-3</v>
      </c>
      <c r="AA36" s="3205">
        <f t="shared" si="35"/>
        <v>4.7999999999999996E-3</v>
      </c>
      <c r="AB36" s="3191">
        <f t="shared" si="35"/>
        <v>9.7999999999999997E-3</v>
      </c>
      <c r="AC36" s="3206"/>
      <c r="AD36" s="3191">
        <f t="shared" si="35"/>
        <v>4.7999999999999996E-3</v>
      </c>
    </row>
    <row r="37" spans="1:30" ht="14.25" thickTop="1"/>
    <row r="38" spans="1:30">
      <c r="A38" s="343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687" t="str">
        <f>IF(项目基本情况!B9="房地产市场价值","估价结果一览表","结果表-2")</f>
        <v>结果表-2</v>
      </c>
      <c r="B1" s="3687"/>
      <c r="C1" s="3687"/>
      <c r="D1" s="3687"/>
      <c r="E1" s="3687"/>
      <c r="F1" s="3687"/>
      <c r="G1" s="3687"/>
      <c r="H1" s="3687"/>
      <c r="I1" s="3687"/>
    </row>
    <row r="2" spans="1:9" ht="30" customHeight="1" thickTop="1">
      <c r="A2" s="3688" t="s">
        <v>928</v>
      </c>
      <c r="B2" s="3688" t="s">
        <v>929</v>
      </c>
      <c r="C2" s="3688" t="s">
        <v>930</v>
      </c>
      <c r="D2" s="3688" t="str">
        <f>结果表!D116</f>
        <v>出让国有建设用地使用权价值</v>
      </c>
      <c r="E2" s="3688"/>
      <c r="F2" s="3688" t="str">
        <f>结果表!F116</f>
        <v>在建建筑物价值</v>
      </c>
      <c r="G2" s="3688"/>
      <c r="H2" s="3688" t="str">
        <f>IF(项目基本情况!B9="房地产市场价值","房地产市场价值","房地产价值")</f>
        <v>房地产价值</v>
      </c>
      <c r="I2" s="3688"/>
    </row>
    <row r="3" spans="1:9" ht="15">
      <c r="A3" s="3689"/>
      <c r="B3" s="3689"/>
      <c r="C3" s="3689"/>
      <c r="D3" s="850" t="s">
        <v>925</v>
      </c>
      <c r="E3" s="850" t="s">
        <v>931</v>
      </c>
      <c r="F3" s="850" t="s">
        <v>925</v>
      </c>
      <c r="G3" s="850" t="s">
        <v>926</v>
      </c>
      <c r="H3" s="850" t="s">
        <v>925</v>
      </c>
      <c r="I3" s="850" t="s">
        <v>926</v>
      </c>
    </row>
    <row r="4" spans="1:9" ht="15">
      <c r="A4" s="1500" t="str">
        <f>项目基本情况!S2</f>
        <v>河南省郑州市经开区房地产</v>
      </c>
      <c r="B4" s="850">
        <f>项目基本情况!C17</f>
        <v>185933.89999999997</v>
      </c>
      <c r="C4" s="850">
        <f>项目基本情况!C18</f>
        <v>61753.05</v>
      </c>
      <c r="D4" s="850">
        <f ca="1">结果表!D118</f>
        <v>113896</v>
      </c>
      <c r="E4" s="850">
        <f ca="1">结果表!E118</f>
        <v>6126</v>
      </c>
      <c r="F4" s="850">
        <f ca="1">结果表!F118</f>
        <v>47430</v>
      </c>
      <c r="G4" s="850">
        <f ca="1">结果表!G118</f>
        <v>2551</v>
      </c>
      <c r="H4" s="850">
        <f ca="1">结果表!H118</f>
        <v>161326</v>
      </c>
      <c r="I4" s="850">
        <f ca="1">结果表!I118</f>
        <v>8677</v>
      </c>
    </row>
    <row r="5" spans="1:9" ht="30" customHeight="1">
      <c r="A5" s="3689" t="s">
        <v>927</v>
      </c>
      <c r="B5" s="3689"/>
      <c r="C5" s="3689"/>
      <c r="D5" s="3689" t="str">
        <f ca="1">结果表!D119</f>
        <v>壹拾壹亿叁仟捌佰玖拾陆万元整</v>
      </c>
      <c r="E5" s="3689"/>
      <c r="F5" s="3689" t="str">
        <f ca="1">结果表!F119</f>
        <v>肆亿柒仟肆佰叁拾万元整</v>
      </c>
      <c r="G5" s="3689"/>
      <c r="H5" s="3689" t="str">
        <f ca="1">结果表!H119</f>
        <v>壹拾陆亿壹仟叁佰贰拾陆万元整</v>
      </c>
      <c r="I5" s="3689"/>
    </row>
    <row r="6" spans="1:9" ht="15.75">
      <c r="A6" s="3690" t="str">
        <f>结果表!A120</f>
        <v>估价师知悉的法定优先受偿款</v>
      </c>
      <c r="B6" s="3690"/>
      <c r="C6" s="3690"/>
      <c r="D6" s="3690">
        <f>结果表!D120</f>
        <v>0</v>
      </c>
      <c r="E6" s="3690"/>
      <c r="F6" s="3690"/>
      <c r="G6" s="3690"/>
      <c r="H6" s="3690"/>
      <c r="I6" s="3690"/>
    </row>
    <row r="7" spans="1:9" ht="15">
      <c r="A7" s="3689" t="s">
        <v>927</v>
      </c>
      <c r="B7" s="3689"/>
      <c r="C7" s="3689"/>
      <c r="D7" s="3691" t="str">
        <f>结果表!D121</f>
        <v>零元整</v>
      </c>
      <c r="E7" s="3692"/>
      <c r="F7" s="3692"/>
      <c r="G7" s="3692"/>
      <c r="H7" s="3692"/>
      <c r="I7" s="3693"/>
    </row>
    <row r="8" spans="1:9" ht="15.75">
      <c r="A8" s="3690" t="str">
        <f>结果表!A122</f>
        <v>房地产抵押价值</v>
      </c>
      <c r="B8" s="3690"/>
      <c r="C8" s="3690"/>
      <c r="D8" s="3690">
        <f ca="1">结果表!D122</f>
        <v>161326</v>
      </c>
      <c r="E8" s="3690"/>
      <c r="F8" s="3690"/>
      <c r="G8" s="3690"/>
      <c r="H8" s="3690"/>
      <c r="I8" s="3690"/>
    </row>
    <row r="9" spans="1:9" ht="15">
      <c r="A9" s="3689" t="s">
        <v>927</v>
      </c>
      <c r="B9" s="3689"/>
      <c r="C9" s="3689"/>
      <c r="D9" s="3689" t="str">
        <f ca="1">结果表!D123</f>
        <v>壹拾陆亿壹仟叁佰贰拾陆万元整</v>
      </c>
      <c r="E9" s="3689"/>
      <c r="F9" s="3689"/>
      <c r="G9" s="3689"/>
      <c r="H9" s="3689"/>
      <c r="I9" s="3689"/>
    </row>
    <row r="10" spans="1:9" ht="15.75">
      <c r="A10" s="3690" t="str">
        <f>结果表!A124</f>
        <v/>
      </c>
      <c r="B10" s="3690"/>
      <c r="C10" s="3690"/>
      <c r="D10" s="3690" t="str">
        <f>结果表!D124</f>
        <v>——</v>
      </c>
      <c r="E10" s="3690"/>
      <c r="F10" s="3690"/>
      <c r="G10" s="3690"/>
      <c r="H10" s="3690"/>
      <c r="I10" s="3690"/>
    </row>
    <row r="11" spans="1:9" ht="15">
      <c r="A11" s="3689" t="s">
        <v>927</v>
      </c>
      <c r="B11" s="3689"/>
      <c r="C11" s="3689"/>
      <c r="D11" s="3689" t="e">
        <f>结果表!D125</f>
        <v>#VALUE!</v>
      </c>
      <c r="E11" s="3689"/>
      <c r="F11" s="3689"/>
      <c r="G11" s="3689"/>
      <c r="H11" s="3689"/>
      <c r="I11" s="3689"/>
    </row>
    <row r="12" spans="1:9" ht="15.75">
      <c r="A12" s="3690" t="str">
        <f>结果表!A126</f>
        <v/>
      </c>
      <c r="B12" s="3690"/>
      <c r="C12" s="3690"/>
      <c r="D12" s="3690" t="str">
        <f>结果表!D126</f>
        <v>——</v>
      </c>
      <c r="E12" s="3690"/>
      <c r="F12" s="3690"/>
      <c r="G12" s="3690"/>
      <c r="H12" s="3690"/>
      <c r="I12" s="3690"/>
    </row>
    <row r="13" spans="1:9" ht="15.75" thickBot="1">
      <c r="A13" s="3694" t="s">
        <v>927</v>
      </c>
      <c r="B13" s="3694"/>
      <c r="C13" s="3694"/>
      <c r="D13" s="3694" t="e">
        <f>结果表!D127</f>
        <v>#VALUE!</v>
      </c>
      <c r="E13" s="3694"/>
      <c r="F13" s="3694"/>
      <c r="G13" s="3694"/>
      <c r="H13" s="3694"/>
      <c r="I13" s="3694"/>
    </row>
    <row r="14" spans="1:9" ht="15" thickTop="1">
      <c r="A14" s="3695" t="s">
        <v>932</v>
      </c>
      <c r="B14" s="3695"/>
      <c r="C14" s="3695"/>
      <c r="D14" s="3695"/>
      <c r="E14" s="3695"/>
      <c r="F14" s="3695"/>
      <c r="G14" s="3695"/>
      <c r="H14" s="3695"/>
      <c r="I14" s="369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4027" t="s">
        <v>452</v>
      </c>
      <c r="C1" s="4027"/>
      <c r="D1" s="4027"/>
      <c r="E1" s="4027"/>
      <c r="F1" s="4027"/>
      <c r="G1" s="4023" t="s">
        <v>453</v>
      </c>
      <c r="H1" s="4023"/>
      <c r="I1" s="4023"/>
      <c r="J1" s="4023"/>
      <c r="K1" s="4023"/>
      <c r="L1" s="4023"/>
      <c r="N1" s="4023" t="s">
        <v>454</v>
      </c>
      <c r="O1" s="4023"/>
      <c r="P1" s="4023"/>
      <c r="Q1" s="4023"/>
      <c r="S1" s="4023" t="s">
        <v>455</v>
      </c>
      <c r="T1" s="4023"/>
      <c r="U1" s="4023"/>
      <c r="V1" s="4023"/>
      <c r="X1" s="4022" t="s">
        <v>456</v>
      </c>
      <c r="Y1" s="4023"/>
      <c r="Z1" s="4023"/>
      <c r="AA1" s="4023"/>
      <c r="AB1" s="4023"/>
      <c r="AD1" s="4022" t="s">
        <v>457</v>
      </c>
      <c r="AE1" s="4023"/>
      <c r="AF1" s="4023"/>
      <c r="AG1" s="4023"/>
      <c r="AH1" s="4023"/>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2113</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3365</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2">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3362</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2">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2114</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3363</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2">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3364</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2">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2313</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0">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2312</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9">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2311</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3">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2309</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2">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2308</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9">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2129</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2127</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2126</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2125</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2123</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2122</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2124</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4025">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2120</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4025"/>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2119</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4025"/>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2112</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4032"/>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2110</v>
      </c>
      <c r="B25" s="2212">
        <v>439</v>
      </c>
      <c r="C25" s="2212">
        <v>327</v>
      </c>
      <c r="D25" s="2212">
        <f>C25</f>
        <v>327</v>
      </c>
      <c r="E25" s="2212">
        <v>627</v>
      </c>
      <c r="F25" s="2213">
        <v>283</v>
      </c>
      <c r="G25" s="4028">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2111</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4025"/>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4025"/>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4032"/>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4028">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4025"/>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4025"/>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4026"/>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4024">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4025"/>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4025"/>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4026"/>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4024">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4025"/>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4025"/>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4026"/>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4029">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4030"/>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4030"/>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4031"/>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4024">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4025"/>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4025"/>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4026"/>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4024">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4025">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4025">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4026">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4024">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4025">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4025">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4026">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4024">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4025">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4025">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4026">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4024">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4025">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4025">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4026">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4024">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4025">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4025">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4026">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4024">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4025">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4025">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4026">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4024">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4025">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4025">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4026">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4024">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4025">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4025">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4026">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4024">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4025">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4025">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4026">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4024">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4025">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4025">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4026">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44999</v>
      </c>
      <c r="D1" s="1297" t="s">
        <v>603</v>
      </c>
      <c r="E1" s="1292">
        <f>'数据-取费表'!B22</f>
        <v>2.5</v>
      </c>
      <c r="F1" s="1297" t="s">
        <v>604</v>
      </c>
      <c r="G1" s="1293">
        <f ca="1">INDIRECT("d"&amp;$K$1)/100</f>
        <v>3.6499999999999998E-2</v>
      </c>
      <c r="H1" s="1297" t="s">
        <v>634</v>
      </c>
      <c r="I1" s="1293">
        <f ca="1">F4/100</f>
        <v>1.4999999999999999E-2</v>
      </c>
      <c r="J1" s="1298">
        <f>IF(C1&gt;C13,0,MATCH(C1,C$13:C$109,-1))+IF(SUMIF(C13:C109,C1,D13:D109)=0,13,12)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1">
        <v>44795</v>
      </c>
      <c r="D13" s="2812">
        <v>3.65</v>
      </c>
      <c r="E13" s="2812">
        <f>D13</f>
        <v>3.65</v>
      </c>
      <c r="F13" s="2812">
        <f>D13</f>
        <v>3.65</v>
      </c>
      <c r="G13" s="2812">
        <f>D13</f>
        <v>3.65</v>
      </c>
      <c r="H13" s="2812">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6"/>
      <c r="C14" s="2808">
        <v>44701</v>
      </c>
      <c r="D14" s="2807">
        <v>3.7</v>
      </c>
      <c r="E14" s="2807">
        <f>D14</f>
        <v>3.7</v>
      </c>
      <c r="F14" s="2807">
        <f>D14</f>
        <v>3.7</v>
      </c>
      <c r="G14" s="2807">
        <f>D14</f>
        <v>3.7</v>
      </c>
      <c r="H14" s="2807">
        <v>4.45</v>
      </c>
      <c r="I14" s="2812"/>
      <c r="J14" s="2812"/>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6"/>
      <c r="C15" s="2808">
        <v>44581</v>
      </c>
      <c r="D15" s="2807">
        <v>3.7</v>
      </c>
      <c r="E15" s="2807">
        <f>D15</f>
        <v>3.7</v>
      </c>
      <c r="F15" s="2807">
        <f>D15</f>
        <v>3.7</v>
      </c>
      <c r="G15" s="2807">
        <f>D15</f>
        <v>3.7</v>
      </c>
      <c r="H15" s="2807">
        <v>4.5999999999999996</v>
      </c>
      <c r="I15" s="2812"/>
      <c r="J15" s="2812"/>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7"/>
      <c r="C16" s="2808">
        <v>44550</v>
      </c>
      <c r="D16" s="2807">
        <v>3.8</v>
      </c>
      <c r="E16" s="2807">
        <f>D16</f>
        <v>3.8</v>
      </c>
      <c r="F16" s="2807">
        <f>D16</f>
        <v>3.8</v>
      </c>
      <c r="G16" s="2807">
        <f>D16</f>
        <v>3.8</v>
      </c>
      <c r="H16" s="2807">
        <v>4.6500000000000004</v>
      </c>
      <c r="I16" s="2807"/>
      <c r="J16" s="2812"/>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7"/>
      <c r="C17" s="2808">
        <v>43941</v>
      </c>
      <c r="D17" s="2807">
        <v>3.85</v>
      </c>
      <c r="E17" s="2807">
        <v>3.85</v>
      </c>
      <c r="F17" s="2807">
        <v>3.85</v>
      </c>
      <c r="G17" s="2807">
        <v>3.85</v>
      </c>
      <c r="H17" s="2807">
        <v>4.6500000000000004</v>
      </c>
      <c r="I17" s="2807"/>
      <c r="J17" s="280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9"/>
      <c r="B19" s="2807"/>
      <c r="C19" s="2808">
        <v>43789</v>
      </c>
      <c r="D19" s="2807">
        <v>4.1500000000000004</v>
      </c>
      <c r="E19" s="2807">
        <v>4.1500000000000004</v>
      </c>
      <c r="F19" s="2807">
        <v>4.1500000000000004</v>
      </c>
      <c r="G19" s="2807">
        <v>4.1500000000000004</v>
      </c>
      <c r="H19" s="2807">
        <v>4.8</v>
      </c>
      <c r="I19" s="2807"/>
      <c r="J19" s="2807"/>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07"/>
      <c r="C20" s="2808">
        <v>43728</v>
      </c>
      <c r="D20" s="2807">
        <v>4.2</v>
      </c>
      <c r="E20" s="2807">
        <v>4.2</v>
      </c>
      <c r="F20" s="2807">
        <v>4.2</v>
      </c>
      <c r="G20" s="2807">
        <v>4.2</v>
      </c>
      <c r="H20" s="2807">
        <v>4.8499999999999996</v>
      </c>
      <c r="I20" s="2807"/>
      <c r="J20" s="2807"/>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06" t="s">
        <v>2310</v>
      </c>
      <c r="C21" s="2809">
        <v>43697</v>
      </c>
      <c r="D21" s="2810">
        <v>4.25</v>
      </c>
      <c r="E21" s="2810">
        <v>4.25</v>
      </c>
      <c r="F21" s="2810">
        <v>4.25</v>
      </c>
      <c r="G21" s="2810">
        <v>4.25</v>
      </c>
      <c r="H21" s="2810">
        <v>4.8499999999999996</v>
      </c>
      <c r="I21" s="2810"/>
      <c r="J21" s="2810"/>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3"/>
      <c r="B22" s="2814"/>
      <c r="C22" s="2815">
        <v>42301</v>
      </c>
      <c r="D22" s="2816">
        <v>4.3499999999999996</v>
      </c>
      <c r="E22" s="2816">
        <v>4.3499999999999996</v>
      </c>
      <c r="F22" s="2816">
        <v>4.75</v>
      </c>
      <c r="G22" s="2816">
        <v>4.75</v>
      </c>
      <c r="H22" s="2816">
        <v>4.9000000000000004</v>
      </c>
      <c r="I22" s="2816"/>
      <c r="J22" s="2816"/>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696" t="s">
        <v>949</v>
      </c>
      <c r="B1" s="3696"/>
      <c r="C1" s="3696"/>
      <c r="D1" s="3696"/>
    </row>
    <row r="2" spans="1:4" ht="18">
      <c r="A2" s="3697" t="s">
        <v>933</v>
      </c>
      <c r="B2" s="3697"/>
      <c r="C2" s="3697"/>
      <c r="D2" s="3697"/>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697" t="s">
        <v>939</v>
      </c>
      <c r="B6" s="3697"/>
      <c r="C6" s="3697"/>
      <c r="D6" s="3697"/>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698" t="s">
        <v>942</v>
      </c>
      <c r="B11" s="3699"/>
      <c r="C11" s="3699"/>
      <c r="D11" s="3699"/>
    </row>
    <row r="12" spans="1:4" ht="15.75">
      <c r="A12" s="36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0"/>
      <c r="C12" s="3700"/>
      <c r="D12" s="3700"/>
    </row>
    <row r="13" spans="1:4" ht="30" customHeight="1">
      <c r="A13" s="36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0"/>
      <c r="C13" s="3700"/>
      <c r="D13" s="3700"/>
    </row>
    <row r="14" spans="1:4" ht="15.75" customHeight="1">
      <c r="A14" s="3699" t="str">
        <f>IF(项目基本情况!B8="抵押","4.本次评估估价师所知悉的法定优先受偿款情况说明如下：","——")</f>
        <v>4.本次评估估价师所知悉的法定优先受偿款情况说明如下：</v>
      </c>
      <c r="B14" s="3700"/>
      <c r="C14" s="3700"/>
      <c r="D14" s="3700"/>
    </row>
    <row r="15" spans="1:4" ht="42" customHeight="1">
      <c r="A15" s="36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9"/>
      <c r="C15" s="3699"/>
      <c r="D15" s="3699"/>
    </row>
    <row r="16" spans="1:4" ht="30" customHeight="1">
      <c r="A16" s="3702" t="s">
        <v>943</v>
      </c>
      <c r="B16" s="3702"/>
      <c r="C16" s="3702"/>
      <c r="D16" s="3702"/>
    </row>
    <row r="17" spans="1:4" ht="144" customHeight="1">
      <c r="A17" s="3702" t="s">
        <v>944</v>
      </c>
      <c r="B17" s="3702"/>
      <c r="C17" s="3702"/>
      <c r="D17" s="3702"/>
    </row>
    <row r="18" spans="1:4" ht="15.75" customHeight="1">
      <c r="A18" s="3699" t="str">
        <f>IF(项目基本情况!B8="抵押",结果表!K120,"——")</f>
        <v>故，本次评估不存在估价师知悉的法定优先受偿款</v>
      </c>
      <c r="B18" s="3699"/>
      <c r="C18" s="3699"/>
      <c r="D18" s="3699"/>
    </row>
    <row r="19" spans="1:4" ht="46.5" customHeight="1">
      <c r="A19" s="36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9"/>
      <c r="C19" s="3699"/>
      <c r="D19" s="3699"/>
    </row>
    <row r="20" spans="1:4" ht="57.75" customHeight="1">
      <c r="A20" s="36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9"/>
      <c r="C20" s="3699"/>
      <c r="D20" s="3699"/>
    </row>
    <row r="21" spans="1:4" ht="57.75" customHeight="1">
      <c r="A21" s="3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3"/>
      <c r="C21" s="3703"/>
      <c r="D21" s="3703"/>
    </row>
    <row r="22" spans="1:4" ht="18.75" customHeight="1">
      <c r="A22" s="3704" t="s">
        <v>945</v>
      </c>
      <c r="B22" s="3704"/>
      <c r="C22" s="3704"/>
      <c r="D22" s="370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701">
        <v>42551</v>
      </c>
      <c r="D31" s="37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710" t="s">
        <v>956</v>
      </c>
      <c r="B15" s="3705" t="s">
        <v>109</v>
      </c>
      <c r="C15" s="3706"/>
    </row>
    <row r="16" spans="1:7" ht="13.5">
      <c r="A16" s="3711"/>
      <c r="B16" s="3705" t="s">
        <v>42</v>
      </c>
      <c r="C16" s="3706"/>
    </row>
    <row r="17" spans="1:3" ht="13.5">
      <c r="A17" s="3711"/>
      <c r="B17" s="3708" t="s">
        <v>957</v>
      </c>
      <c r="C17" s="1527" t="s">
        <v>956</v>
      </c>
    </row>
    <row r="18" spans="1:3" ht="13.5">
      <c r="A18" s="3711"/>
      <c r="B18" s="3708"/>
      <c r="C18" s="1527" t="s">
        <v>958</v>
      </c>
    </row>
    <row r="19" spans="1:3" ht="13.5">
      <c r="A19" s="3711"/>
      <c r="B19" s="3708"/>
      <c r="C19" s="1527" t="s">
        <v>959</v>
      </c>
    </row>
    <row r="20" spans="1:3" ht="13.5">
      <c r="A20" s="3712"/>
      <c r="B20" s="3707" t="s">
        <v>960</v>
      </c>
      <c r="C20" s="3706"/>
    </row>
    <row r="21" spans="1:3" ht="13.5">
      <c r="A21" s="1528" t="s">
        <v>961</v>
      </c>
      <c r="B21" s="1529"/>
      <c r="C21" s="1530"/>
    </row>
    <row r="22" spans="1:3" ht="13.5">
      <c r="A22" s="3709" t="s">
        <v>962</v>
      </c>
      <c r="B22" s="3707" t="s">
        <v>963</v>
      </c>
      <c r="C22" s="3706"/>
    </row>
    <row r="23" spans="1:3" ht="13.5">
      <c r="A23" s="3709"/>
      <c r="B23" s="3707" t="s">
        <v>964</v>
      </c>
      <c r="C23" s="3706"/>
    </row>
    <row r="24" spans="1:3" ht="13.5">
      <c r="A24" s="3709"/>
      <c r="B24" s="3707" t="s">
        <v>965</v>
      </c>
      <c r="C24" s="3706"/>
    </row>
    <row r="25" spans="1:3" ht="13.5">
      <c r="A25" s="3709"/>
      <c r="B25" s="3708" t="s">
        <v>966</v>
      </c>
      <c r="C25" s="1527" t="s">
        <v>967</v>
      </c>
    </row>
    <row r="26" spans="1:3" ht="13.5">
      <c r="A26" s="3709"/>
      <c r="B26" s="3708"/>
      <c r="C26" s="1527" t="s">
        <v>968</v>
      </c>
    </row>
    <row r="27" spans="1:3" ht="13.5">
      <c r="A27" s="3709"/>
      <c r="B27" s="3708"/>
      <c r="C27" s="1527" t="s">
        <v>969</v>
      </c>
    </row>
    <row r="28" spans="1:3" ht="13.5">
      <c r="A28" s="3709"/>
      <c r="B28" s="3708"/>
      <c r="C28" s="1527" t="s">
        <v>970</v>
      </c>
    </row>
    <row r="29" spans="1:3" ht="13.5">
      <c r="A29" s="3709"/>
      <c r="B29" s="3708"/>
      <c r="C29" s="1527" t="s">
        <v>971</v>
      </c>
    </row>
    <row r="30" spans="1:3" ht="13.5">
      <c r="A30" s="3709"/>
      <c r="B30" s="3708"/>
      <c r="C30" s="1527" t="s">
        <v>972</v>
      </c>
    </row>
    <row r="31" spans="1:3" ht="13.5">
      <c r="A31" s="3709"/>
      <c r="B31" s="3708"/>
      <c r="C31" s="1527" t="s">
        <v>973</v>
      </c>
    </row>
    <row r="32" spans="1:3" ht="13.5">
      <c r="A32" s="3709"/>
      <c r="B32" s="3708"/>
      <c r="C32" s="1527" t="s">
        <v>974</v>
      </c>
    </row>
    <row r="33" spans="1:3" ht="13.5">
      <c r="A33" s="3709"/>
      <c r="B33" s="3708"/>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2138</v>
      </c>
      <c r="B2" s="2331">
        <f ca="1">TODAY()</f>
        <v>45000</v>
      </c>
      <c r="C2" s="2332" t="s">
        <v>2139</v>
      </c>
      <c r="D2" s="2332"/>
      <c r="E2" s="2332"/>
      <c r="F2" s="2328"/>
      <c r="G2" s="2328"/>
      <c r="H2" s="2328"/>
    </row>
    <row r="3" spans="1:8" ht="24" customHeight="1">
      <c r="A3" s="2333" t="s">
        <v>2140</v>
      </c>
      <c r="B3" s="2334" t="s">
        <v>2141</v>
      </c>
      <c r="C3" s="2334" t="s">
        <v>2142</v>
      </c>
      <c r="D3" s="2335" t="s">
        <v>2143</v>
      </c>
      <c r="E3" s="2336" t="s">
        <v>2144</v>
      </c>
      <c r="F3" s="1299" t="s">
        <v>2145</v>
      </c>
      <c r="G3" s="2334" t="s">
        <v>2142</v>
      </c>
      <c r="H3" s="2335" t="s">
        <v>2146</v>
      </c>
    </row>
    <row r="4" spans="1:8" ht="24" customHeight="1">
      <c r="A4" s="1299" t="s">
        <v>2147</v>
      </c>
      <c r="B4" s="1299">
        <f ca="1">IF(C4&lt;B2,"已过期",1119970066)</f>
        <v>1119970066</v>
      </c>
      <c r="C4" s="2337">
        <v>45937</v>
      </c>
      <c r="D4" s="2338" t="str">
        <f ca="1">A4&amp;"（注册号："&amp;B4&amp;"）"</f>
        <v>梁津（注册号：1119970066）</v>
      </c>
      <c r="E4" s="2339" t="s">
        <v>2147</v>
      </c>
      <c r="F4" s="1299">
        <f ca="1">IF(G4&lt;B2,"已过期",96010014)</f>
        <v>96010014</v>
      </c>
      <c r="G4" s="2340">
        <v>47118</v>
      </c>
      <c r="H4" s="2341" t="str">
        <f ca="1">E4&amp;"（注册号："&amp;F4&amp;"）"</f>
        <v>梁津（注册号：96010014）</v>
      </c>
    </row>
    <row r="5" spans="1:8" ht="24" customHeight="1">
      <c r="A5" s="1299" t="s">
        <v>2148</v>
      </c>
      <c r="B5" s="1299">
        <f ca="1">IF(C5&lt;B2,"已过期",1119970111)</f>
        <v>1119970111</v>
      </c>
      <c r="C5" s="2337">
        <v>45937</v>
      </c>
      <c r="D5" s="2338" t="str">
        <f t="shared" ref="D5:D15" ca="1" si="0">A5&amp;"（注册号："&amp;B5&amp;"）"</f>
        <v>叶凌（注册号：1119970111）</v>
      </c>
      <c r="E5" s="2339" t="s">
        <v>2148</v>
      </c>
      <c r="F5" s="1299">
        <f ca="1">IF(G5&lt;B2,"已过期",94010078)</f>
        <v>94010078</v>
      </c>
      <c r="G5" s="2340">
        <v>46387</v>
      </c>
      <c r="H5" s="2341" t="str">
        <f t="shared" ref="H5:H16" ca="1" si="1">E5&amp;"（注册号："&amp;F5&amp;"）"</f>
        <v>叶凌（注册号：94010078）</v>
      </c>
    </row>
    <row r="6" spans="1:8" ht="24" customHeight="1">
      <c r="A6" s="1299" t="s">
        <v>2149</v>
      </c>
      <c r="B6" s="1299">
        <f ca="1">IF(C6&lt;B2,"已过期",1120050019)</f>
        <v>1120050019</v>
      </c>
      <c r="C6" s="2337">
        <v>45410</v>
      </c>
      <c r="D6" s="2338" t="str">
        <f t="shared" ca="1" si="0"/>
        <v>王鹏（注册号：1120050019）</v>
      </c>
      <c r="E6" s="2339" t="s">
        <v>2149</v>
      </c>
      <c r="F6" s="1299">
        <f ca="1">IF(G6&lt;B2,"已过期",2002110030)</f>
        <v>2002110030</v>
      </c>
      <c r="G6" s="2340">
        <v>46387</v>
      </c>
      <c r="H6" s="2341" t="str">
        <f t="shared" ca="1" si="1"/>
        <v>王鹏（注册号：2002110030）</v>
      </c>
    </row>
    <row r="7" spans="1:8" ht="24" customHeight="1">
      <c r="A7" s="1299" t="s">
        <v>2150</v>
      </c>
      <c r="B7" s="1299">
        <f ca="1">IF(C7&lt;B2,"已过期",1120000080)</f>
        <v>1120000080</v>
      </c>
      <c r="C7" s="2337">
        <v>45937</v>
      </c>
      <c r="D7" s="2338" t="str">
        <f t="shared" ca="1" si="0"/>
        <v>欧红伟（注册号：1120000080）</v>
      </c>
      <c r="E7" s="2339" t="s">
        <v>2150</v>
      </c>
      <c r="F7" s="1299">
        <f ca="1">IF(G7&lt;B2,"已过期",2000110082)</f>
        <v>2000110082</v>
      </c>
      <c r="G7" s="2340">
        <v>46387</v>
      </c>
      <c r="H7" s="2341" t="str">
        <f t="shared" ca="1" si="1"/>
        <v>欧红伟（注册号：2000110082）</v>
      </c>
    </row>
    <row r="8" spans="1:8" ht="24" customHeight="1">
      <c r="A8" s="1299" t="s">
        <v>2151</v>
      </c>
      <c r="B8" s="1299">
        <f ca="1">IF(C8&lt;B2,"已过期",1419970001)</f>
        <v>1419970001</v>
      </c>
      <c r="C8" s="2337">
        <v>45937</v>
      </c>
      <c r="D8" s="2338" t="str">
        <f t="shared" ca="1" si="0"/>
        <v>吴薇（注册号：1419970001）</v>
      </c>
      <c r="E8" s="2339" t="s">
        <v>2151</v>
      </c>
      <c r="F8" s="1299">
        <f ca="1">IF(G8&lt;B2,"已过期",2002110125)</f>
        <v>2002110125</v>
      </c>
      <c r="G8" s="2340">
        <v>47118</v>
      </c>
      <c r="H8" s="2341" t="str">
        <f t="shared" ca="1" si="1"/>
        <v>吴薇（注册号：2002110125）</v>
      </c>
    </row>
    <row r="9" spans="1:8" ht="24" customHeight="1">
      <c r="A9" s="1299" t="s">
        <v>2152</v>
      </c>
      <c r="B9" s="1299">
        <f ca="1">IF(C9&lt;B2,"已过期",1120060040)</f>
        <v>1120060040</v>
      </c>
      <c r="C9" s="2342">
        <v>45592</v>
      </c>
      <c r="D9" s="2338" t="str">
        <f t="shared" ca="1" si="0"/>
        <v>陈颖（注册号：1120060040）</v>
      </c>
      <c r="E9" s="2339" t="s">
        <v>2152</v>
      </c>
      <c r="F9" s="1299">
        <f ca="1">IF(G9&lt;B2,"已过期",2004110096)</f>
        <v>2004110096</v>
      </c>
      <c r="G9" s="2340">
        <v>47118</v>
      </c>
      <c r="H9" s="2341" t="str">
        <f t="shared" ca="1" si="1"/>
        <v>陈颖（注册号：2004110096）</v>
      </c>
    </row>
    <row r="10" spans="1:8" ht="24" customHeight="1">
      <c r="A10" s="1299" t="s">
        <v>2153</v>
      </c>
      <c r="B10" s="1299">
        <f ca="1">IF(C10&lt;B2,"已过期",1120100036)</f>
        <v>1120100036</v>
      </c>
      <c r="C10" s="2342">
        <v>45752</v>
      </c>
      <c r="D10" s="2338" t="str">
        <f t="shared" ca="1" si="0"/>
        <v>崔锴（注册号：1120100036）</v>
      </c>
      <c r="E10" s="2339" t="s">
        <v>2153</v>
      </c>
      <c r="F10" s="1299">
        <f ca="1">IF(G10&lt;B2,"已过期",2010110070)</f>
        <v>2010110070</v>
      </c>
      <c r="G10" s="2340">
        <v>47907</v>
      </c>
      <c r="H10" s="2341" t="str">
        <f t="shared" ca="1" si="1"/>
        <v>崔锴（注册号：2010110070）</v>
      </c>
    </row>
    <row r="11" spans="1:8" ht="24" customHeight="1">
      <c r="A11" s="1299" t="s">
        <v>2154</v>
      </c>
      <c r="B11" s="1299">
        <f ca="1">IF(C11&lt;B2,"已过期",1120070131)</f>
        <v>1120070131</v>
      </c>
      <c r="C11" s="2337">
        <v>45937</v>
      </c>
      <c r="D11" s="2338" t="str">
        <f t="shared" ca="1" si="0"/>
        <v>郑燚（注册号：1120070131）</v>
      </c>
      <c r="E11" s="2339" t="s">
        <v>2154</v>
      </c>
      <c r="F11" s="1299">
        <f ca="1">IF(G11&lt;B2,"已过期",2014110011)</f>
        <v>2014110011</v>
      </c>
      <c r="G11" s="2340">
        <v>49302</v>
      </c>
      <c r="H11" s="2341" t="str">
        <f t="shared" ca="1" si="1"/>
        <v>郑燚（注册号：2014110011）</v>
      </c>
    </row>
    <row r="12" spans="1:8" ht="24" customHeight="1">
      <c r="A12" s="1299" t="s">
        <v>2155</v>
      </c>
      <c r="B12" s="1299">
        <f ca="1">IF(C12&lt;B2,"已过期",1120040230)</f>
        <v>1120040230</v>
      </c>
      <c r="C12" s="2342">
        <v>45937</v>
      </c>
      <c r="D12" s="2338" t="str">
        <f t="shared" ca="1" si="0"/>
        <v>苏海（注册号：1120040230）</v>
      </c>
      <c r="E12" s="2339" t="s">
        <v>2155</v>
      </c>
      <c r="F12" s="1299">
        <f ca="1">IF(G12&lt;B2,"已过期",98030020)</f>
        <v>98030020</v>
      </c>
      <c r="G12" s="2340">
        <v>47118</v>
      </c>
      <c r="H12" s="2341" t="str">
        <f t="shared" ca="1" si="1"/>
        <v>苏海（注册号：98030020）</v>
      </c>
    </row>
    <row r="13" spans="1:8" ht="24" customHeight="1">
      <c r="A13" s="1299" t="s">
        <v>2156</v>
      </c>
      <c r="B13" s="1299">
        <f ca="1">IF(C13&lt;B2,"已过期",1120020033)</f>
        <v>1120020033</v>
      </c>
      <c r="C13" s="2337">
        <v>45375</v>
      </c>
      <c r="D13" s="2338" t="str">
        <f t="shared" ca="1" si="0"/>
        <v>刘敬东（注册号：1120020033）</v>
      </c>
      <c r="E13" s="2339" t="s">
        <v>2156</v>
      </c>
      <c r="F13" s="1299">
        <f ca="1">IF(G13&lt;B2,"已过期",2000110137)</f>
        <v>2000110137</v>
      </c>
      <c r="G13" s="2340">
        <v>46387</v>
      </c>
      <c r="H13" s="2341" t="str">
        <f t="shared" ca="1" si="1"/>
        <v>刘敬东（注册号：2000110137）</v>
      </c>
    </row>
    <row r="14" spans="1:8" ht="24" customHeight="1">
      <c r="A14" s="1299" t="s">
        <v>2157</v>
      </c>
      <c r="B14" s="1299" t="str">
        <f ca="1">IF(C14&lt;B2,"已过期",1119980106)</f>
        <v>已过期</v>
      </c>
      <c r="C14" s="2342">
        <v>44969</v>
      </c>
      <c r="D14" s="2338" t="str">
        <f t="shared" ca="1" si="0"/>
        <v>刘俊财（注册号：已过期）</v>
      </c>
      <c r="E14" s="2339" t="s">
        <v>2157</v>
      </c>
      <c r="F14" s="1299">
        <f ca="1">IF(G14&lt;B2,"已过期",96010063)</f>
        <v>96010063</v>
      </c>
      <c r="G14" s="2340">
        <v>47483</v>
      </c>
      <c r="H14" s="2341" t="str">
        <f t="shared" ca="1" si="1"/>
        <v>刘俊财（注册号：96010063）</v>
      </c>
    </row>
    <row r="15" spans="1:8" ht="24" customHeight="1">
      <c r="A15" s="1299" t="s">
        <v>2436</v>
      </c>
      <c r="B15" s="1299">
        <v>1120210056</v>
      </c>
      <c r="C15" s="2342">
        <v>45410</v>
      </c>
      <c r="D15" s="2338" t="str">
        <f t="shared" si="0"/>
        <v>宁小鳗（注册号：1120210056）</v>
      </c>
      <c r="E15" s="2339" t="s">
        <v>2158</v>
      </c>
      <c r="F15" s="1299">
        <f ca="1">IF(G15&lt;B2,"已过期",2011110090)</f>
        <v>2011110090</v>
      </c>
      <c r="G15" s="2340">
        <v>48302</v>
      </c>
      <c r="H15" s="2341" t="str">
        <f t="shared" ca="1" si="1"/>
        <v>赵雯（注册号：2011110090）</v>
      </c>
    </row>
    <row r="16" spans="1:8" s="2344" customFormat="1" ht="24" customHeight="1">
      <c r="A16" s="1299"/>
      <c r="B16" s="1299"/>
      <c r="C16" s="1299"/>
      <c r="D16" s="2338" t="str">
        <f>A16&amp;"（注册号："&amp;B16&amp;"）"</f>
        <v>（注册号：）</v>
      </c>
      <c r="E16" s="2339"/>
      <c r="F16" s="1299"/>
      <c r="G16" s="1299"/>
      <c r="H16" s="2343" t="str">
        <f t="shared" si="1"/>
        <v>（注册号：）</v>
      </c>
    </row>
    <row r="17" spans="1:8" ht="24" customHeight="1">
      <c r="A17" s="3713" t="s">
        <v>2159</v>
      </c>
      <c r="B17" s="3713"/>
      <c r="C17" s="3713"/>
      <c r="D17" s="3713"/>
      <c r="E17" s="3713"/>
      <c r="F17" s="3713"/>
      <c r="G17" s="3713"/>
      <c r="H17" s="3713"/>
    </row>
    <row r="18" spans="1:8" ht="24" customHeight="1">
      <c r="A18" s="3714" t="s">
        <v>2160</v>
      </c>
      <c r="B18" s="3714"/>
      <c r="C18" s="3714"/>
      <c r="D18" s="2335"/>
      <c r="E18" s="3715" t="s">
        <v>2161</v>
      </c>
      <c r="F18" s="3714"/>
      <c r="G18" s="3714"/>
    </row>
    <row r="19" spans="1:8" s="2346" customFormat="1" ht="24" customHeight="1">
      <c r="A19" s="2345" t="s">
        <v>2162</v>
      </c>
      <c r="B19" s="2334" t="s">
        <v>2163</v>
      </c>
      <c r="C19" s="2334" t="s">
        <v>2142</v>
      </c>
      <c r="D19" s="2335"/>
      <c r="E19" s="2339" t="s">
        <v>2162</v>
      </c>
      <c r="F19" s="2334" t="s">
        <v>2163</v>
      </c>
      <c r="G19" s="2334" t="s">
        <v>2142</v>
      </c>
    </row>
    <row r="20" spans="1:8" s="2346" customFormat="1" ht="24" customHeight="1">
      <c r="A20" s="2347" t="s">
        <v>2164</v>
      </c>
      <c r="B20" s="2347" t="s">
        <v>2165</v>
      </c>
      <c r="C20" s="2340">
        <v>45898</v>
      </c>
      <c r="D20" s="2348"/>
      <c r="E20" s="2349" t="s">
        <v>2166</v>
      </c>
      <c r="F20" s="2352" t="s">
        <v>2437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项目情况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土地比较法-住宅、综合</vt:lpstr>
      <vt:lpstr>土案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收益法</vt:lpstr>
      <vt:lpstr>收益法车</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2023-03-15T01:57:49Z</dcterms:modified>
</cp:coreProperties>
</file>